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5.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updateLinks="never" codeName="ThisWorkbook" hidePivotFieldList="1" defaultThemeVersion="124226"/>
  <mc:AlternateContent xmlns:mc="http://schemas.openxmlformats.org/markup-compatibility/2006">
    <mc:Choice Requires="x15">
      <x15ac:absPath xmlns:x15ac="http://schemas.microsoft.com/office/spreadsheetml/2010/11/ac" url="D:\Testing Projects\Projects\OnlineBOM\"/>
    </mc:Choice>
  </mc:AlternateContent>
  <xr:revisionPtr revIDLastSave="0" documentId="8_{3F2A7FEB-A11F-4FF3-A405-EC121D8B3750}" xr6:coauthVersionLast="45" xr6:coauthVersionMax="45" xr10:uidLastSave="{00000000-0000-0000-0000-000000000000}"/>
  <bookViews>
    <workbookView xWindow="-120" yWindow="-120" windowWidth="29040" windowHeight="15840" tabRatio="750" activeTab="1" xr2:uid="{00000000-000D-0000-FFFF-FFFF00000000}"/>
  </bookViews>
  <sheets>
    <sheet name="Start" sheetId="4" r:id="rId1"/>
    <sheet name="PASS" sheetId="12" r:id="rId2"/>
    <sheet name="Authorisation" sheetId="15" r:id="rId3"/>
    <sheet name="Cover" sheetId="8" r:id="rId4"/>
    <sheet name="Picking Slip" sheetId="19" r:id="rId5"/>
    <sheet name="A-Series" sheetId="9" r:id="rId6"/>
    <sheet name="Marking Stations" sheetId="17" r:id="rId7"/>
    <sheet name="Spares Parts" sheetId="16" r:id="rId8"/>
    <sheet name="Install Guide" sheetId="18" r:id="rId9"/>
    <sheet name="CP" sheetId="13" state="hidden" r:id="rId10"/>
    <sheet name="PASSS" sheetId="14" state="hidden" r:id="rId11"/>
  </sheets>
  <definedNames>
    <definedName name="_xlnm._FilterDatabase" localSheetId="5" hidden="1">'A-Series'!$D$64:$I$79</definedName>
    <definedName name="_xlnm._FilterDatabase" localSheetId="3" hidden="1">Cover!$C$12:$D$24</definedName>
    <definedName name="Account">Cover!$D$14</definedName>
    <definedName name="Address1">Cover!$E$39</definedName>
    <definedName name="Email">Cover!$E$44</definedName>
    <definedName name="EntSft">'A-Series'!$327:$339</definedName>
    <definedName name="EntSftH">'A-Series'!$326:$326</definedName>
    <definedName name="erp_code">Cover!$E$37</definedName>
    <definedName name="ExpressSft">'A-Series'!$315:$323</definedName>
    <definedName name="ExpressSftH">'A-Series'!$314:$314</definedName>
    <definedName name="HStation">'A-Series'!$374:$380</definedName>
    <definedName name="HStationH">'A-Series'!$373:$373</definedName>
    <definedName name="JobTitle">Cover!$E$42</definedName>
    <definedName name="MControl">'A-Series'!$217:$237</definedName>
    <definedName name="MControlH">'A-Series'!$216:$216</definedName>
    <definedName name="Phone">Cover!$E$43</definedName>
    <definedName name="PrimaryContact">Cover!$E$41</definedName>
    <definedName name="_xlnm.Print_Area" localSheetId="5">'A-Series'!$B$4:$J$472</definedName>
    <definedName name="_xlnm.Print_Area" localSheetId="2">Authorisation!$B$4:$K$40</definedName>
    <definedName name="_xlnm.Print_Area" localSheetId="3">Cover!$B$4:$G$286</definedName>
    <definedName name="_xlnm.Print_Area" localSheetId="6">'Marking Stations'!$B$4:$J$122</definedName>
    <definedName name="_xlnm.Print_Area" localSheetId="1">PASS!$C$5:$AA$252</definedName>
    <definedName name="_xlnm.Print_Area" localSheetId="4">'Picking Slip'!$B$8:$H$76</definedName>
    <definedName name="_xlnm.Print_Area" localSheetId="7">'Spares Parts'!$B$4:$J$47</definedName>
    <definedName name="Quote">Cover!$D$18</definedName>
    <definedName name="QuoteNumber">Start!$G$29</definedName>
    <definedName name="Salesman">Cover!$D$13</definedName>
    <definedName name="Topic">Start!$D$27</definedName>
  </definedNames>
  <calcPr calcId="191029"/>
  <pivotCaches>
    <pivotCache cacheId="1" r:id="rId12"/>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610" i="9" l="1"/>
  <c r="P584" i="9"/>
  <c r="P583" i="9"/>
  <c r="P582" i="9"/>
  <c r="P581" i="9"/>
  <c r="D135" i="8"/>
  <c r="P698" i="9" l="1"/>
  <c r="G376" i="9"/>
  <c r="H376" i="9" s="1"/>
  <c r="I376" i="9" s="1"/>
  <c r="AP376" i="9"/>
  <c r="AI376" i="9"/>
  <c r="I672" i="9"/>
  <c r="I655" i="9"/>
  <c r="AL376" i="9" l="1"/>
  <c r="AM376" i="9" s="1"/>
  <c r="AN376" i="9"/>
  <c r="AO376" i="9" s="1"/>
  <c r="P561" i="9"/>
  <c r="H173" i="9" l="1"/>
  <c r="F160" i="8" l="1"/>
  <c r="E136" i="17"/>
  <c r="D133" i="17" s="1"/>
  <c r="E133" i="17" s="1"/>
  <c r="E160" i="8" s="1"/>
  <c r="N111" i="17"/>
  <c r="N110" i="17"/>
  <c r="N109" i="17"/>
  <c r="N108" i="17"/>
  <c r="N107" i="17"/>
  <c r="N106" i="17"/>
  <c r="N105" i="17"/>
  <c r="N104" i="17"/>
  <c r="N103" i="17"/>
  <c r="N102" i="17"/>
  <c r="N101" i="17"/>
  <c r="N100" i="17"/>
  <c r="N85" i="17"/>
  <c r="N84" i="17"/>
  <c r="N75" i="17"/>
  <c r="N74" i="17"/>
  <c r="N73" i="17"/>
  <c r="M111" i="17"/>
  <c r="M110" i="17"/>
  <c r="M109" i="17"/>
  <c r="M108" i="17"/>
  <c r="M107" i="17"/>
  <c r="M106" i="17"/>
  <c r="M105" i="17"/>
  <c r="M104" i="17"/>
  <c r="M103" i="17"/>
  <c r="M102" i="17"/>
  <c r="M101" i="17"/>
  <c r="M100" i="17"/>
  <c r="D130" i="17" s="1"/>
  <c r="F156" i="8" s="1"/>
  <c r="E130" i="17" l="1"/>
  <c r="E156" i="8" s="1"/>
  <c r="D131" i="17"/>
  <c r="D127" i="17"/>
  <c r="D125" i="17"/>
  <c r="D129" i="17"/>
  <c r="F356" i="9"/>
  <c r="F155" i="8" l="1"/>
  <c r="E129" i="17"/>
  <c r="E155" i="8" s="1"/>
  <c r="F151" i="8"/>
  <c r="E125" i="17"/>
  <c r="E151" i="8" s="1"/>
  <c r="F153" i="8"/>
  <c r="E127" i="17"/>
  <c r="E153" i="8" s="1"/>
  <c r="F157" i="8"/>
  <c r="E131" i="17"/>
  <c r="E157" i="8" s="1"/>
  <c r="F6" i="13"/>
  <c r="J6" i="13" s="1"/>
  <c r="J5" i="13"/>
  <c r="I5" i="13"/>
  <c r="I40" i="16"/>
  <c r="I39" i="16"/>
  <c r="I38" i="16"/>
  <c r="I37" i="16"/>
  <c r="I36" i="16"/>
  <c r="I35" i="16"/>
  <c r="I34" i="16"/>
  <c r="I33" i="16"/>
  <c r="I32" i="16"/>
  <c r="I31" i="16"/>
  <c r="I30" i="16"/>
  <c r="I29" i="16"/>
  <c r="I28" i="16"/>
  <c r="I27" i="16"/>
  <c r="I26" i="16"/>
  <c r="I25" i="16"/>
  <c r="I24" i="16"/>
  <c r="I23" i="16"/>
  <c r="I22" i="16"/>
  <c r="I21" i="16"/>
  <c r="I20" i="16"/>
  <c r="I19" i="16"/>
  <c r="I18" i="16"/>
  <c r="I17" i="16"/>
  <c r="I16" i="16"/>
  <c r="I15" i="16"/>
  <c r="I12" i="16"/>
  <c r="I11" i="16"/>
  <c r="I10" i="16"/>
  <c r="I9" i="16"/>
  <c r="F119" i="17"/>
  <c r="E118" i="17" s="1"/>
  <c r="V37" i="8" s="1"/>
  <c r="I111" i="17"/>
  <c r="I110" i="17"/>
  <c r="I109" i="17"/>
  <c r="I108" i="17"/>
  <c r="I107" i="17"/>
  <c r="I106" i="17"/>
  <c r="I105" i="17"/>
  <c r="I104" i="17"/>
  <c r="I103" i="17"/>
  <c r="I102" i="17"/>
  <c r="I101" i="17"/>
  <c r="I100" i="17"/>
  <c r="G86" i="17"/>
  <c r="I84" i="17"/>
  <c r="G83" i="17"/>
  <c r="G82" i="17"/>
  <c r="I82" i="17" s="1"/>
  <c r="G81" i="17"/>
  <c r="G80" i="17"/>
  <c r="I80" i="17" s="1"/>
  <c r="G79" i="17"/>
  <c r="G77" i="17"/>
  <c r="G76" i="17"/>
  <c r="H75" i="17"/>
  <c r="I75" i="17" s="1"/>
  <c r="D75" i="17"/>
  <c r="H74" i="17"/>
  <c r="I74" i="17" s="1"/>
  <c r="D74" i="17"/>
  <c r="H73" i="17"/>
  <c r="I73" i="17" s="1"/>
  <c r="D73" i="17"/>
  <c r="H72" i="17"/>
  <c r="I72" i="17" s="1"/>
  <c r="N72" i="17" s="1"/>
  <c r="D128" i="17" s="1"/>
  <c r="I71" i="17"/>
  <c r="I70" i="17"/>
  <c r="I60" i="17"/>
  <c r="I51" i="17"/>
  <c r="I42" i="17"/>
  <c r="I33" i="17"/>
  <c r="I22" i="17"/>
  <c r="I11" i="17"/>
  <c r="D7" i="17"/>
  <c r="D6" i="17"/>
  <c r="G940" i="9"/>
  <c r="G941" i="9" s="1"/>
  <c r="I937" i="9"/>
  <c r="I938" i="9" s="1"/>
  <c r="I939" i="9" s="1"/>
  <c r="I940" i="9" s="1"/>
  <c r="I941" i="9" s="1"/>
  <c r="I942" i="9" s="1"/>
  <c r="I943" i="9" s="1"/>
  <c r="I944" i="9" s="1"/>
  <c r="I945" i="9" s="1"/>
  <c r="I946" i="9" s="1"/>
  <c r="I947" i="9" s="1"/>
  <c r="I948" i="9" s="1"/>
  <c r="I949" i="9" s="1"/>
  <c r="I950" i="9" s="1"/>
  <c r="I951" i="9" s="1"/>
  <c r="I952" i="9" s="1"/>
  <c r="I953" i="9" s="1"/>
  <c r="I954" i="9" s="1"/>
  <c r="I955" i="9" s="1"/>
  <c r="I956" i="9" s="1"/>
  <c r="I957" i="9" s="1"/>
  <c r="I958" i="9" s="1"/>
  <c r="H933" i="9"/>
  <c r="P891" i="9"/>
  <c r="P890" i="9"/>
  <c r="P889" i="9"/>
  <c r="P888" i="9"/>
  <c r="P887" i="9"/>
  <c r="P886" i="9"/>
  <c r="P885" i="9"/>
  <c r="P884" i="9"/>
  <c r="P883" i="9"/>
  <c r="P882" i="9"/>
  <c r="P881" i="9"/>
  <c r="P880" i="9"/>
  <c r="P879" i="9"/>
  <c r="P878" i="9"/>
  <c r="P877" i="9"/>
  <c r="P876" i="9"/>
  <c r="P875" i="9"/>
  <c r="P874" i="9"/>
  <c r="P873" i="9"/>
  <c r="P872" i="9"/>
  <c r="P871" i="9"/>
  <c r="P870" i="9"/>
  <c r="P869" i="9"/>
  <c r="P868" i="9"/>
  <c r="I867" i="9"/>
  <c r="P867" i="9" s="1"/>
  <c r="P866" i="9"/>
  <c r="P865" i="9"/>
  <c r="P864" i="9"/>
  <c r="P863" i="9"/>
  <c r="P862" i="9"/>
  <c r="P861" i="9"/>
  <c r="P860" i="9"/>
  <c r="P859" i="9"/>
  <c r="P858" i="9"/>
  <c r="P857" i="9"/>
  <c r="P856" i="9"/>
  <c r="P855" i="9"/>
  <c r="P854" i="9"/>
  <c r="P853" i="9"/>
  <c r="P852" i="9"/>
  <c r="P851" i="9"/>
  <c r="P850" i="9"/>
  <c r="P849" i="9"/>
  <c r="P848" i="9"/>
  <c r="P847" i="9"/>
  <c r="P846" i="9"/>
  <c r="P845" i="9"/>
  <c r="P844" i="9"/>
  <c r="P843" i="9"/>
  <c r="P842" i="9"/>
  <c r="P841" i="9"/>
  <c r="P840" i="9"/>
  <c r="P839" i="9"/>
  <c r="P838" i="9"/>
  <c r="P837" i="9"/>
  <c r="P836" i="9"/>
  <c r="P835" i="9"/>
  <c r="P834" i="9"/>
  <c r="P833" i="9"/>
  <c r="P832" i="9"/>
  <c r="P831" i="9"/>
  <c r="P830" i="9"/>
  <c r="P829" i="9"/>
  <c r="P828" i="9"/>
  <c r="P827" i="9"/>
  <c r="P826" i="9"/>
  <c r="P825" i="9"/>
  <c r="P824" i="9"/>
  <c r="P823" i="9"/>
  <c r="P822" i="9"/>
  <c r="P821" i="9"/>
  <c r="P820" i="9"/>
  <c r="P819" i="9"/>
  <c r="P818" i="9"/>
  <c r="P817" i="9"/>
  <c r="P816" i="9"/>
  <c r="P815" i="9"/>
  <c r="P814" i="9"/>
  <c r="P813" i="9"/>
  <c r="P812" i="9"/>
  <c r="P811" i="9"/>
  <c r="P810" i="9"/>
  <c r="P809" i="9"/>
  <c r="P808" i="9"/>
  <c r="P807" i="9"/>
  <c r="P806" i="9"/>
  <c r="P805" i="9"/>
  <c r="P804" i="9"/>
  <c r="P803" i="9"/>
  <c r="P802" i="9"/>
  <c r="P801" i="9"/>
  <c r="P800" i="9"/>
  <c r="P799" i="9"/>
  <c r="P798" i="9"/>
  <c r="P797" i="9"/>
  <c r="P796" i="9"/>
  <c r="P795" i="9"/>
  <c r="P794" i="9"/>
  <c r="P793" i="9"/>
  <c r="P792" i="9"/>
  <c r="P791" i="9"/>
  <c r="P790" i="9"/>
  <c r="P789" i="9"/>
  <c r="P788" i="9"/>
  <c r="P787" i="9"/>
  <c r="P786" i="9"/>
  <c r="P785" i="9"/>
  <c r="P784" i="9"/>
  <c r="P783" i="9"/>
  <c r="P782" i="9"/>
  <c r="P781" i="9"/>
  <c r="P780" i="9"/>
  <c r="P779" i="9"/>
  <c r="P778" i="9"/>
  <c r="P777" i="9"/>
  <c r="P776" i="9"/>
  <c r="P775" i="9"/>
  <c r="P774" i="9"/>
  <c r="P773" i="9"/>
  <c r="P772" i="9"/>
  <c r="P771" i="9"/>
  <c r="P770" i="9"/>
  <c r="P769" i="9"/>
  <c r="P768" i="9"/>
  <c r="P767" i="9"/>
  <c r="P766" i="9"/>
  <c r="P765" i="9"/>
  <c r="P764" i="9"/>
  <c r="P763" i="9"/>
  <c r="P762" i="9"/>
  <c r="P761" i="9"/>
  <c r="P760" i="9"/>
  <c r="P759" i="9"/>
  <c r="P758" i="9"/>
  <c r="P757" i="9"/>
  <c r="P756" i="9"/>
  <c r="P755" i="9"/>
  <c r="P754" i="9"/>
  <c r="P753" i="9"/>
  <c r="P752" i="9"/>
  <c r="P751" i="9"/>
  <c r="P750" i="9"/>
  <c r="P749" i="9"/>
  <c r="P748" i="9"/>
  <c r="P747" i="9"/>
  <c r="P746" i="9"/>
  <c r="P745" i="9"/>
  <c r="P744" i="9"/>
  <c r="P743" i="9"/>
  <c r="P742" i="9"/>
  <c r="P741" i="9"/>
  <c r="P740" i="9"/>
  <c r="P739" i="9"/>
  <c r="P738" i="9"/>
  <c r="P737" i="9"/>
  <c r="P736" i="9"/>
  <c r="P735" i="9"/>
  <c r="P734" i="9"/>
  <c r="P733" i="9"/>
  <c r="P732" i="9"/>
  <c r="P731" i="9"/>
  <c r="P730" i="9"/>
  <c r="P729" i="9"/>
  <c r="P728" i="9"/>
  <c r="P727" i="9"/>
  <c r="P726" i="9"/>
  <c r="P719" i="9"/>
  <c r="P718" i="9"/>
  <c r="P716" i="9"/>
  <c r="P714" i="9"/>
  <c r="P713" i="9"/>
  <c r="P712" i="9"/>
  <c r="I712" i="9"/>
  <c r="P711" i="9"/>
  <c r="P710" i="9"/>
  <c r="P709" i="9"/>
  <c r="P708" i="9"/>
  <c r="P707" i="9"/>
  <c r="P706" i="9"/>
  <c r="P705" i="9"/>
  <c r="P704" i="9"/>
  <c r="P703" i="9"/>
  <c r="P702" i="9"/>
  <c r="P701" i="9"/>
  <c r="P700" i="9"/>
  <c r="P699" i="9"/>
  <c r="P697" i="9"/>
  <c r="P696" i="9"/>
  <c r="P695" i="9"/>
  <c r="P694" i="9"/>
  <c r="P693" i="9"/>
  <c r="P692" i="9"/>
  <c r="P691" i="9"/>
  <c r="P690" i="9"/>
  <c r="P689" i="9"/>
  <c r="P688" i="9"/>
  <c r="P687" i="9"/>
  <c r="P686" i="9"/>
  <c r="P685" i="9"/>
  <c r="P684" i="9"/>
  <c r="P683" i="9"/>
  <c r="P682" i="9"/>
  <c r="P681" i="9"/>
  <c r="P680" i="9"/>
  <c r="P679" i="9"/>
  <c r="P678" i="9"/>
  <c r="P677" i="9"/>
  <c r="P676" i="9"/>
  <c r="P675" i="9"/>
  <c r="P674" i="9"/>
  <c r="P673" i="9"/>
  <c r="P672" i="9"/>
  <c r="P671" i="9"/>
  <c r="P670" i="9"/>
  <c r="P669" i="9"/>
  <c r="P668" i="9"/>
  <c r="P667" i="9"/>
  <c r="P666" i="9"/>
  <c r="P665" i="9"/>
  <c r="P664" i="9"/>
  <c r="P663" i="9"/>
  <c r="P662" i="9"/>
  <c r="P661" i="9"/>
  <c r="P660" i="9"/>
  <c r="P659" i="9"/>
  <c r="P658" i="9"/>
  <c r="P657" i="9"/>
  <c r="P656" i="9"/>
  <c r="P655" i="9"/>
  <c r="R654" i="9"/>
  <c r="P654" i="9"/>
  <c r="P653" i="9"/>
  <c r="P652" i="9"/>
  <c r="P651" i="9"/>
  <c r="P650" i="9"/>
  <c r="P649" i="9"/>
  <c r="P648" i="9"/>
  <c r="P647" i="9"/>
  <c r="P646" i="9"/>
  <c r="P645" i="9"/>
  <c r="P644" i="9"/>
  <c r="P643" i="9"/>
  <c r="P642" i="9"/>
  <c r="P641" i="9"/>
  <c r="P640" i="9"/>
  <c r="P639" i="9"/>
  <c r="P638" i="9"/>
  <c r="P637" i="9"/>
  <c r="P636" i="9"/>
  <c r="P635" i="9"/>
  <c r="P634" i="9"/>
  <c r="P633" i="9"/>
  <c r="P632" i="9"/>
  <c r="P631" i="9"/>
  <c r="P630" i="9"/>
  <c r="P629" i="9"/>
  <c r="P628" i="9"/>
  <c r="P627" i="9"/>
  <c r="P609" i="9"/>
  <c r="P608" i="9"/>
  <c r="P607" i="9"/>
  <c r="P606" i="9"/>
  <c r="P605" i="9"/>
  <c r="P580" i="9"/>
  <c r="P579" i="9"/>
  <c r="P578" i="9"/>
  <c r="P577" i="9"/>
  <c r="P576" i="9"/>
  <c r="P575" i="9"/>
  <c r="P574" i="9"/>
  <c r="P573" i="9"/>
  <c r="P572" i="9"/>
  <c r="P571" i="9"/>
  <c r="P570" i="9"/>
  <c r="P569" i="9"/>
  <c r="P568" i="9"/>
  <c r="P567" i="9"/>
  <c r="P566" i="9"/>
  <c r="P565" i="9"/>
  <c r="P564" i="9"/>
  <c r="P563" i="9"/>
  <c r="P562" i="9"/>
  <c r="P560" i="9"/>
  <c r="P559" i="9"/>
  <c r="P558" i="9"/>
  <c r="I557" i="9"/>
  <c r="P557" i="9" s="1"/>
  <c r="P556" i="9"/>
  <c r="P555" i="9"/>
  <c r="P554" i="9"/>
  <c r="P553" i="9"/>
  <c r="P552" i="9"/>
  <c r="P551" i="9"/>
  <c r="P550" i="9"/>
  <c r="P549" i="9"/>
  <c r="P548" i="9"/>
  <c r="P547" i="9"/>
  <c r="P546" i="9"/>
  <c r="P545" i="9"/>
  <c r="P544" i="9"/>
  <c r="P543" i="9"/>
  <c r="P542" i="9"/>
  <c r="P541" i="9"/>
  <c r="P540" i="9"/>
  <c r="P539" i="9"/>
  <c r="I538" i="9"/>
  <c r="P538" i="9" s="1"/>
  <c r="I537" i="9"/>
  <c r="P537" i="9" s="1"/>
  <c r="G537" i="9"/>
  <c r="AK268" i="9" s="1"/>
  <c r="AP268" i="9" s="1"/>
  <c r="P536" i="9"/>
  <c r="P535" i="9"/>
  <c r="I534" i="9"/>
  <c r="P534" i="9" s="1"/>
  <c r="I533" i="9"/>
  <c r="P533" i="9" s="1"/>
  <c r="H533" i="9"/>
  <c r="G533" i="9"/>
  <c r="F533" i="9"/>
  <c r="H353" i="9" s="1"/>
  <c r="I353" i="9" s="1"/>
  <c r="P532" i="9"/>
  <c r="P531" i="9"/>
  <c r="P530" i="9"/>
  <c r="P529" i="9"/>
  <c r="P528" i="9"/>
  <c r="P527" i="9"/>
  <c r="P526" i="9"/>
  <c r="P525" i="9"/>
  <c r="P524" i="9"/>
  <c r="P523" i="9"/>
  <c r="P522" i="9"/>
  <c r="P521" i="9"/>
  <c r="P520" i="9"/>
  <c r="P519" i="9"/>
  <c r="P518" i="9"/>
  <c r="P517" i="9"/>
  <c r="P516" i="9"/>
  <c r="P515" i="9"/>
  <c r="P514" i="9"/>
  <c r="P513" i="9"/>
  <c r="P512" i="9"/>
  <c r="P511" i="9"/>
  <c r="P510" i="9"/>
  <c r="P509" i="9"/>
  <c r="P508" i="9"/>
  <c r="P507" i="9"/>
  <c r="P506" i="9"/>
  <c r="P505" i="9"/>
  <c r="C492" i="9"/>
  <c r="G492" i="9" s="1"/>
  <c r="C490" i="9"/>
  <c r="G490" i="9" s="1"/>
  <c r="C489" i="9"/>
  <c r="H465" i="9" s="1"/>
  <c r="C488" i="9"/>
  <c r="G488" i="9" s="1"/>
  <c r="D423" i="9"/>
  <c r="I410" i="9"/>
  <c r="AN407" i="9"/>
  <c r="AO407" i="9" s="1"/>
  <c r="AL407" i="9"/>
  <c r="AM407" i="9" s="1"/>
  <c r="AK407" i="9"/>
  <c r="AP407" i="9" s="1"/>
  <c r="AI407" i="9"/>
  <c r="AH407" i="9"/>
  <c r="I407" i="9"/>
  <c r="AN406" i="9"/>
  <c r="AO406" i="9" s="1"/>
  <c r="AL406" i="9"/>
  <c r="AM406" i="9" s="1"/>
  <c r="AK406" i="9"/>
  <c r="AP406" i="9" s="1"/>
  <c r="AI406" i="9"/>
  <c r="AH406" i="9"/>
  <c r="I406" i="9"/>
  <c r="C406" i="9"/>
  <c r="AN405" i="9"/>
  <c r="AO405" i="9" s="1"/>
  <c r="AL405" i="9"/>
  <c r="AM405" i="9" s="1"/>
  <c r="AK405" i="9"/>
  <c r="AP405" i="9" s="1"/>
  <c r="AI405" i="9"/>
  <c r="AH405" i="9"/>
  <c r="I405" i="9"/>
  <c r="C405" i="9"/>
  <c r="AN404" i="9"/>
  <c r="AO404" i="9" s="1"/>
  <c r="AL404" i="9"/>
  <c r="AM404" i="9" s="1"/>
  <c r="AK404" i="9"/>
  <c r="AP404" i="9" s="1"/>
  <c r="AI404" i="9"/>
  <c r="AH404" i="9"/>
  <c r="I404" i="9"/>
  <c r="C404" i="9"/>
  <c r="AN403" i="9"/>
  <c r="AO403" i="9" s="1"/>
  <c r="AL403" i="9"/>
  <c r="AM403" i="9" s="1"/>
  <c r="AK403" i="9"/>
  <c r="AP403" i="9" s="1"/>
  <c r="AI403" i="9"/>
  <c r="AH403" i="9"/>
  <c r="I403" i="9"/>
  <c r="C403" i="9"/>
  <c r="AN402" i="9"/>
  <c r="AO402" i="9" s="1"/>
  <c r="AK402" i="9"/>
  <c r="AP402" i="9" s="1"/>
  <c r="AI402" i="9"/>
  <c r="AH402" i="9"/>
  <c r="I402" i="9"/>
  <c r="AL402" i="9" s="1"/>
  <c r="AM402" i="9" s="1"/>
  <c r="C402" i="9"/>
  <c r="AN401" i="9"/>
  <c r="AO401" i="9" s="1"/>
  <c r="AK401" i="9"/>
  <c r="AP401" i="9" s="1"/>
  <c r="AI401" i="9"/>
  <c r="AH401" i="9"/>
  <c r="I401" i="9"/>
  <c r="AL401" i="9" s="1"/>
  <c r="AM401" i="9" s="1"/>
  <c r="C401" i="9"/>
  <c r="AN400" i="9"/>
  <c r="AO400" i="9" s="1"/>
  <c r="AK400" i="9"/>
  <c r="AP400" i="9" s="1"/>
  <c r="AI400" i="9"/>
  <c r="AH400" i="9"/>
  <c r="I400" i="9"/>
  <c r="AL400" i="9" s="1"/>
  <c r="AM400" i="9" s="1"/>
  <c r="C400" i="9"/>
  <c r="AN399" i="9"/>
  <c r="AO399" i="9" s="1"/>
  <c r="AK399" i="9"/>
  <c r="AP399" i="9" s="1"/>
  <c r="AI399" i="9"/>
  <c r="AH399" i="9"/>
  <c r="I399" i="9"/>
  <c r="AL399" i="9" s="1"/>
  <c r="AM399" i="9" s="1"/>
  <c r="C399" i="9"/>
  <c r="AN398" i="9"/>
  <c r="AO398" i="9" s="1"/>
  <c r="AK398" i="9"/>
  <c r="AP398" i="9" s="1"/>
  <c r="AI398" i="9"/>
  <c r="AH398" i="9"/>
  <c r="I398" i="9"/>
  <c r="AL398" i="9" s="1"/>
  <c r="AM398" i="9" s="1"/>
  <c r="C398" i="9"/>
  <c r="AN397" i="9"/>
  <c r="AO397" i="9" s="1"/>
  <c r="AK397" i="9"/>
  <c r="AP397" i="9" s="1"/>
  <c r="AI397" i="9"/>
  <c r="AH397" i="9"/>
  <c r="I397" i="9"/>
  <c r="AL397" i="9" s="1"/>
  <c r="AM397" i="9" s="1"/>
  <c r="C397" i="9"/>
  <c r="AN396" i="9"/>
  <c r="AO396" i="9" s="1"/>
  <c r="AL396" i="9"/>
  <c r="AM396" i="9" s="1"/>
  <c r="AK396" i="9"/>
  <c r="AP396" i="9" s="1"/>
  <c r="AI396" i="9"/>
  <c r="AH396" i="9"/>
  <c r="I396" i="9"/>
  <c r="C396" i="9"/>
  <c r="AN395" i="9"/>
  <c r="AO395" i="9" s="1"/>
  <c r="AK395" i="9"/>
  <c r="AP395" i="9" s="1"/>
  <c r="AI395" i="9"/>
  <c r="AH395" i="9"/>
  <c r="I395" i="9"/>
  <c r="AL395" i="9" s="1"/>
  <c r="AM395" i="9" s="1"/>
  <c r="C395" i="9"/>
  <c r="AN394" i="9"/>
  <c r="AO394" i="9" s="1"/>
  <c r="AK394" i="9"/>
  <c r="AP394" i="9" s="1"/>
  <c r="AI394" i="9"/>
  <c r="AH394" i="9"/>
  <c r="I394" i="9"/>
  <c r="AL394" i="9" s="1"/>
  <c r="AM394" i="9" s="1"/>
  <c r="C394" i="9"/>
  <c r="AN393" i="9"/>
  <c r="AO393" i="9" s="1"/>
  <c r="AK393" i="9"/>
  <c r="AP393" i="9" s="1"/>
  <c r="AI393" i="9"/>
  <c r="AH393" i="9"/>
  <c r="I393" i="9"/>
  <c r="AL393" i="9" s="1"/>
  <c r="AM393" i="9" s="1"/>
  <c r="C393" i="9"/>
  <c r="AN392" i="9"/>
  <c r="AO392" i="9" s="1"/>
  <c r="AK392" i="9"/>
  <c r="AP392" i="9" s="1"/>
  <c r="AI392" i="9"/>
  <c r="AH392" i="9"/>
  <c r="I392" i="9"/>
  <c r="AL392" i="9" s="1"/>
  <c r="AM392" i="9" s="1"/>
  <c r="C392" i="9"/>
  <c r="AN391" i="9"/>
  <c r="AO391" i="9" s="1"/>
  <c r="AK391" i="9"/>
  <c r="AP391" i="9" s="1"/>
  <c r="AI391" i="9"/>
  <c r="AH391" i="9"/>
  <c r="I391" i="9"/>
  <c r="AL391" i="9" s="1"/>
  <c r="AM391" i="9" s="1"/>
  <c r="C391" i="9"/>
  <c r="AN390" i="9"/>
  <c r="AO390" i="9" s="1"/>
  <c r="AK390" i="9"/>
  <c r="AP390" i="9" s="1"/>
  <c r="AI390" i="9"/>
  <c r="AH390" i="9"/>
  <c r="I390" i="9"/>
  <c r="AL390" i="9" s="1"/>
  <c r="AM390" i="9" s="1"/>
  <c r="C390" i="9"/>
  <c r="AN389" i="9"/>
  <c r="AO389" i="9" s="1"/>
  <c r="AK389" i="9"/>
  <c r="AP389" i="9" s="1"/>
  <c r="AI389" i="9"/>
  <c r="AH389" i="9"/>
  <c r="I389" i="9"/>
  <c r="AL389" i="9" s="1"/>
  <c r="AM389" i="9" s="1"/>
  <c r="C389" i="9"/>
  <c r="AP388" i="9"/>
  <c r="AP387" i="9"/>
  <c r="AN387" i="9"/>
  <c r="AO387" i="9" s="1"/>
  <c r="AL387" i="9"/>
  <c r="AI387" i="9"/>
  <c r="AH387" i="9"/>
  <c r="AG387" i="9"/>
  <c r="AP386" i="9"/>
  <c r="AN386" i="9"/>
  <c r="AO386" i="9" s="1"/>
  <c r="AL386" i="9"/>
  <c r="AI386" i="9"/>
  <c r="AH386" i="9"/>
  <c r="AG386" i="9"/>
  <c r="AP385" i="9"/>
  <c r="AN385" i="9"/>
  <c r="AO385" i="9" s="1"/>
  <c r="AL385" i="9"/>
  <c r="AI385" i="9"/>
  <c r="AH385" i="9"/>
  <c r="AG385" i="9"/>
  <c r="AP384" i="9"/>
  <c r="AN384" i="9"/>
  <c r="AO384" i="9" s="1"/>
  <c r="AL384" i="9"/>
  <c r="AI384" i="9"/>
  <c r="AH384" i="9"/>
  <c r="AG384" i="9"/>
  <c r="AP383" i="9"/>
  <c r="AN383" i="9"/>
  <c r="AO383" i="9" s="1"/>
  <c r="AL383" i="9"/>
  <c r="AI383" i="9"/>
  <c r="AH383" i="9"/>
  <c r="AG383" i="9"/>
  <c r="AP382" i="9"/>
  <c r="AN382" i="9"/>
  <c r="AO382" i="9" s="1"/>
  <c r="AL382" i="9"/>
  <c r="AI382" i="9"/>
  <c r="AH382" i="9"/>
  <c r="AG382" i="9"/>
  <c r="H382" i="9"/>
  <c r="I382" i="9" s="1"/>
  <c r="AP381" i="9"/>
  <c r="AN381" i="9"/>
  <c r="AO381" i="9" s="1"/>
  <c r="AL381" i="9"/>
  <c r="AI381" i="9"/>
  <c r="AH381" i="9"/>
  <c r="AG381" i="9"/>
  <c r="H381" i="9"/>
  <c r="I381" i="9" s="1"/>
  <c r="AP380" i="9"/>
  <c r="AI380" i="9"/>
  <c r="AP379" i="9"/>
  <c r="AI379" i="9"/>
  <c r="G380" i="9"/>
  <c r="AP378" i="9"/>
  <c r="AI378" i="9"/>
  <c r="G378" i="9"/>
  <c r="AN378" i="9" s="1"/>
  <c r="AO378" i="9" s="1"/>
  <c r="AP377" i="9"/>
  <c r="AI377" i="9"/>
  <c r="AN377" i="9"/>
  <c r="AO377" i="9" s="1"/>
  <c r="AP375" i="9"/>
  <c r="AN375" i="9"/>
  <c r="AO375" i="9" s="1"/>
  <c r="AL375" i="9"/>
  <c r="AM375" i="9" s="1"/>
  <c r="AI375" i="9"/>
  <c r="H375" i="9"/>
  <c r="I375" i="9" s="1"/>
  <c r="AP374" i="9"/>
  <c r="AN374" i="9"/>
  <c r="AO374" i="9" s="1"/>
  <c r="AL374" i="9"/>
  <c r="AM374" i="9" s="1"/>
  <c r="AI374" i="9"/>
  <c r="H374" i="9"/>
  <c r="I374" i="9" s="1"/>
  <c r="AP373" i="9"/>
  <c r="AN373" i="9"/>
  <c r="AO373" i="9" s="1"/>
  <c r="AL373" i="9"/>
  <c r="AM373" i="9" s="1"/>
  <c r="AI373" i="9"/>
  <c r="AH373" i="9"/>
  <c r="AG373" i="9"/>
  <c r="AP372" i="9"/>
  <c r="AN372" i="9"/>
  <c r="AO372" i="9" s="1"/>
  <c r="AL372" i="9"/>
  <c r="AM372" i="9" s="1"/>
  <c r="AI372" i="9"/>
  <c r="AH372" i="9"/>
  <c r="AG372" i="9"/>
  <c r="AP371" i="9"/>
  <c r="AI371" i="9"/>
  <c r="G371" i="9"/>
  <c r="AL371" i="9" s="1"/>
  <c r="AM371" i="9" s="1"/>
  <c r="AP370" i="9"/>
  <c r="AN370" i="9"/>
  <c r="AO370" i="9" s="1"/>
  <c r="AL370" i="9"/>
  <c r="AM370" i="9" s="1"/>
  <c r="AI370" i="9"/>
  <c r="H370" i="9"/>
  <c r="I370" i="9" s="1"/>
  <c r="AN369" i="9"/>
  <c r="AO369" i="9" s="1"/>
  <c r="AL369" i="9"/>
  <c r="AM369" i="9" s="1"/>
  <c r="AI369" i="9"/>
  <c r="AH369" i="9"/>
  <c r="AG369" i="9"/>
  <c r="H369" i="9"/>
  <c r="I369" i="9" s="1"/>
  <c r="AP368" i="9"/>
  <c r="S368" i="9"/>
  <c r="L368" i="9"/>
  <c r="F368" i="9"/>
  <c r="AI368" i="9" s="1"/>
  <c r="AP367" i="9"/>
  <c r="S367" i="9"/>
  <c r="L367" i="9"/>
  <c r="F367" i="9"/>
  <c r="AI367" i="9" s="1"/>
  <c r="AP366" i="9"/>
  <c r="S366" i="9"/>
  <c r="L366" i="9"/>
  <c r="F366" i="9"/>
  <c r="AI366" i="9" s="1"/>
  <c r="AP365" i="9"/>
  <c r="AI365" i="9"/>
  <c r="AN365" i="9"/>
  <c r="AO365" i="9" s="1"/>
  <c r="AP364" i="9"/>
  <c r="AP363" i="9"/>
  <c r="AI363" i="9"/>
  <c r="G363" i="9"/>
  <c r="AN363" i="9" s="1"/>
  <c r="AO363" i="9" s="1"/>
  <c r="AP362" i="9"/>
  <c r="AI362" i="9"/>
  <c r="G362" i="9"/>
  <c r="H362" i="9" s="1"/>
  <c r="I362" i="9" s="1"/>
  <c r="AL362" i="9" s="1"/>
  <c r="AM362" i="9" s="1"/>
  <c r="AP361" i="9"/>
  <c r="AN361" i="9"/>
  <c r="AO361" i="9" s="1"/>
  <c r="AL361" i="9"/>
  <c r="AM361" i="9" s="1"/>
  <c r="AI361" i="9"/>
  <c r="H361" i="9"/>
  <c r="I361" i="9" s="1"/>
  <c r="AP360" i="9"/>
  <c r="AN360" i="9"/>
  <c r="AO360" i="9" s="1"/>
  <c r="AI360" i="9"/>
  <c r="AP359" i="9"/>
  <c r="AN359" i="9"/>
  <c r="AO359" i="9" s="1"/>
  <c r="AI359" i="9"/>
  <c r="H359" i="9"/>
  <c r="I359" i="9" s="1"/>
  <c r="AL359" i="9" s="1"/>
  <c r="AM359" i="9" s="1"/>
  <c r="AP358" i="9"/>
  <c r="AN358" i="9"/>
  <c r="AO358" i="9" s="1"/>
  <c r="AI358" i="9"/>
  <c r="H358" i="9"/>
  <c r="I358" i="9" s="1"/>
  <c r="AP357" i="9"/>
  <c r="AN357" i="9"/>
  <c r="AO357" i="9" s="1"/>
  <c r="AL357" i="9"/>
  <c r="AM357" i="9" s="1"/>
  <c r="AH357" i="9"/>
  <c r="AG357" i="9"/>
  <c r="AP356" i="9"/>
  <c r="AN356" i="9"/>
  <c r="AO356" i="9" s="1"/>
  <c r="AL356" i="9"/>
  <c r="AM356" i="9" s="1"/>
  <c r="AI356" i="9"/>
  <c r="AH356" i="9"/>
  <c r="AG356" i="9"/>
  <c r="AP355" i="9"/>
  <c r="AN355" i="9"/>
  <c r="AO355" i="9" s="1"/>
  <c r="AL355" i="9"/>
  <c r="AM355" i="9" s="1"/>
  <c r="AI355" i="9"/>
  <c r="H355" i="9"/>
  <c r="I355" i="9" s="1"/>
  <c r="AP354" i="9"/>
  <c r="AN354" i="9"/>
  <c r="AO354" i="9" s="1"/>
  <c r="AL354" i="9"/>
  <c r="AM354" i="9" s="1"/>
  <c r="AI354" i="9"/>
  <c r="H354" i="9"/>
  <c r="I354" i="9" s="1"/>
  <c r="D354" i="9"/>
  <c r="AG354" i="9" s="1"/>
  <c r="AN353" i="9"/>
  <c r="AO353" i="9" s="1"/>
  <c r="AL353" i="9"/>
  <c r="AM353" i="9" s="1"/>
  <c r="AI353" i="9"/>
  <c r="AP352" i="9"/>
  <c r="AN352" i="9"/>
  <c r="AO352" i="9" s="1"/>
  <c r="AI352" i="9"/>
  <c r="H352" i="9"/>
  <c r="I352" i="9" s="1"/>
  <c r="AL352" i="9" s="1"/>
  <c r="AM352" i="9" s="1"/>
  <c r="AP351" i="9"/>
  <c r="AN351" i="9"/>
  <c r="AO351" i="9" s="1"/>
  <c r="AI351" i="9"/>
  <c r="H351" i="9"/>
  <c r="I351" i="9" s="1"/>
  <c r="AL351" i="9" s="1"/>
  <c r="AM351" i="9" s="1"/>
  <c r="AP350" i="9"/>
  <c r="AN350" i="9"/>
  <c r="AO350" i="9" s="1"/>
  <c r="AL350" i="9"/>
  <c r="AM350" i="9" s="1"/>
  <c r="AI350" i="9"/>
  <c r="AH350" i="9"/>
  <c r="AG350" i="9"/>
  <c r="AP349" i="9"/>
  <c r="AN349" i="9"/>
  <c r="AO349" i="9" s="1"/>
  <c r="AL349" i="9"/>
  <c r="AM349" i="9" s="1"/>
  <c r="AI349" i="9"/>
  <c r="AH349" i="9"/>
  <c r="AG349" i="9"/>
  <c r="AP348" i="9"/>
  <c r="AP347" i="9"/>
  <c r="AN347" i="9"/>
  <c r="AO347" i="9" s="1"/>
  <c r="AL347" i="9"/>
  <c r="AM347" i="9" s="1"/>
  <c r="AI347" i="9"/>
  <c r="AH347" i="9"/>
  <c r="AG347" i="9"/>
  <c r="I347" i="9"/>
  <c r="AP346" i="9"/>
  <c r="AN346" i="9"/>
  <c r="AO346" i="9" s="1"/>
  <c r="AL346" i="9"/>
  <c r="AM346" i="9" s="1"/>
  <c r="AI346" i="9"/>
  <c r="AH346" i="9"/>
  <c r="AG346" i="9"/>
  <c r="H346" i="9"/>
  <c r="I346" i="9" s="1"/>
  <c r="AP345" i="9"/>
  <c r="AN345" i="9"/>
  <c r="AO345" i="9" s="1"/>
  <c r="AL345" i="9"/>
  <c r="AM345" i="9" s="1"/>
  <c r="AI345" i="9"/>
  <c r="AH345" i="9"/>
  <c r="AG345" i="9"/>
  <c r="H345" i="9"/>
  <c r="I345" i="9" s="1"/>
  <c r="AP344" i="9"/>
  <c r="AN344" i="9"/>
  <c r="AO344" i="9" s="1"/>
  <c r="AL344" i="9"/>
  <c r="AM344" i="9" s="1"/>
  <c r="AI344" i="9"/>
  <c r="AH344" i="9"/>
  <c r="AG344" i="9"/>
  <c r="H344" i="9"/>
  <c r="I344" i="9" s="1"/>
  <c r="AP343" i="9"/>
  <c r="AN343" i="9"/>
  <c r="AO343" i="9" s="1"/>
  <c r="AL343" i="9"/>
  <c r="AM343" i="9" s="1"/>
  <c r="AI343" i="9"/>
  <c r="AH343" i="9"/>
  <c r="AG343" i="9"/>
  <c r="H343" i="9"/>
  <c r="I343" i="9" s="1"/>
  <c r="AP342" i="9"/>
  <c r="AN342" i="9"/>
  <c r="AO342" i="9" s="1"/>
  <c r="AL342" i="9"/>
  <c r="AM342" i="9" s="1"/>
  <c r="AI342" i="9"/>
  <c r="AH342" i="9"/>
  <c r="AG342" i="9"/>
  <c r="H342" i="9"/>
  <c r="I342" i="9" s="1"/>
  <c r="AP341" i="9"/>
  <c r="AN341" i="9"/>
  <c r="AO341" i="9" s="1"/>
  <c r="AL341" i="9"/>
  <c r="AM341" i="9" s="1"/>
  <c r="AI341" i="9"/>
  <c r="AH341" i="9"/>
  <c r="AG341" i="9"/>
  <c r="H341" i="9"/>
  <c r="I341" i="9" s="1"/>
  <c r="AP340" i="9"/>
  <c r="AN340" i="9"/>
  <c r="AO340" i="9" s="1"/>
  <c r="AL340" i="9"/>
  <c r="AM340" i="9" s="1"/>
  <c r="AI340" i="9"/>
  <c r="AH340" i="9"/>
  <c r="AG340" i="9"/>
  <c r="H340" i="9"/>
  <c r="I340" i="9" s="1"/>
  <c r="AP339" i="9"/>
  <c r="AN339" i="9"/>
  <c r="AO339" i="9" s="1"/>
  <c r="AL339" i="9"/>
  <c r="AM339" i="9" s="1"/>
  <c r="AI339" i="9"/>
  <c r="AH339" i="9"/>
  <c r="AG339" i="9"/>
  <c r="H339" i="9"/>
  <c r="I339" i="9" s="1"/>
  <c r="AP338" i="9"/>
  <c r="AN338" i="9"/>
  <c r="AO338" i="9" s="1"/>
  <c r="AL338" i="9"/>
  <c r="AM338" i="9" s="1"/>
  <c r="AI338" i="9"/>
  <c r="AH338" i="9"/>
  <c r="AG338" i="9"/>
  <c r="H338" i="9"/>
  <c r="I338" i="9" s="1"/>
  <c r="AP337" i="9"/>
  <c r="AN337" i="9"/>
  <c r="AO337" i="9" s="1"/>
  <c r="AI337" i="9"/>
  <c r="AH337" i="9"/>
  <c r="AG337" i="9"/>
  <c r="H337" i="9"/>
  <c r="I337" i="9" s="1"/>
  <c r="AL337" i="9" s="1"/>
  <c r="AM337" i="9" s="1"/>
  <c r="AP336" i="9"/>
  <c r="AN336" i="9"/>
  <c r="AO336" i="9" s="1"/>
  <c r="AI336" i="9"/>
  <c r="AH336" i="9"/>
  <c r="AG336" i="9"/>
  <c r="H336" i="9"/>
  <c r="I336" i="9" s="1"/>
  <c r="AL336" i="9" s="1"/>
  <c r="AM336" i="9" s="1"/>
  <c r="AP335" i="9"/>
  <c r="AN335" i="9"/>
  <c r="AO335" i="9" s="1"/>
  <c r="AI335" i="9"/>
  <c r="AH335" i="9"/>
  <c r="AG335" i="9"/>
  <c r="H335" i="9"/>
  <c r="I335" i="9" s="1"/>
  <c r="AL335" i="9" s="1"/>
  <c r="AM335" i="9" s="1"/>
  <c r="AP334" i="9"/>
  <c r="AN334" i="9"/>
  <c r="AO334" i="9" s="1"/>
  <c r="AI334" i="9"/>
  <c r="AH334" i="9"/>
  <c r="AG334" i="9"/>
  <c r="H334" i="9"/>
  <c r="I334" i="9" s="1"/>
  <c r="AL334" i="9" s="1"/>
  <c r="AM334" i="9" s="1"/>
  <c r="AP333" i="9"/>
  <c r="AN333" i="9"/>
  <c r="AO333" i="9" s="1"/>
  <c r="AL333" i="9"/>
  <c r="AM333" i="9" s="1"/>
  <c r="AI333" i="9"/>
  <c r="AH333" i="9"/>
  <c r="AG333" i="9"/>
  <c r="AP332" i="9"/>
  <c r="AN332" i="9"/>
  <c r="AO332" i="9" s="1"/>
  <c r="AL332" i="9"/>
  <c r="AM332" i="9" s="1"/>
  <c r="AI332" i="9"/>
  <c r="AH332" i="9"/>
  <c r="AG332" i="9"/>
  <c r="AP331" i="9"/>
  <c r="AI331" i="9"/>
  <c r="AG331" i="9"/>
  <c r="G331" i="9"/>
  <c r="AP330" i="9"/>
  <c r="AN330" i="9"/>
  <c r="AO330" i="9" s="1"/>
  <c r="AL330" i="9"/>
  <c r="AM330" i="9" s="1"/>
  <c r="AI330" i="9"/>
  <c r="AG330" i="9"/>
  <c r="I330" i="9"/>
  <c r="AP329" i="9"/>
  <c r="AN329" i="9"/>
  <c r="AO329" i="9" s="1"/>
  <c r="AL329" i="9"/>
  <c r="AM329" i="9" s="1"/>
  <c r="AI329" i="9"/>
  <c r="AG329" i="9"/>
  <c r="H329" i="9"/>
  <c r="I329" i="9" s="1"/>
  <c r="AP328" i="9"/>
  <c r="AN328" i="9"/>
  <c r="AO328" i="9" s="1"/>
  <c r="AI328" i="9"/>
  <c r="AG328" i="9"/>
  <c r="H328" i="9"/>
  <c r="I328" i="9" s="1"/>
  <c r="AL328" i="9" s="1"/>
  <c r="AM328" i="9" s="1"/>
  <c r="AP327" i="9"/>
  <c r="AN327" i="9"/>
  <c r="AO327" i="9" s="1"/>
  <c r="AI327" i="9"/>
  <c r="AG327" i="9"/>
  <c r="H327" i="9"/>
  <c r="I327" i="9" s="1"/>
  <c r="AL327" i="9" s="1"/>
  <c r="AM327" i="9" s="1"/>
  <c r="AP326" i="9"/>
  <c r="AN326" i="9"/>
  <c r="AO326" i="9" s="1"/>
  <c r="AL326" i="9"/>
  <c r="AM326" i="9" s="1"/>
  <c r="AI326" i="9"/>
  <c r="AH326" i="9"/>
  <c r="AG326" i="9"/>
  <c r="AP325" i="9"/>
  <c r="AN325" i="9"/>
  <c r="AO325" i="9" s="1"/>
  <c r="AI325" i="9"/>
  <c r="AH325" i="9"/>
  <c r="AG325" i="9"/>
  <c r="AP324" i="9"/>
  <c r="AP323" i="9"/>
  <c r="AN323" i="9"/>
  <c r="AO323" i="9" s="1"/>
  <c r="AL323" i="9"/>
  <c r="AM323" i="9" s="1"/>
  <c r="AI323" i="9"/>
  <c r="AH323" i="9"/>
  <c r="AG323" i="9"/>
  <c r="I323" i="9"/>
  <c r="AP322" i="9"/>
  <c r="AN322" i="9"/>
  <c r="AO322" i="9" s="1"/>
  <c r="AL322" i="9"/>
  <c r="AM322" i="9" s="1"/>
  <c r="AI322" i="9"/>
  <c r="AH322" i="9"/>
  <c r="AG322" i="9"/>
  <c r="H322" i="9"/>
  <c r="I322" i="9" s="1"/>
  <c r="AP321" i="9"/>
  <c r="AN321" i="9"/>
  <c r="AO321" i="9" s="1"/>
  <c r="AL321" i="9"/>
  <c r="AM321" i="9" s="1"/>
  <c r="AI321" i="9"/>
  <c r="AH321" i="9"/>
  <c r="AG321" i="9"/>
  <c r="H321" i="9"/>
  <c r="I321" i="9" s="1"/>
  <c r="AP320" i="9"/>
  <c r="AN320" i="9"/>
  <c r="AO320" i="9" s="1"/>
  <c r="AL320" i="9"/>
  <c r="AM320" i="9" s="1"/>
  <c r="AI320" i="9"/>
  <c r="AH320" i="9"/>
  <c r="AG320" i="9"/>
  <c r="H320" i="9"/>
  <c r="I320" i="9" s="1"/>
  <c r="AP319" i="9"/>
  <c r="AN319" i="9"/>
  <c r="AO319" i="9" s="1"/>
  <c r="AL319" i="9"/>
  <c r="AM319" i="9" s="1"/>
  <c r="AI319" i="9"/>
  <c r="AH319" i="9"/>
  <c r="AG319" i="9"/>
  <c r="AP318" i="9"/>
  <c r="AN318" i="9"/>
  <c r="AO318" i="9" s="1"/>
  <c r="AL318" i="9"/>
  <c r="AM318" i="9" s="1"/>
  <c r="AI318" i="9"/>
  <c r="AH318" i="9"/>
  <c r="AG318" i="9"/>
  <c r="AP317" i="9"/>
  <c r="AN317" i="9"/>
  <c r="AO317" i="9" s="1"/>
  <c r="AL317" i="9"/>
  <c r="AM317" i="9" s="1"/>
  <c r="AI317" i="9"/>
  <c r="AG317" i="9"/>
  <c r="H317" i="9"/>
  <c r="I317" i="9" s="1"/>
  <c r="AP316" i="9"/>
  <c r="AN316" i="9"/>
  <c r="AO316" i="9" s="1"/>
  <c r="AL316" i="9"/>
  <c r="AM316" i="9" s="1"/>
  <c r="AI316" i="9"/>
  <c r="AG316" i="9"/>
  <c r="I316" i="9"/>
  <c r="E316" i="9"/>
  <c r="AH316" i="9" s="1"/>
  <c r="AP315" i="9"/>
  <c r="AN315" i="9"/>
  <c r="AO315" i="9" s="1"/>
  <c r="AL315" i="9"/>
  <c r="AM315" i="9" s="1"/>
  <c r="AI315" i="9"/>
  <c r="AG315" i="9"/>
  <c r="H315" i="9"/>
  <c r="I315" i="9" s="1"/>
  <c r="AP314" i="9"/>
  <c r="AN314" i="9"/>
  <c r="AO314" i="9" s="1"/>
  <c r="AL314" i="9"/>
  <c r="AM314" i="9" s="1"/>
  <c r="AI314" i="9"/>
  <c r="AH314" i="9"/>
  <c r="AG314" i="9"/>
  <c r="AP313" i="9"/>
  <c r="AN313" i="9"/>
  <c r="AO313" i="9" s="1"/>
  <c r="AL313" i="9"/>
  <c r="AM313" i="9" s="1"/>
  <c r="AI313" i="9"/>
  <c r="AH313" i="9"/>
  <c r="AG313" i="9"/>
  <c r="AP312" i="9"/>
  <c r="AN312" i="9"/>
  <c r="AO312" i="9" s="1"/>
  <c r="AL312" i="9"/>
  <c r="AM312" i="9" s="1"/>
  <c r="AH312" i="9"/>
  <c r="AG312" i="9"/>
  <c r="F312" i="9"/>
  <c r="AI312" i="9" s="1"/>
  <c r="AP311" i="9"/>
  <c r="AN311" i="9"/>
  <c r="AO311" i="9" s="1"/>
  <c r="AL311" i="9"/>
  <c r="AM311" i="9" s="1"/>
  <c r="AI311" i="9"/>
  <c r="AH311" i="9"/>
  <c r="AG311" i="9"/>
  <c r="AP310" i="9"/>
  <c r="AN310" i="9"/>
  <c r="AO310" i="9" s="1"/>
  <c r="AL310" i="9"/>
  <c r="AM310" i="9" s="1"/>
  <c r="AI310" i="9"/>
  <c r="AH310" i="9"/>
  <c r="AG310" i="9"/>
  <c r="AP309" i="9"/>
  <c r="AN309" i="9"/>
  <c r="AO309" i="9" s="1"/>
  <c r="AL309" i="9"/>
  <c r="AM309" i="9" s="1"/>
  <c r="AI309" i="9"/>
  <c r="AH309" i="9"/>
  <c r="AG309" i="9"/>
  <c r="H309" i="9"/>
  <c r="I309" i="9" s="1"/>
  <c r="AP308" i="9"/>
  <c r="AN308" i="9"/>
  <c r="AO308" i="9" s="1"/>
  <c r="AL308" i="9"/>
  <c r="AM308" i="9" s="1"/>
  <c r="AI308" i="9"/>
  <c r="H308" i="9"/>
  <c r="I308" i="9" s="1"/>
  <c r="AP307" i="9"/>
  <c r="AN307" i="9"/>
  <c r="AO307" i="9" s="1"/>
  <c r="AL307" i="9"/>
  <c r="AM307" i="9" s="1"/>
  <c r="AI307" i="9"/>
  <c r="AH307" i="9"/>
  <c r="AG307" i="9"/>
  <c r="AP306" i="9"/>
  <c r="AN306" i="9"/>
  <c r="AO306" i="9" s="1"/>
  <c r="AL306" i="9"/>
  <c r="AM306" i="9" s="1"/>
  <c r="AI306" i="9"/>
  <c r="H306" i="9"/>
  <c r="I306" i="9" s="1"/>
  <c r="AP305" i="9"/>
  <c r="AN305" i="9"/>
  <c r="AO305" i="9" s="1"/>
  <c r="AL305" i="9"/>
  <c r="AM305" i="9" s="1"/>
  <c r="AI305" i="9"/>
  <c r="H305" i="9"/>
  <c r="I305" i="9" s="1"/>
  <c r="B305" i="9"/>
  <c r="AP304" i="9"/>
  <c r="AN304" i="9"/>
  <c r="AO304" i="9" s="1"/>
  <c r="AL304" i="9"/>
  <c r="AM304" i="9" s="1"/>
  <c r="AI304" i="9"/>
  <c r="H304" i="9"/>
  <c r="I304" i="9" s="1"/>
  <c r="B304" i="9"/>
  <c r="AP303" i="9"/>
  <c r="AN303" i="9"/>
  <c r="AO303" i="9" s="1"/>
  <c r="AL303" i="9"/>
  <c r="AM303" i="9" s="1"/>
  <c r="AI303" i="9"/>
  <c r="AH303" i="9"/>
  <c r="AG303" i="9"/>
  <c r="AP302" i="9"/>
  <c r="AN302" i="9"/>
  <c r="AO302" i="9" s="1"/>
  <c r="AL302" i="9"/>
  <c r="AM302" i="9" s="1"/>
  <c r="AH302" i="9"/>
  <c r="AG302" i="9"/>
  <c r="F302" i="9"/>
  <c r="AI302" i="9" s="1"/>
  <c r="AP301" i="9"/>
  <c r="AN301" i="9"/>
  <c r="AO301" i="9" s="1"/>
  <c r="AL301" i="9"/>
  <c r="AM301" i="9" s="1"/>
  <c r="AI301" i="9"/>
  <c r="AH301" i="9"/>
  <c r="AG301" i="9"/>
  <c r="AP300" i="9"/>
  <c r="AN300" i="9"/>
  <c r="AO300" i="9" s="1"/>
  <c r="AL300" i="9"/>
  <c r="AM300" i="9" s="1"/>
  <c r="AI300" i="9"/>
  <c r="AH300" i="9"/>
  <c r="AG300" i="9"/>
  <c r="AP299" i="9"/>
  <c r="AN299" i="9"/>
  <c r="AO299" i="9" s="1"/>
  <c r="AL299" i="9"/>
  <c r="AM299" i="9" s="1"/>
  <c r="AI299" i="9"/>
  <c r="AH299" i="9"/>
  <c r="AG299" i="9"/>
  <c r="I299" i="9"/>
  <c r="AP298" i="9"/>
  <c r="AN298" i="9"/>
  <c r="AO298" i="9" s="1"/>
  <c r="AL298" i="9"/>
  <c r="AM298" i="9" s="1"/>
  <c r="AI298" i="9"/>
  <c r="AH298" i="9"/>
  <c r="AG298" i="9"/>
  <c r="AP297" i="9"/>
  <c r="AI297" i="9"/>
  <c r="AH297" i="9"/>
  <c r="AG297" i="9"/>
  <c r="AN297" i="9"/>
  <c r="AO297" i="9" s="1"/>
  <c r="AP296" i="9"/>
  <c r="AN296" i="9"/>
  <c r="AO296" i="9" s="1"/>
  <c r="AL296" i="9"/>
  <c r="AM296" i="9" s="1"/>
  <c r="AI296" i="9"/>
  <c r="AH296" i="9"/>
  <c r="AG296" i="9"/>
  <c r="AP295" i="9"/>
  <c r="AN295" i="9"/>
  <c r="AO295" i="9" s="1"/>
  <c r="AL295" i="9"/>
  <c r="AM295" i="9" s="1"/>
  <c r="AI295" i="9"/>
  <c r="AH295" i="9"/>
  <c r="AG295" i="9"/>
  <c r="I295" i="9"/>
  <c r="AP294" i="9"/>
  <c r="AN294" i="9"/>
  <c r="AO294" i="9" s="1"/>
  <c r="AL294" i="9"/>
  <c r="AM294" i="9" s="1"/>
  <c r="AI294" i="9"/>
  <c r="AH294" i="9"/>
  <c r="AG294" i="9"/>
  <c r="H294" i="9"/>
  <c r="I294" i="9" s="1"/>
  <c r="AP293" i="9"/>
  <c r="AN293" i="9"/>
  <c r="AO293" i="9" s="1"/>
  <c r="AL293" i="9"/>
  <c r="AM293" i="9" s="1"/>
  <c r="AI293" i="9"/>
  <c r="AH293" i="9"/>
  <c r="AG293" i="9"/>
  <c r="I293" i="9"/>
  <c r="AP292" i="9"/>
  <c r="AN292" i="9"/>
  <c r="AO292" i="9" s="1"/>
  <c r="AL292" i="9"/>
  <c r="AM292" i="9" s="1"/>
  <c r="AI292" i="9"/>
  <c r="AH292" i="9"/>
  <c r="AG292" i="9"/>
  <c r="I292" i="9"/>
  <c r="AP291" i="9"/>
  <c r="AN291" i="9"/>
  <c r="AO291" i="9" s="1"/>
  <c r="AL291" i="9"/>
  <c r="AM291" i="9" s="1"/>
  <c r="AI291" i="9"/>
  <c r="AH291" i="9"/>
  <c r="AG291" i="9"/>
  <c r="H291" i="9"/>
  <c r="I291" i="9" s="1"/>
  <c r="AP290" i="9"/>
  <c r="AN290" i="9"/>
  <c r="AO290" i="9" s="1"/>
  <c r="AL290" i="9"/>
  <c r="AM290" i="9" s="1"/>
  <c r="AI290" i="9"/>
  <c r="AH290" i="9"/>
  <c r="AG290" i="9"/>
  <c r="AP289" i="9"/>
  <c r="AN289" i="9"/>
  <c r="AO289" i="9" s="1"/>
  <c r="AL289" i="9"/>
  <c r="AM289" i="9" s="1"/>
  <c r="AI289" i="9"/>
  <c r="AH289" i="9"/>
  <c r="AG289" i="9"/>
  <c r="I289" i="9"/>
  <c r="AP288" i="9"/>
  <c r="AN288" i="9"/>
  <c r="AO288" i="9" s="1"/>
  <c r="AL288" i="9"/>
  <c r="AM288" i="9" s="1"/>
  <c r="AI288" i="9"/>
  <c r="AH288" i="9"/>
  <c r="AG288" i="9"/>
  <c r="I288" i="9"/>
  <c r="AP287" i="9"/>
  <c r="AN287" i="9"/>
  <c r="AO287" i="9" s="1"/>
  <c r="AL287" i="9"/>
  <c r="AM287" i="9" s="1"/>
  <c r="AI287" i="9"/>
  <c r="AH287" i="9"/>
  <c r="AG287" i="9"/>
  <c r="AP286" i="9"/>
  <c r="AI286" i="9"/>
  <c r="AH286" i="9"/>
  <c r="AG286" i="9"/>
  <c r="G286" i="9"/>
  <c r="AN286" i="9" s="1"/>
  <c r="AO286" i="9" s="1"/>
  <c r="AP285" i="9"/>
  <c r="AN285" i="9"/>
  <c r="AO285" i="9" s="1"/>
  <c r="AL285" i="9"/>
  <c r="AM285" i="9" s="1"/>
  <c r="AI285" i="9"/>
  <c r="AH285" i="9"/>
  <c r="AG285" i="9"/>
  <c r="H285" i="9"/>
  <c r="I285" i="9" s="1"/>
  <c r="AP284" i="9"/>
  <c r="AN284" i="9"/>
  <c r="AO284" i="9" s="1"/>
  <c r="AL284" i="9"/>
  <c r="AM284" i="9" s="1"/>
  <c r="AI284" i="9"/>
  <c r="AH284" i="9"/>
  <c r="AG284" i="9"/>
  <c r="I284" i="9"/>
  <c r="AP283" i="9"/>
  <c r="AI283" i="9"/>
  <c r="AH283" i="9"/>
  <c r="AG283" i="9"/>
  <c r="AP282" i="9"/>
  <c r="AI282" i="9"/>
  <c r="AH282" i="9"/>
  <c r="AG282" i="9"/>
  <c r="AN282" i="9"/>
  <c r="AO282" i="9" s="1"/>
  <c r="AP281" i="9"/>
  <c r="AN281" i="9"/>
  <c r="AO281" i="9" s="1"/>
  <c r="AL281" i="9"/>
  <c r="AM281" i="9" s="1"/>
  <c r="AI281" i="9"/>
  <c r="AH281" i="9"/>
  <c r="AG281" i="9"/>
  <c r="AP280" i="9"/>
  <c r="AN280" i="9"/>
  <c r="AO280" i="9" s="1"/>
  <c r="AL280" i="9"/>
  <c r="AM280" i="9" s="1"/>
  <c r="AI280" i="9"/>
  <c r="AH280" i="9"/>
  <c r="AG280" i="9"/>
  <c r="AP279" i="9"/>
  <c r="AN279" i="9"/>
  <c r="AO279" i="9" s="1"/>
  <c r="AL279" i="9"/>
  <c r="AM279" i="9" s="1"/>
  <c r="AI279" i="9"/>
  <c r="AH279" i="9"/>
  <c r="AG279" i="9"/>
  <c r="AP278" i="9"/>
  <c r="AN278" i="9"/>
  <c r="AO278" i="9" s="1"/>
  <c r="AL278" i="9"/>
  <c r="AM278" i="9" s="1"/>
  <c r="AI278" i="9"/>
  <c r="AH278" i="9"/>
  <c r="AG278" i="9"/>
  <c r="AP277" i="9"/>
  <c r="AN277" i="9"/>
  <c r="AO277" i="9" s="1"/>
  <c r="AL277" i="9"/>
  <c r="AM277" i="9" s="1"/>
  <c r="AI277" i="9"/>
  <c r="AH277" i="9"/>
  <c r="AG277" i="9"/>
  <c r="AP276" i="9"/>
  <c r="AN276" i="9"/>
  <c r="AO276" i="9" s="1"/>
  <c r="AL276" i="9"/>
  <c r="AM276" i="9" s="1"/>
  <c r="AI276" i="9"/>
  <c r="AH276" i="9"/>
  <c r="AG276" i="9"/>
  <c r="H276" i="9"/>
  <c r="I276" i="9" s="1"/>
  <c r="AP275" i="9"/>
  <c r="AN275" i="9"/>
  <c r="AO275" i="9" s="1"/>
  <c r="AL275" i="9"/>
  <c r="AM275" i="9" s="1"/>
  <c r="AI275" i="9"/>
  <c r="H275" i="9"/>
  <c r="I275" i="9" s="1"/>
  <c r="AP274" i="9"/>
  <c r="AN274" i="9"/>
  <c r="AO274" i="9" s="1"/>
  <c r="AL274" i="9"/>
  <c r="AM274" i="9" s="1"/>
  <c r="AI274" i="9"/>
  <c r="H274" i="9"/>
  <c r="I274" i="9" s="1"/>
  <c r="AP273" i="9"/>
  <c r="AN273" i="9"/>
  <c r="AO273" i="9" s="1"/>
  <c r="AL273" i="9"/>
  <c r="AM273" i="9" s="1"/>
  <c r="AI273" i="9"/>
  <c r="AH273" i="9"/>
  <c r="AG273" i="9"/>
  <c r="AN272" i="9"/>
  <c r="AO272" i="9" s="1"/>
  <c r="AL272" i="9"/>
  <c r="AM272" i="9" s="1"/>
  <c r="AI272" i="9"/>
  <c r="H272" i="9"/>
  <c r="I272" i="9" s="1"/>
  <c r="AN271" i="9"/>
  <c r="AO271" i="9" s="1"/>
  <c r="AL271" i="9"/>
  <c r="AM271" i="9" s="1"/>
  <c r="AI271" i="9"/>
  <c r="AH271" i="9"/>
  <c r="AG271" i="9"/>
  <c r="H271" i="9"/>
  <c r="I271" i="9" s="1"/>
  <c r="AN270" i="9"/>
  <c r="AO270" i="9" s="1"/>
  <c r="AL270" i="9"/>
  <c r="AM270" i="9" s="1"/>
  <c r="AI270" i="9"/>
  <c r="AH270" i="9"/>
  <c r="AG270" i="9"/>
  <c r="H270" i="9"/>
  <c r="I270" i="9" s="1"/>
  <c r="AN269" i="9"/>
  <c r="AO269" i="9" s="1"/>
  <c r="AL269" i="9"/>
  <c r="AM269" i="9" s="1"/>
  <c r="AI269" i="9"/>
  <c r="AH269" i="9"/>
  <c r="AG269" i="9"/>
  <c r="AN268" i="9"/>
  <c r="AO268" i="9" s="1"/>
  <c r="AL268" i="9"/>
  <c r="AM268" i="9" s="1"/>
  <c r="AI268" i="9"/>
  <c r="AH268" i="9"/>
  <c r="AG268" i="9"/>
  <c r="AP267" i="9"/>
  <c r="AN267" i="9"/>
  <c r="AO267" i="9" s="1"/>
  <c r="AI267" i="9"/>
  <c r="H267" i="9"/>
  <c r="I267" i="9" s="1"/>
  <c r="AL267" i="9" s="1"/>
  <c r="AM267" i="9" s="1"/>
  <c r="AN266" i="9"/>
  <c r="AO266" i="9" s="1"/>
  <c r="AL266" i="9"/>
  <c r="AM266" i="9" s="1"/>
  <c r="AI266" i="9"/>
  <c r="H266" i="9"/>
  <c r="I266" i="9" s="1"/>
  <c r="D266" i="9"/>
  <c r="AG266" i="9" s="1"/>
  <c r="AN265" i="9"/>
  <c r="AO265" i="9" s="1"/>
  <c r="AL265" i="9"/>
  <c r="AM265" i="9" s="1"/>
  <c r="AI265" i="9"/>
  <c r="AH265" i="9"/>
  <c r="AG265" i="9"/>
  <c r="H265" i="9"/>
  <c r="I265" i="9" s="1"/>
  <c r="AN264" i="9"/>
  <c r="AO264" i="9" s="1"/>
  <c r="AL264" i="9"/>
  <c r="AM264" i="9" s="1"/>
  <c r="AI264" i="9"/>
  <c r="AH264" i="9"/>
  <c r="AG264" i="9"/>
  <c r="H264" i="9"/>
  <c r="I264" i="9" s="1"/>
  <c r="AN263" i="9"/>
  <c r="AO263" i="9" s="1"/>
  <c r="AL263" i="9"/>
  <c r="AM263" i="9" s="1"/>
  <c r="AI263" i="9"/>
  <c r="AH263" i="9"/>
  <c r="AG263" i="9"/>
  <c r="H263" i="9"/>
  <c r="I263" i="9" s="1"/>
  <c r="AP262" i="9"/>
  <c r="AN262" i="9"/>
  <c r="AO262" i="9" s="1"/>
  <c r="AL262" i="9"/>
  <c r="AM262" i="9" s="1"/>
  <c r="AI262" i="9"/>
  <c r="H262" i="9"/>
  <c r="I262" i="9" s="1"/>
  <c r="E262" i="9"/>
  <c r="AH262" i="9" s="1"/>
  <c r="AP261" i="9"/>
  <c r="AN261" i="9"/>
  <c r="AO261" i="9" s="1"/>
  <c r="AI261" i="9"/>
  <c r="H261" i="9"/>
  <c r="I261" i="9" s="1"/>
  <c r="AL261" i="9" s="1"/>
  <c r="AM261" i="9" s="1"/>
  <c r="AP260" i="9"/>
  <c r="AI260" i="9"/>
  <c r="G260" i="9"/>
  <c r="AP259" i="9"/>
  <c r="AN259" i="9"/>
  <c r="AO259" i="9" s="1"/>
  <c r="AI259" i="9"/>
  <c r="H259" i="9"/>
  <c r="I259" i="9" s="1"/>
  <c r="AL259" i="9" s="1"/>
  <c r="AM259" i="9" s="1"/>
  <c r="AP258" i="9"/>
  <c r="AN258" i="9"/>
  <c r="AO258" i="9" s="1"/>
  <c r="AL258" i="9"/>
  <c r="AM258" i="9" s="1"/>
  <c r="AI258" i="9"/>
  <c r="H258" i="9"/>
  <c r="I258" i="9" s="1"/>
  <c r="D258" i="9"/>
  <c r="AG258" i="9" s="1"/>
  <c r="AP257" i="9"/>
  <c r="AN257" i="9"/>
  <c r="AO257" i="9" s="1"/>
  <c r="AL257" i="9"/>
  <c r="AM257" i="9" s="1"/>
  <c r="AI257" i="9"/>
  <c r="H257" i="9"/>
  <c r="I257" i="9" s="1"/>
  <c r="AP256" i="9"/>
  <c r="AN256" i="9"/>
  <c r="AO256" i="9" s="1"/>
  <c r="AL256" i="9"/>
  <c r="AM256" i="9" s="1"/>
  <c r="AI256" i="9"/>
  <c r="H256" i="9"/>
  <c r="I256" i="9" s="1"/>
  <c r="D256" i="9"/>
  <c r="AG256" i="9" s="1"/>
  <c r="AP255" i="9"/>
  <c r="AN255" i="9"/>
  <c r="AO255" i="9" s="1"/>
  <c r="AL255" i="9"/>
  <c r="AM255" i="9" s="1"/>
  <c r="AI255" i="9"/>
  <c r="H255" i="9"/>
  <c r="I255" i="9" s="1"/>
  <c r="AP254" i="9"/>
  <c r="AN254" i="9"/>
  <c r="AO254" i="9" s="1"/>
  <c r="AL254" i="9"/>
  <c r="AM254" i="9" s="1"/>
  <c r="AI254" i="9"/>
  <c r="H254" i="9"/>
  <c r="I254" i="9" s="1"/>
  <c r="AP253" i="9"/>
  <c r="AN253" i="9"/>
  <c r="AO253" i="9" s="1"/>
  <c r="AL253" i="9"/>
  <c r="AM253" i="9" s="1"/>
  <c r="AI253" i="9"/>
  <c r="H253" i="9"/>
  <c r="I253" i="9" s="1"/>
  <c r="E253" i="9"/>
  <c r="AH253" i="9" s="1"/>
  <c r="AP252" i="9"/>
  <c r="AN252" i="9"/>
  <c r="AO252" i="9" s="1"/>
  <c r="AL252" i="9"/>
  <c r="AM252" i="9" s="1"/>
  <c r="AI252" i="9"/>
  <c r="H252" i="9"/>
  <c r="I252" i="9" s="1"/>
  <c r="AP251" i="9"/>
  <c r="AN251" i="9"/>
  <c r="AO251" i="9" s="1"/>
  <c r="AL251" i="9"/>
  <c r="AM251" i="9" s="1"/>
  <c r="AI251" i="9"/>
  <c r="H251" i="9"/>
  <c r="I251" i="9" s="1"/>
  <c r="E251" i="9"/>
  <c r="AH251" i="9" s="1"/>
  <c r="AP250" i="9"/>
  <c r="AN250" i="9"/>
  <c r="AO250" i="9" s="1"/>
  <c r="AL250" i="9"/>
  <c r="AM250" i="9" s="1"/>
  <c r="AI250" i="9"/>
  <c r="H250" i="9"/>
  <c r="I250" i="9" s="1"/>
  <c r="AP249" i="9"/>
  <c r="AN249" i="9"/>
  <c r="AO249" i="9" s="1"/>
  <c r="AL249" i="9"/>
  <c r="AM249" i="9" s="1"/>
  <c r="AI249" i="9"/>
  <c r="H249" i="9"/>
  <c r="I249" i="9" s="1"/>
  <c r="AP248" i="9"/>
  <c r="AN248" i="9"/>
  <c r="AO248" i="9" s="1"/>
  <c r="AL248" i="9"/>
  <c r="AM248" i="9" s="1"/>
  <c r="AI248" i="9"/>
  <c r="H248" i="9"/>
  <c r="I248" i="9" s="1"/>
  <c r="AP247" i="9"/>
  <c r="AN247" i="9"/>
  <c r="AO247" i="9" s="1"/>
  <c r="AL247" i="9"/>
  <c r="AM247" i="9" s="1"/>
  <c r="AI247" i="9"/>
  <c r="AH247" i="9"/>
  <c r="L247" i="9"/>
  <c r="AP246" i="9"/>
  <c r="AN246" i="9"/>
  <c r="AO246" i="9" s="1"/>
  <c r="AL246" i="9"/>
  <c r="AM246" i="9" s="1"/>
  <c r="AI246" i="9"/>
  <c r="AH246" i="9"/>
  <c r="AP245" i="9"/>
  <c r="AN245" i="9"/>
  <c r="AO245" i="9" s="1"/>
  <c r="AL245" i="9"/>
  <c r="AM245" i="9" s="1"/>
  <c r="AI245" i="9"/>
  <c r="AH245" i="9"/>
  <c r="AG245" i="9"/>
  <c r="AP244" i="9"/>
  <c r="AN244" i="9"/>
  <c r="AO244" i="9" s="1"/>
  <c r="AL244" i="9"/>
  <c r="AM244" i="9" s="1"/>
  <c r="AI244" i="9"/>
  <c r="AH244" i="9"/>
  <c r="AG244" i="9"/>
  <c r="H244" i="9"/>
  <c r="I244" i="9" s="1"/>
  <c r="AP243" i="9"/>
  <c r="AN243" i="9"/>
  <c r="AO243" i="9" s="1"/>
  <c r="AL243" i="9"/>
  <c r="AM243" i="9" s="1"/>
  <c r="AI243" i="9"/>
  <c r="AH243" i="9"/>
  <c r="AG243" i="9"/>
  <c r="H243" i="9"/>
  <c r="I243" i="9" s="1"/>
  <c r="AP242" i="9"/>
  <c r="AN242" i="9"/>
  <c r="AO242" i="9" s="1"/>
  <c r="AL242" i="9"/>
  <c r="AM242" i="9" s="1"/>
  <c r="AI242" i="9"/>
  <c r="AH242" i="9"/>
  <c r="AG242" i="9"/>
  <c r="H242" i="9"/>
  <c r="I242" i="9" s="1"/>
  <c r="AP241" i="9"/>
  <c r="AN241" i="9"/>
  <c r="AO241" i="9" s="1"/>
  <c r="AL241" i="9"/>
  <c r="AM241" i="9" s="1"/>
  <c r="AI241" i="9"/>
  <c r="AH241" i="9"/>
  <c r="AG241" i="9"/>
  <c r="AP240" i="9"/>
  <c r="AN240" i="9"/>
  <c r="AO240" i="9" s="1"/>
  <c r="AL240" i="9"/>
  <c r="AM240" i="9" s="1"/>
  <c r="AI240" i="9"/>
  <c r="AH240" i="9"/>
  <c r="AG240" i="9"/>
  <c r="AP239" i="9"/>
  <c r="AN239" i="9"/>
  <c r="AO239" i="9" s="1"/>
  <c r="AL239" i="9"/>
  <c r="AM239" i="9" s="1"/>
  <c r="AI239" i="9"/>
  <c r="AH239" i="9"/>
  <c r="AG239" i="9"/>
  <c r="H239" i="9"/>
  <c r="I239" i="9" s="1"/>
  <c r="AP238" i="9"/>
  <c r="AN238" i="9"/>
  <c r="AO238" i="9" s="1"/>
  <c r="AL238" i="9"/>
  <c r="AM238" i="9" s="1"/>
  <c r="AI238" i="9"/>
  <c r="AH238" i="9"/>
  <c r="AG238" i="9"/>
  <c r="H238" i="9"/>
  <c r="I238" i="9" s="1"/>
  <c r="AP237" i="9"/>
  <c r="AN237" i="9"/>
  <c r="AO237" i="9" s="1"/>
  <c r="AL237" i="9"/>
  <c r="AM237" i="9" s="1"/>
  <c r="AI237" i="9"/>
  <c r="H237" i="9"/>
  <c r="I237" i="9" s="1"/>
  <c r="E237" i="9"/>
  <c r="AH237" i="9" s="1"/>
  <c r="AP236" i="9"/>
  <c r="AN236" i="9"/>
  <c r="AO236" i="9" s="1"/>
  <c r="AL236" i="9"/>
  <c r="AM236" i="9" s="1"/>
  <c r="AI236" i="9"/>
  <c r="H236" i="9"/>
  <c r="I236" i="9" s="1"/>
  <c r="AP235" i="9"/>
  <c r="AN235" i="9"/>
  <c r="AO235" i="9" s="1"/>
  <c r="AL235" i="9"/>
  <c r="AM235" i="9" s="1"/>
  <c r="AI235" i="9"/>
  <c r="H235" i="9"/>
  <c r="I235" i="9" s="1"/>
  <c r="AP234" i="9"/>
  <c r="AN234" i="9"/>
  <c r="AO234" i="9" s="1"/>
  <c r="AL234" i="9"/>
  <c r="AM234" i="9" s="1"/>
  <c r="AI234" i="9"/>
  <c r="H234" i="9"/>
  <c r="I234" i="9" s="1"/>
  <c r="AP233" i="9"/>
  <c r="AN233" i="9"/>
  <c r="AO233" i="9" s="1"/>
  <c r="AL233" i="9"/>
  <c r="AM233" i="9" s="1"/>
  <c r="AI233" i="9"/>
  <c r="H233" i="9"/>
  <c r="I233" i="9" s="1"/>
  <c r="AP232" i="9"/>
  <c r="AN232" i="9"/>
  <c r="AO232" i="9" s="1"/>
  <c r="AL232" i="9"/>
  <c r="AM232" i="9" s="1"/>
  <c r="AI232" i="9"/>
  <c r="H232" i="9"/>
  <c r="I232" i="9" s="1"/>
  <c r="D232" i="9"/>
  <c r="AG232" i="9" s="1"/>
  <c r="AP231" i="9"/>
  <c r="AN231" i="9"/>
  <c r="AO231" i="9" s="1"/>
  <c r="AL231" i="9"/>
  <c r="AM231" i="9" s="1"/>
  <c r="AI231" i="9"/>
  <c r="AH231" i="9"/>
  <c r="AG231" i="9"/>
  <c r="H231" i="9"/>
  <c r="I231" i="9" s="1"/>
  <c r="AP230" i="9"/>
  <c r="AN230" i="9"/>
  <c r="AO230" i="9" s="1"/>
  <c r="AL230" i="9"/>
  <c r="AM230" i="9" s="1"/>
  <c r="AI230" i="9"/>
  <c r="AH230" i="9"/>
  <c r="AG230" i="9"/>
  <c r="AP229" i="9"/>
  <c r="AN229" i="9"/>
  <c r="AO229" i="9" s="1"/>
  <c r="AL229" i="9"/>
  <c r="AM229" i="9" s="1"/>
  <c r="AI229" i="9"/>
  <c r="AH229" i="9"/>
  <c r="AG229" i="9"/>
  <c r="H229" i="9"/>
  <c r="I229" i="9" s="1"/>
  <c r="AP228" i="9"/>
  <c r="AI228" i="9"/>
  <c r="D228" i="9"/>
  <c r="AG228" i="9" s="1"/>
  <c r="AP227" i="9"/>
  <c r="AN227" i="9"/>
  <c r="AO227" i="9" s="1"/>
  <c r="AL227" i="9"/>
  <c r="AM227" i="9" s="1"/>
  <c r="AI227" i="9"/>
  <c r="H227" i="9"/>
  <c r="I227" i="9" s="1"/>
  <c r="AI226" i="9"/>
  <c r="G226" i="9"/>
  <c r="AN226" i="9" s="1"/>
  <c r="AO226" i="9" s="1"/>
  <c r="D226" i="9"/>
  <c r="AG226" i="9" s="1"/>
  <c r="AP225" i="9"/>
  <c r="AI225" i="9"/>
  <c r="G225" i="9"/>
  <c r="H225" i="9" s="1"/>
  <c r="I225" i="9" s="1"/>
  <c r="E225" i="9"/>
  <c r="AH225" i="9" s="1"/>
  <c r="AP224" i="9"/>
  <c r="AN224" i="9"/>
  <c r="AO224" i="9" s="1"/>
  <c r="AI224" i="9"/>
  <c r="H224" i="9"/>
  <c r="I224" i="9" s="1"/>
  <c r="AL224" i="9" s="1"/>
  <c r="AM224" i="9" s="1"/>
  <c r="D224" i="9"/>
  <c r="AG224" i="9" s="1"/>
  <c r="AN223" i="9"/>
  <c r="AO223" i="9" s="1"/>
  <c r="AL223" i="9"/>
  <c r="AM223" i="9" s="1"/>
  <c r="AI223" i="9"/>
  <c r="H223" i="9"/>
  <c r="I223" i="9" s="1"/>
  <c r="AN222" i="9"/>
  <c r="AO222" i="9" s="1"/>
  <c r="AL222" i="9"/>
  <c r="AM222" i="9" s="1"/>
  <c r="AI222" i="9"/>
  <c r="H222" i="9"/>
  <c r="I222" i="9" s="1"/>
  <c r="AN221" i="9"/>
  <c r="AO221" i="9" s="1"/>
  <c r="AL221" i="9"/>
  <c r="AM221" i="9" s="1"/>
  <c r="AI221" i="9"/>
  <c r="H221" i="9"/>
  <c r="I221" i="9" s="1"/>
  <c r="AN220" i="9"/>
  <c r="AO220" i="9" s="1"/>
  <c r="AL220" i="9"/>
  <c r="AM220" i="9" s="1"/>
  <c r="AI220" i="9"/>
  <c r="H220" i="9"/>
  <c r="I220" i="9" s="1"/>
  <c r="D220" i="9"/>
  <c r="AG220" i="9" s="1"/>
  <c r="AN219" i="9"/>
  <c r="AO219" i="9" s="1"/>
  <c r="AL219" i="9"/>
  <c r="AM219" i="9" s="1"/>
  <c r="AI219" i="9"/>
  <c r="H219" i="9"/>
  <c r="I219" i="9" s="1"/>
  <c r="E219" i="9"/>
  <c r="AH219" i="9" s="1"/>
  <c r="AN218" i="9"/>
  <c r="AO218" i="9" s="1"/>
  <c r="AL218" i="9"/>
  <c r="AM218" i="9" s="1"/>
  <c r="AI218" i="9"/>
  <c r="H218" i="9"/>
  <c r="I218" i="9" s="1"/>
  <c r="AN217" i="9"/>
  <c r="AO217" i="9" s="1"/>
  <c r="AI217" i="9"/>
  <c r="H217" i="9"/>
  <c r="I217" i="9" s="1"/>
  <c r="AL217" i="9" s="1"/>
  <c r="AM217" i="9" s="1"/>
  <c r="AP216" i="9"/>
  <c r="AN216" i="9"/>
  <c r="AO216" i="9" s="1"/>
  <c r="AL216" i="9"/>
  <c r="AM216" i="9" s="1"/>
  <c r="AI216" i="9"/>
  <c r="AH216" i="9"/>
  <c r="AG216" i="9"/>
  <c r="AP215" i="9"/>
  <c r="AN215" i="9"/>
  <c r="AO215" i="9" s="1"/>
  <c r="AL215" i="9"/>
  <c r="AM215" i="9" s="1"/>
  <c r="AI215" i="9"/>
  <c r="AH215" i="9"/>
  <c r="AG215" i="9"/>
  <c r="AP214" i="9"/>
  <c r="AN214" i="9"/>
  <c r="AO214" i="9" s="1"/>
  <c r="AL214" i="9"/>
  <c r="AM214" i="9" s="1"/>
  <c r="AI214" i="9"/>
  <c r="AH214" i="9"/>
  <c r="AG214" i="9"/>
  <c r="L214" i="9"/>
  <c r="H214" i="9"/>
  <c r="I214" i="9" s="1"/>
  <c r="AP213" i="9"/>
  <c r="AN213" i="9"/>
  <c r="AO213" i="9" s="1"/>
  <c r="AL213" i="9"/>
  <c r="AM213" i="9" s="1"/>
  <c r="AI213" i="9"/>
  <c r="H213" i="9"/>
  <c r="I213" i="9" s="1"/>
  <c r="AP212" i="9"/>
  <c r="AN212" i="9"/>
  <c r="AO212" i="9" s="1"/>
  <c r="AL212" i="9"/>
  <c r="AM212" i="9" s="1"/>
  <c r="AI212" i="9"/>
  <c r="H212" i="9"/>
  <c r="I212" i="9" s="1"/>
  <c r="AP211" i="9"/>
  <c r="AN211" i="9"/>
  <c r="AO211" i="9" s="1"/>
  <c r="AL211" i="9"/>
  <c r="AM211" i="9" s="1"/>
  <c r="AI211" i="9"/>
  <c r="H211" i="9"/>
  <c r="I211" i="9" s="1"/>
  <c r="AP210" i="9"/>
  <c r="AN210" i="9"/>
  <c r="AO210" i="9" s="1"/>
  <c r="AL210" i="9"/>
  <c r="AM210" i="9" s="1"/>
  <c r="AI210" i="9"/>
  <c r="H210" i="9"/>
  <c r="I210" i="9" s="1"/>
  <c r="E210" i="9"/>
  <c r="AH210" i="9" s="1"/>
  <c r="AP209" i="9"/>
  <c r="AN209" i="9"/>
  <c r="AO209" i="9" s="1"/>
  <c r="AL209" i="9"/>
  <c r="AM209" i="9" s="1"/>
  <c r="AI209" i="9"/>
  <c r="H209" i="9"/>
  <c r="I209" i="9" s="1"/>
  <c r="AP208" i="9"/>
  <c r="AN208" i="9"/>
  <c r="AO208" i="9" s="1"/>
  <c r="AL208" i="9"/>
  <c r="AM208" i="9" s="1"/>
  <c r="AI208" i="9"/>
  <c r="AH208" i="9"/>
  <c r="AG208" i="9"/>
  <c r="Q208" i="9"/>
  <c r="AP207" i="9"/>
  <c r="AN207" i="9"/>
  <c r="AO207" i="9" s="1"/>
  <c r="AL207" i="9"/>
  <c r="AM207" i="9" s="1"/>
  <c r="AI207" i="9"/>
  <c r="AH207" i="9"/>
  <c r="AG207" i="9"/>
  <c r="H207" i="9"/>
  <c r="I207" i="9" s="1"/>
  <c r="AP206" i="9"/>
  <c r="AN206" i="9"/>
  <c r="AO206" i="9" s="1"/>
  <c r="AL206" i="9"/>
  <c r="AM206" i="9" s="1"/>
  <c r="AI206" i="9"/>
  <c r="H206" i="9"/>
  <c r="I206" i="9" s="1"/>
  <c r="AP205" i="9"/>
  <c r="AN205" i="9"/>
  <c r="AO205" i="9" s="1"/>
  <c r="AL205" i="9"/>
  <c r="AM205" i="9" s="1"/>
  <c r="AI205" i="9"/>
  <c r="H205" i="9"/>
  <c r="I205" i="9" s="1"/>
  <c r="E205" i="9"/>
  <c r="AH205" i="9" s="1"/>
  <c r="AP204" i="9"/>
  <c r="AN204" i="9"/>
  <c r="AO204" i="9" s="1"/>
  <c r="AL204" i="9"/>
  <c r="AM204" i="9" s="1"/>
  <c r="AI204" i="9"/>
  <c r="H204" i="9"/>
  <c r="I204" i="9" s="1"/>
  <c r="D204" i="9"/>
  <c r="AG204" i="9" s="1"/>
  <c r="AP203" i="9"/>
  <c r="AN203" i="9"/>
  <c r="AO203" i="9" s="1"/>
  <c r="AL203" i="9"/>
  <c r="AM203" i="9" s="1"/>
  <c r="AI203" i="9"/>
  <c r="H203" i="9"/>
  <c r="I203" i="9" s="1"/>
  <c r="AP202" i="9"/>
  <c r="AN202" i="9"/>
  <c r="AO202" i="9" s="1"/>
  <c r="AL202" i="9"/>
  <c r="AM202" i="9" s="1"/>
  <c r="AI202" i="9"/>
  <c r="AH202" i="9"/>
  <c r="AG202" i="9"/>
  <c r="AP201" i="9"/>
  <c r="AN201" i="9"/>
  <c r="AO201" i="9" s="1"/>
  <c r="AL201" i="9"/>
  <c r="AM201" i="9" s="1"/>
  <c r="AI201" i="9"/>
  <c r="AH201" i="9"/>
  <c r="AG201" i="9"/>
  <c r="AP200" i="9"/>
  <c r="AN200" i="9"/>
  <c r="AO200" i="9" s="1"/>
  <c r="AL200" i="9"/>
  <c r="AM200" i="9" s="1"/>
  <c r="AI200" i="9"/>
  <c r="AH200" i="9"/>
  <c r="AG200" i="9"/>
  <c r="H200" i="9"/>
  <c r="AP199" i="9"/>
  <c r="AN199" i="9"/>
  <c r="AO199" i="9" s="1"/>
  <c r="AL199" i="9"/>
  <c r="AM199" i="9" s="1"/>
  <c r="AI199" i="9"/>
  <c r="AH199" i="9"/>
  <c r="AG199" i="9"/>
  <c r="H199" i="9"/>
  <c r="AP198" i="9"/>
  <c r="AN198" i="9"/>
  <c r="AO198" i="9" s="1"/>
  <c r="AL198" i="9"/>
  <c r="AM198" i="9" s="1"/>
  <c r="AI198" i="9"/>
  <c r="H198" i="9"/>
  <c r="I198" i="9" s="1"/>
  <c r="AP197" i="9"/>
  <c r="AN197" i="9"/>
  <c r="AO197" i="9" s="1"/>
  <c r="AL197" i="9"/>
  <c r="AM197" i="9" s="1"/>
  <c r="AI197" i="9"/>
  <c r="H197" i="9"/>
  <c r="I197" i="9" s="1"/>
  <c r="D197" i="9"/>
  <c r="AG197" i="9" s="1"/>
  <c r="AP196" i="9"/>
  <c r="AN196" i="9"/>
  <c r="AO196" i="9" s="1"/>
  <c r="AL196" i="9"/>
  <c r="AM196" i="9" s="1"/>
  <c r="AI196" i="9"/>
  <c r="H196" i="9"/>
  <c r="AP195" i="9"/>
  <c r="AN195" i="9"/>
  <c r="AO195" i="9" s="1"/>
  <c r="AL195" i="9"/>
  <c r="AM195" i="9" s="1"/>
  <c r="AI195" i="9"/>
  <c r="H195" i="9"/>
  <c r="I195" i="9" s="1"/>
  <c r="AP194" i="9"/>
  <c r="AN194" i="9"/>
  <c r="AO194" i="9" s="1"/>
  <c r="AL194" i="9"/>
  <c r="AM194" i="9" s="1"/>
  <c r="AI194" i="9"/>
  <c r="AH194" i="9"/>
  <c r="AG194" i="9"/>
  <c r="AP193" i="9"/>
  <c r="AN193" i="9"/>
  <c r="AO193" i="9" s="1"/>
  <c r="AL193" i="9"/>
  <c r="AM193" i="9" s="1"/>
  <c r="AI193" i="9"/>
  <c r="AH193" i="9"/>
  <c r="AG193" i="9"/>
  <c r="AP192" i="9"/>
  <c r="AN192" i="9"/>
  <c r="AO192" i="9" s="1"/>
  <c r="AL192" i="9"/>
  <c r="AM192" i="9" s="1"/>
  <c r="AI192" i="9"/>
  <c r="AH192" i="9"/>
  <c r="AG192" i="9"/>
  <c r="AP191" i="9"/>
  <c r="AI191" i="9"/>
  <c r="G191" i="9"/>
  <c r="AN191" i="9" s="1"/>
  <c r="AO191" i="9" s="1"/>
  <c r="AP190" i="9"/>
  <c r="AN190" i="9"/>
  <c r="AO190" i="9" s="1"/>
  <c r="AL190" i="9"/>
  <c r="AM190" i="9" s="1"/>
  <c r="AI190" i="9"/>
  <c r="H190" i="9"/>
  <c r="I190" i="9" s="1"/>
  <c r="E190" i="9"/>
  <c r="AH190" i="9" s="1"/>
  <c r="AP189" i="9"/>
  <c r="AN189" i="9"/>
  <c r="AO189" i="9" s="1"/>
  <c r="AL189" i="9"/>
  <c r="AM189" i="9" s="1"/>
  <c r="AI189" i="9"/>
  <c r="AH189" i="9"/>
  <c r="AG189" i="9"/>
  <c r="AP188" i="9"/>
  <c r="AN188" i="9"/>
  <c r="AO188" i="9" s="1"/>
  <c r="AL188" i="9"/>
  <c r="AM188" i="9" s="1"/>
  <c r="AI188" i="9"/>
  <c r="AH188" i="9"/>
  <c r="AG188" i="9"/>
  <c r="AP187" i="9"/>
  <c r="S187" i="9"/>
  <c r="L190" i="9" s="1"/>
  <c r="L187" i="9"/>
  <c r="F187" i="9"/>
  <c r="AP186" i="9"/>
  <c r="S186" i="9"/>
  <c r="L189" i="9" s="1"/>
  <c r="L186" i="9"/>
  <c r="F186" i="9"/>
  <c r="AP185" i="9"/>
  <c r="S185" i="9"/>
  <c r="L188" i="9" s="1"/>
  <c r="L185" i="9"/>
  <c r="F185" i="9"/>
  <c r="AI185" i="9" s="1"/>
  <c r="B185" i="9"/>
  <c r="AP184" i="9"/>
  <c r="AI184" i="9"/>
  <c r="AN183" i="9"/>
  <c r="AO183" i="9" s="1"/>
  <c r="AL183" i="9"/>
  <c r="AI183" i="9"/>
  <c r="AH183" i="9"/>
  <c r="AG183" i="9"/>
  <c r="AN182" i="9"/>
  <c r="AO182" i="9" s="1"/>
  <c r="AL182" i="9"/>
  <c r="AI182" i="9"/>
  <c r="AH182" i="9"/>
  <c r="AG182" i="9"/>
  <c r="AN181" i="9"/>
  <c r="AO181" i="9" s="1"/>
  <c r="AL181" i="9"/>
  <c r="AI181" i="9"/>
  <c r="AH181" i="9"/>
  <c r="AG181" i="9"/>
  <c r="AN180" i="9"/>
  <c r="AO180" i="9" s="1"/>
  <c r="AL180" i="9"/>
  <c r="AI180" i="9"/>
  <c r="AH180" i="9"/>
  <c r="AG180" i="9"/>
  <c r="AN179" i="9"/>
  <c r="AO179" i="9" s="1"/>
  <c r="AL179" i="9"/>
  <c r="AI179" i="9"/>
  <c r="AH179" i="9"/>
  <c r="AG179" i="9"/>
  <c r="AN178" i="9"/>
  <c r="AO178" i="9" s="1"/>
  <c r="AI178" i="9"/>
  <c r="AH178" i="9"/>
  <c r="AG178" i="9"/>
  <c r="H178" i="9"/>
  <c r="I178" i="9" s="1"/>
  <c r="AP177" i="9"/>
  <c r="AN177" i="9"/>
  <c r="AO177" i="9" s="1"/>
  <c r="AL177" i="9"/>
  <c r="AM177" i="9" s="1"/>
  <c r="AI177" i="9"/>
  <c r="AH177" i="9"/>
  <c r="AG177" i="9"/>
  <c r="I177" i="9"/>
  <c r="AP176" i="9"/>
  <c r="AN176" i="9"/>
  <c r="AO176" i="9" s="1"/>
  <c r="AL176" i="9"/>
  <c r="AM176" i="9" s="1"/>
  <c r="AI176" i="9"/>
  <c r="AH176" i="9"/>
  <c r="AG176" i="9"/>
  <c r="I176" i="9"/>
  <c r="AP175" i="9"/>
  <c r="AN175" i="9"/>
  <c r="AO175" i="9" s="1"/>
  <c r="AL175" i="9"/>
  <c r="AM175" i="9" s="1"/>
  <c r="AI175" i="9"/>
  <c r="AH175" i="9"/>
  <c r="AG175" i="9"/>
  <c r="I175" i="9"/>
  <c r="AP174" i="9"/>
  <c r="AN174" i="9"/>
  <c r="AO174" i="9" s="1"/>
  <c r="AL174" i="9"/>
  <c r="AM174" i="9" s="1"/>
  <c r="AI174" i="9"/>
  <c r="AH174" i="9"/>
  <c r="AG174" i="9"/>
  <c r="I174" i="9"/>
  <c r="AP173" i="9"/>
  <c r="AN173" i="9"/>
  <c r="AO173" i="9" s="1"/>
  <c r="AI173" i="9"/>
  <c r="AH173" i="9"/>
  <c r="AG173" i="9"/>
  <c r="I173" i="9"/>
  <c r="AL173" i="9" s="1"/>
  <c r="AI168" i="9"/>
  <c r="G168" i="9"/>
  <c r="AN168" i="9" s="1"/>
  <c r="AO168" i="9" s="1"/>
  <c r="AI167" i="9"/>
  <c r="G167" i="9"/>
  <c r="AN167" i="9" s="1"/>
  <c r="AO167" i="9" s="1"/>
  <c r="AI166" i="9"/>
  <c r="G166" i="9"/>
  <c r="AN166" i="9" s="1"/>
  <c r="AO166" i="9" s="1"/>
  <c r="AI165" i="9"/>
  <c r="G165" i="9"/>
  <c r="H165" i="9" s="1"/>
  <c r="I165" i="9" s="1"/>
  <c r="D165" i="9"/>
  <c r="AG165" i="9" s="1"/>
  <c r="AN164" i="9"/>
  <c r="AO164" i="9" s="1"/>
  <c r="AL164" i="9"/>
  <c r="AM164" i="9" s="1"/>
  <c r="AI164" i="9"/>
  <c r="H164" i="9"/>
  <c r="I164" i="9" s="1"/>
  <c r="E164" i="9"/>
  <c r="AH164" i="9" s="1"/>
  <c r="D164" i="9"/>
  <c r="AG164" i="9" s="1"/>
  <c r="AN163" i="9"/>
  <c r="AO163" i="9" s="1"/>
  <c r="AL163" i="9"/>
  <c r="AI163" i="9"/>
  <c r="AH163" i="9"/>
  <c r="AG163" i="9"/>
  <c r="AN162" i="9"/>
  <c r="AO162" i="9" s="1"/>
  <c r="AL162" i="9"/>
  <c r="AI162" i="9"/>
  <c r="AH162" i="9"/>
  <c r="AG162" i="9"/>
  <c r="AI161" i="9"/>
  <c r="G161" i="9"/>
  <c r="AN161" i="9" s="1"/>
  <c r="AO161" i="9" s="1"/>
  <c r="E161" i="9"/>
  <c r="AH161" i="9" s="1"/>
  <c r="AI160" i="9"/>
  <c r="G160" i="9"/>
  <c r="AN160" i="9" s="1"/>
  <c r="AO160" i="9" s="1"/>
  <c r="AI159" i="9"/>
  <c r="G159" i="9"/>
  <c r="H159" i="9" s="1"/>
  <c r="I159" i="9" s="1"/>
  <c r="AI158" i="9"/>
  <c r="G158" i="9"/>
  <c r="AI157" i="9"/>
  <c r="G157" i="9"/>
  <c r="AN156" i="9"/>
  <c r="AO156" i="9" s="1"/>
  <c r="AL156" i="9"/>
  <c r="AM156" i="9" s="1"/>
  <c r="AI156" i="9"/>
  <c r="H156" i="9"/>
  <c r="I156" i="9" s="1"/>
  <c r="AI155" i="9"/>
  <c r="AH155" i="9"/>
  <c r="AG155" i="9"/>
  <c r="AI154" i="9"/>
  <c r="G154" i="9"/>
  <c r="AN154" i="9" s="1"/>
  <c r="AO154" i="9" s="1"/>
  <c r="E154" i="9"/>
  <c r="AH154" i="9" s="1"/>
  <c r="AI153" i="9"/>
  <c r="G153" i="9"/>
  <c r="AN153" i="9" s="1"/>
  <c r="AO153" i="9" s="1"/>
  <c r="AN152" i="9"/>
  <c r="AO152" i="9" s="1"/>
  <c r="AL152" i="9"/>
  <c r="AM152" i="9" s="1"/>
  <c r="AI152" i="9"/>
  <c r="H152" i="9"/>
  <c r="I152" i="9" s="1"/>
  <c r="E152" i="9"/>
  <c r="AH152" i="9" s="1"/>
  <c r="D152" i="9"/>
  <c r="AG152" i="9" s="1"/>
  <c r="AI151" i="9"/>
  <c r="G151" i="9"/>
  <c r="AN151" i="9" s="1"/>
  <c r="AO151" i="9" s="1"/>
  <c r="E151" i="9"/>
  <c r="AH151" i="9" s="1"/>
  <c r="D151" i="9"/>
  <c r="AG151" i="9" s="1"/>
  <c r="AN150" i="9"/>
  <c r="AO150" i="9" s="1"/>
  <c r="AL150" i="9"/>
  <c r="AM150" i="9" s="1"/>
  <c r="AI150" i="9"/>
  <c r="H150" i="9"/>
  <c r="I150" i="9" s="1"/>
  <c r="AI149" i="9"/>
  <c r="G149" i="9"/>
  <c r="AN149" i="9" s="1"/>
  <c r="AO149" i="9" s="1"/>
  <c r="AI148" i="9"/>
  <c r="G148" i="9"/>
  <c r="AN147" i="9"/>
  <c r="AO147" i="9" s="1"/>
  <c r="AL147" i="9"/>
  <c r="AM147" i="9" s="1"/>
  <c r="AI147" i="9"/>
  <c r="H147" i="9"/>
  <c r="I147" i="9" s="1"/>
  <c r="E147" i="9"/>
  <c r="AH147" i="9" s="1"/>
  <c r="D147" i="9"/>
  <c r="AG147" i="9" s="1"/>
  <c r="AI146" i="9"/>
  <c r="E146" i="9"/>
  <c r="AH146" i="9" s="1"/>
  <c r="D146" i="9"/>
  <c r="AG146" i="9" s="1"/>
  <c r="AI145" i="9"/>
  <c r="G145" i="9"/>
  <c r="G146" i="9" s="1"/>
  <c r="E145" i="9"/>
  <c r="AH145" i="9" s="1"/>
  <c r="D145" i="9"/>
  <c r="AG145" i="9" s="1"/>
  <c r="AN144" i="9"/>
  <c r="AO144" i="9" s="1"/>
  <c r="AL144" i="9"/>
  <c r="AM144" i="9" s="1"/>
  <c r="AI144" i="9"/>
  <c r="H144" i="9"/>
  <c r="I144" i="9" s="1"/>
  <c r="E144" i="9"/>
  <c r="AH144" i="9" s="1"/>
  <c r="D144" i="9"/>
  <c r="AG144" i="9" s="1"/>
  <c r="AN143" i="9"/>
  <c r="AO143" i="9" s="1"/>
  <c r="AL143" i="9"/>
  <c r="AI143" i="9"/>
  <c r="AH143" i="9"/>
  <c r="AG143" i="9"/>
  <c r="AN142" i="9"/>
  <c r="AO142" i="9" s="1"/>
  <c r="AL142" i="9"/>
  <c r="AI142" i="9"/>
  <c r="AH142" i="9"/>
  <c r="AG142" i="9"/>
  <c r="AI141" i="9"/>
  <c r="G141" i="9"/>
  <c r="AN141" i="9" s="1"/>
  <c r="AO141" i="9" s="1"/>
  <c r="AI140" i="9"/>
  <c r="G140" i="9"/>
  <c r="D140" i="9"/>
  <c r="AG140" i="9" s="1"/>
  <c r="AI139" i="9"/>
  <c r="G139" i="9"/>
  <c r="D139" i="9"/>
  <c r="AG139" i="9" s="1"/>
  <c r="AI138" i="9"/>
  <c r="G138" i="9"/>
  <c r="D138" i="9"/>
  <c r="AG138" i="9" s="1"/>
  <c r="AI137" i="9"/>
  <c r="G137" i="9"/>
  <c r="D137" i="9"/>
  <c r="AG137" i="9" s="1"/>
  <c r="AN136" i="9"/>
  <c r="AO136" i="9" s="1"/>
  <c r="AL136" i="9"/>
  <c r="AM136" i="9" s="1"/>
  <c r="AI136" i="9"/>
  <c r="H136" i="9"/>
  <c r="I136" i="9" s="1"/>
  <c r="AI135" i="9"/>
  <c r="AH135" i="9"/>
  <c r="AG135" i="9"/>
  <c r="AI134" i="9"/>
  <c r="G134" i="9"/>
  <c r="AI133" i="9"/>
  <c r="G133" i="9"/>
  <c r="AN133" i="9" s="1"/>
  <c r="AO133" i="9" s="1"/>
  <c r="AN132" i="9"/>
  <c r="AO132" i="9" s="1"/>
  <c r="AL132" i="9"/>
  <c r="AM132" i="9" s="1"/>
  <c r="AI132" i="9"/>
  <c r="H132" i="9"/>
  <c r="I132" i="9" s="1"/>
  <c r="E132" i="9"/>
  <c r="AH132" i="9" s="1"/>
  <c r="AI131" i="9"/>
  <c r="AN130" i="9"/>
  <c r="AO130" i="9" s="1"/>
  <c r="AL130" i="9"/>
  <c r="AM130" i="9" s="1"/>
  <c r="AI130" i="9"/>
  <c r="H130" i="9"/>
  <c r="I130" i="9" s="1"/>
  <c r="D130" i="9"/>
  <c r="AG130" i="9" s="1"/>
  <c r="AI129" i="9"/>
  <c r="G129" i="9"/>
  <c r="AI128" i="9"/>
  <c r="G128" i="9"/>
  <c r="H128" i="9" s="1"/>
  <c r="I128" i="9" s="1"/>
  <c r="AN127" i="9"/>
  <c r="AO127" i="9" s="1"/>
  <c r="AL127" i="9"/>
  <c r="AM127" i="9" s="1"/>
  <c r="AI127" i="9"/>
  <c r="H127" i="9"/>
  <c r="I127" i="9" s="1"/>
  <c r="E127" i="9"/>
  <c r="AH127" i="9" s="1"/>
  <c r="D127" i="9"/>
  <c r="AG127" i="9" s="1"/>
  <c r="AI126" i="9"/>
  <c r="E126" i="9"/>
  <c r="AH126" i="9" s="1"/>
  <c r="D126" i="9"/>
  <c r="AG126" i="9" s="1"/>
  <c r="AI125" i="9"/>
  <c r="G125" i="9"/>
  <c r="H125" i="9" s="1"/>
  <c r="I125" i="9" s="1"/>
  <c r="E125" i="9"/>
  <c r="AH125" i="9" s="1"/>
  <c r="D125" i="9"/>
  <c r="AG125" i="9" s="1"/>
  <c r="AN124" i="9"/>
  <c r="AO124" i="9" s="1"/>
  <c r="AI124" i="9"/>
  <c r="H124" i="9"/>
  <c r="I124" i="9" s="1"/>
  <c r="AL124" i="9" s="1"/>
  <c r="E124" i="9"/>
  <c r="AH124" i="9" s="1"/>
  <c r="D124" i="9"/>
  <c r="AG124" i="9" s="1"/>
  <c r="AN123" i="9"/>
  <c r="AO123" i="9" s="1"/>
  <c r="AL123" i="9"/>
  <c r="AI123" i="9"/>
  <c r="AH123" i="9"/>
  <c r="AG123" i="9"/>
  <c r="AN122" i="9"/>
  <c r="AO122" i="9" s="1"/>
  <c r="AL122" i="9"/>
  <c r="AI122" i="9"/>
  <c r="AH122" i="9"/>
  <c r="AG122" i="9"/>
  <c r="AI121" i="9"/>
  <c r="G121" i="9"/>
  <c r="AN121" i="9" s="1"/>
  <c r="AO121" i="9" s="1"/>
  <c r="AI120" i="9"/>
  <c r="G120" i="9"/>
  <c r="AN120" i="9" s="1"/>
  <c r="AO120" i="9" s="1"/>
  <c r="AI119" i="9"/>
  <c r="G119" i="9"/>
  <c r="AN119" i="9" s="1"/>
  <c r="AO119" i="9" s="1"/>
  <c r="AI118" i="9"/>
  <c r="G118" i="9"/>
  <c r="AN118" i="9" s="1"/>
  <c r="AO118" i="9" s="1"/>
  <c r="AI117" i="9"/>
  <c r="G117" i="9"/>
  <c r="AN117" i="9" s="1"/>
  <c r="AO117" i="9" s="1"/>
  <c r="AN116" i="9"/>
  <c r="AO116" i="9" s="1"/>
  <c r="AL116" i="9"/>
  <c r="AM116" i="9" s="1"/>
  <c r="AI116" i="9"/>
  <c r="H116" i="9"/>
  <c r="I116" i="9" s="1"/>
  <c r="AI115" i="9"/>
  <c r="AH115" i="9"/>
  <c r="AG115" i="9"/>
  <c r="AI114" i="9"/>
  <c r="G114" i="9"/>
  <c r="H114" i="9" s="1"/>
  <c r="I114" i="9" s="1"/>
  <c r="D114" i="9"/>
  <c r="AG114" i="9" s="1"/>
  <c r="AI113" i="9"/>
  <c r="G113" i="9"/>
  <c r="H113" i="9" s="1"/>
  <c r="I113" i="9" s="1"/>
  <c r="AN112" i="9"/>
  <c r="AO112" i="9" s="1"/>
  <c r="AL112" i="9"/>
  <c r="AM112" i="9" s="1"/>
  <c r="AI112" i="9"/>
  <c r="H112" i="9"/>
  <c r="I112" i="9" s="1"/>
  <c r="E112" i="9"/>
  <c r="AH112" i="9" s="1"/>
  <c r="AI111" i="9"/>
  <c r="G111" i="9"/>
  <c r="AN111" i="9" s="1"/>
  <c r="AO111" i="9" s="1"/>
  <c r="AN110" i="9"/>
  <c r="AO110" i="9" s="1"/>
  <c r="AL110" i="9"/>
  <c r="AM110" i="9" s="1"/>
  <c r="AI110" i="9"/>
  <c r="H110" i="9"/>
  <c r="I110" i="9" s="1"/>
  <c r="AI109" i="9"/>
  <c r="G109" i="9"/>
  <c r="AN109" i="9" s="1"/>
  <c r="AO109" i="9" s="1"/>
  <c r="AI108" i="9"/>
  <c r="G108" i="9"/>
  <c r="E108" i="9"/>
  <c r="AH108" i="9" s="1"/>
  <c r="AN107" i="9"/>
  <c r="AO107" i="9" s="1"/>
  <c r="AL107" i="9"/>
  <c r="AM107" i="9" s="1"/>
  <c r="AI107" i="9"/>
  <c r="H107" i="9"/>
  <c r="I107" i="9" s="1"/>
  <c r="E107" i="9"/>
  <c r="AH107" i="9" s="1"/>
  <c r="D107" i="9"/>
  <c r="AG107" i="9" s="1"/>
  <c r="AI106" i="9"/>
  <c r="E106" i="9"/>
  <c r="AH106" i="9" s="1"/>
  <c r="D106" i="9"/>
  <c r="AG106" i="9" s="1"/>
  <c r="AI105" i="9"/>
  <c r="G105" i="9"/>
  <c r="H105" i="9" s="1"/>
  <c r="I105" i="9" s="1"/>
  <c r="E105" i="9"/>
  <c r="AH105" i="9" s="1"/>
  <c r="D105" i="9"/>
  <c r="AG105" i="9" s="1"/>
  <c r="AN104" i="9"/>
  <c r="AO104" i="9" s="1"/>
  <c r="AL104" i="9"/>
  <c r="AM104" i="9" s="1"/>
  <c r="AI104" i="9"/>
  <c r="M104" i="9"/>
  <c r="H104" i="9"/>
  <c r="I104" i="9" s="1"/>
  <c r="E104" i="9"/>
  <c r="AH104" i="9" s="1"/>
  <c r="D104" i="9"/>
  <c r="AG104" i="9" s="1"/>
  <c r="AN103" i="9"/>
  <c r="AO103" i="9" s="1"/>
  <c r="AL103" i="9"/>
  <c r="AI103" i="9"/>
  <c r="AH103" i="9"/>
  <c r="AG103" i="9"/>
  <c r="Q103" i="9"/>
  <c r="AN102" i="9"/>
  <c r="AO102" i="9" s="1"/>
  <c r="AL102" i="9"/>
  <c r="AI102" i="9"/>
  <c r="AH102" i="9"/>
  <c r="AG102" i="9"/>
  <c r="AN101" i="9"/>
  <c r="AO101" i="9" s="1"/>
  <c r="AL101" i="9"/>
  <c r="AI101" i="9"/>
  <c r="AH101" i="9"/>
  <c r="AG101" i="9"/>
  <c r="Q101" i="9"/>
  <c r="AN100" i="9"/>
  <c r="AO100" i="9" s="1"/>
  <c r="AL100" i="9"/>
  <c r="AI100" i="9"/>
  <c r="AH100" i="9"/>
  <c r="AG100" i="9"/>
  <c r="Q100" i="9"/>
  <c r="M100" i="9"/>
  <c r="AN99" i="9"/>
  <c r="AO99" i="9" s="1"/>
  <c r="AL99" i="9"/>
  <c r="AI99" i="9"/>
  <c r="AH99" i="9"/>
  <c r="AG99" i="9"/>
  <c r="R99" i="9"/>
  <c r="S99" i="9" s="1"/>
  <c r="AI98" i="9"/>
  <c r="G98" i="9"/>
  <c r="AN98" i="9" s="1"/>
  <c r="AO98" i="9" s="1"/>
  <c r="AI97" i="9"/>
  <c r="G97" i="9"/>
  <c r="AN97" i="9" s="1"/>
  <c r="AO97" i="9" s="1"/>
  <c r="AI96" i="9"/>
  <c r="G96" i="9"/>
  <c r="AN96" i="9" s="1"/>
  <c r="AO96" i="9" s="1"/>
  <c r="AI95" i="9"/>
  <c r="G95" i="9"/>
  <c r="AN95" i="9" s="1"/>
  <c r="AO95" i="9" s="1"/>
  <c r="AI94" i="9"/>
  <c r="G94" i="9"/>
  <c r="AN94" i="9" s="1"/>
  <c r="AO94" i="9" s="1"/>
  <c r="AN93" i="9"/>
  <c r="AO93" i="9" s="1"/>
  <c r="AL93" i="9"/>
  <c r="AM93" i="9" s="1"/>
  <c r="AI93" i="9"/>
  <c r="H93" i="9"/>
  <c r="I93" i="9" s="1"/>
  <c r="AI92" i="9"/>
  <c r="AH92" i="9"/>
  <c r="AG92" i="9"/>
  <c r="AN91" i="9"/>
  <c r="AO91" i="9" s="1"/>
  <c r="AL91" i="9"/>
  <c r="AM91" i="9" s="1"/>
  <c r="AI91" i="9"/>
  <c r="H91" i="9"/>
  <c r="I91" i="9" s="1"/>
  <c r="AI90" i="9"/>
  <c r="G90" i="9"/>
  <c r="AN90" i="9" s="1"/>
  <c r="AO90" i="9" s="1"/>
  <c r="AI89" i="9"/>
  <c r="G89" i="9"/>
  <c r="H89" i="9" s="1"/>
  <c r="I89" i="9" s="1"/>
  <c r="D89" i="9"/>
  <c r="AG89" i="9" s="1"/>
  <c r="AI88" i="9"/>
  <c r="G88" i="9"/>
  <c r="H88" i="9" s="1"/>
  <c r="I88" i="9" s="1"/>
  <c r="D88" i="9"/>
  <c r="AG88" i="9" s="1"/>
  <c r="AI87" i="9"/>
  <c r="G87" i="9"/>
  <c r="AN87" i="9" s="1"/>
  <c r="AO87" i="9" s="1"/>
  <c r="AI86" i="9"/>
  <c r="G86" i="9"/>
  <c r="AN86" i="9" s="1"/>
  <c r="AO86" i="9" s="1"/>
  <c r="AI85" i="9"/>
  <c r="G85" i="9"/>
  <c r="AN85" i="9" s="1"/>
  <c r="AO85" i="9" s="1"/>
  <c r="AN84" i="9"/>
  <c r="AO84" i="9" s="1"/>
  <c r="AL84" i="9"/>
  <c r="AM84" i="9" s="1"/>
  <c r="AI84" i="9"/>
  <c r="H84" i="9"/>
  <c r="I84" i="9" s="1"/>
  <c r="E84" i="9"/>
  <c r="AH84" i="9" s="1"/>
  <c r="D84" i="9"/>
  <c r="AG84" i="9" s="1"/>
  <c r="AI83" i="9"/>
  <c r="G83" i="9"/>
  <c r="E83" i="9"/>
  <c r="AH83" i="9" s="1"/>
  <c r="D83" i="9"/>
  <c r="AG83" i="9" s="1"/>
  <c r="AN82" i="9"/>
  <c r="AO82" i="9" s="1"/>
  <c r="AI82" i="9"/>
  <c r="H82" i="9"/>
  <c r="I82" i="9" s="1"/>
  <c r="AL82" i="9" s="1"/>
  <c r="E82" i="9"/>
  <c r="AH82" i="9" s="1"/>
  <c r="D82" i="9"/>
  <c r="AG82" i="9" s="1"/>
  <c r="AN81" i="9"/>
  <c r="AO81" i="9" s="1"/>
  <c r="AL81" i="9"/>
  <c r="AI81" i="9"/>
  <c r="AH81" i="9"/>
  <c r="AG81" i="9"/>
  <c r="AN80" i="9"/>
  <c r="AO80" i="9" s="1"/>
  <c r="AL80" i="9"/>
  <c r="AI80" i="9"/>
  <c r="AH80" i="9"/>
  <c r="AG80" i="9"/>
  <c r="AI79" i="9"/>
  <c r="G79" i="9"/>
  <c r="AN79" i="9" s="1"/>
  <c r="AO79" i="9" s="1"/>
  <c r="AI78" i="9"/>
  <c r="G78" i="9"/>
  <c r="AN78" i="9" s="1"/>
  <c r="AO78" i="9" s="1"/>
  <c r="E78" i="9"/>
  <c r="AH78" i="9" s="1"/>
  <c r="AI77" i="9"/>
  <c r="G77" i="9"/>
  <c r="H77" i="9" s="1"/>
  <c r="I77" i="9" s="1"/>
  <c r="E77" i="9"/>
  <c r="AH77" i="9" s="1"/>
  <c r="AI76" i="9"/>
  <c r="G76" i="9"/>
  <c r="AN76" i="9" s="1"/>
  <c r="AO76" i="9" s="1"/>
  <c r="E76" i="9"/>
  <c r="AH76" i="9" s="1"/>
  <c r="AI75" i="9"/>
  <c r="G75" i="9"/>
  <c r="H75" i="9" s="1"/>
  <c r="I75" i="9" s="1"/>
  <c r="AN74" i="9"/>
  <c r="AO74" i="9" s="1"/>
  <c r="AL74" i="9"/>
  <c r="AM74" i="9" s="1"/>
  <c r="AI74" i="9"/>
  <c r="H74" i="9"/>
  <c r="I74" i="9" s="1"/>
  <c r="AI73" i="9"/>
  <c r="AH73" i="9"/>
  <c r="AG73" i="9"/>
  <c r="AN72" i="9"/>
  <c r="AO72" i="9" s="1"/>
  <c r="AL72" i="9"/>
  <c r="AM72" i="9" s="1"/>
  <c r="AI72" i="9"/>
  <c r="H72" i="9"/>
  <c r="I72" i="9" s="1"/>
  <c r="AI71" i="9"/>
  <c r="G71" i="9"/>
  <c r="AN71" i="9" s="1"/>
  <c r="AO71" i="9" s="1"/>
  <c r="D71" i="9"/>
  <c r="AG71" i="9" s="1"/>
  <c r="AI70" i="9"/>
  <c r="G70" i="9"/>
  <c r="D70" i="9"/>
  <c r="AG70" i="9" s="1"/>
  <c r="AI69" i="9"/>
  <c r="G69" i="9"/>
  <c r="AI68" i="9"/>
  <c r="AI67" i="9"/>
  <c r="G67" i="9"/>
  <c r="AI66" i="9"/>
  <c r="G66" i="9"/>
  <c r="D66" i="9"/>
  <c r="AG66" i="9" s="1"/>
  <c r="AN65" i="9"/>
  <c r="AO65" i="9" s="1"/>
  <c r="AL65" i="9"/>
  <c r="AM65" i="9" s="1"/>
  <c r="AI65" i="9"/>
  <c r="H65" i="9"/>
  <c r="I65" i="9" s="1"/>
  <c r="E65" i="9"/>
  <c r="AH65" i="9" s="1"/>
  <c r="D65" i="9"/>
  <c r="AG65" i="9" s="1"/>
  <c r="AI64" i="9"/>
  <c r="G64" i="9"/>
  <c r="AN64" i="9" s="1"/>
  <c r="AO64" i="9" s="1"/>
  <c r="E64" i="9"/>
  <c r="AH64" i="9" s="1"/>
  <c r="D64" i="9"/>
  <c r="AG64" i="9" s="1"/>
  <c r="AN63" i="9"/>
  <c r="AO63" i="9" s="1"/>
  <c r="AI63" i="9"/>
  <c r="H63" i="9"/>
  <c r="I63" i="9" s="1"/>
  <c r="AL63" i="9" s="1"/>
  <c r="E63" i="9"/>
  <c r="AH63" i="9" s="1"/>
  <c r="D63" i="9"/>
  <c r="AG63" i="9" s="1"/>
  <c r="AN62" i="9"/>
  <c r="AO62" i="9" s="1"/>
  <c r="AL62" i="9"/>
  <c r="AI62" i="9"/>
  <c r="AH62" i="9"/>
  <c r="AG62" i="9"/>
  <c r="AN61" i="9"/>
  <c r="AO61" i="9" s="1"/>
  <c r="AL61" i="9"/>
  <c r="AI61" i="9"/>
  <c r="AH61" i="9"/>
  <c r="AG61" i="9"/>
  <c r="AI60" i="9"/>
  <c r="G60" i="9"/>
  <c r="AN60" i="9" s="1"/>
  <c r="AO60" i="9" s="1"/>
  <c r="E60" i="9"/>
  <c r="AH60" i="9" s="1"/>
  <c r="AI59" i="9"/>
  <c r="G59" i="9"/>
  <c r="AN59" i="9" s="1"/>
  <c r="AO59" i="9" s="1"/>
  <c r="E59" i="9"/>
  <c r="AH59" i="9" s="1"/>
  <c r="AI58" i="9"/>
  <c r="G58" i="9"/>
  <c r="AN58" i="9" s="1"/>
  <c r="AO58" i="9" s="1"/>
  <c r="AI57" i="9"/>
  <c r="G57" i="9"/>
  <c r="AN57" i="9" s="1"/>
  <c r="AO57" i="9" s="1"/>
  <c r="AI56" i="9"/>
  <c r="G56" i="9"/>
  <c r="AN56" i="9" s="1"/>
  <c r="AO56" i="9" s="1"/>
  <c r="E56" i="9"/>
  <c r="AH56" i="9" s="1"/>
  <c r="AN55" i="9"/>
  <c r="AO55" i="9" s="1"/>
  <c r="AL55" i="9"/>
  <c r="AM55" i="9" s="1"/>
  <c r="AI55" i="9"/>
  <c r="H55" i="9"/>
  <c r="I55" i="9" s="1"/>
  <c r="AI54" i="9"/>
  <c r="AH54" i="9"/>
  <c r="AG54" i="9"/>
  <c r="AI53" i="9"/>
  <c r="G53" i="9"/>
  <c r="AN53" i="9" s="1"/>
  <c r="AO53" i="9" s="1"/>
  <c r="AI52" i="9"/>
  <c r="G52" i="9"/>
  <c r="AN51" i="9"/>
  <c r="AO51" i="9" s="1"/>
  <c r="AL51" i="9"/>
  <c r="AM51" i="9" s="1"/>
  <c r="AI51" i="9"/>
  <c r="H51" i="9"/>
  <c r="I51" i="9" s="1"/>
  <c r="AI50" i="9"/>
  <c r="G50" i="9"/>
  <c r="G54" i="9" s="1"/>
  <c r="AN54" i="9" s="1"/>
  <c r="AO54" i="9" s="1"/>
  <c r="AI49" i="9"/>
  <c r="G49" i="9"/>
  <c r="AI48" i="9"/>
  <c r="G48" i="9"/>
  <c r="AI47" i="9"/>
  <c r="G47" i="9"/>
  <c r="AN47" i="9" s="1"/>
  <c r="AO47" i="9" s="1"/>
  <c r="E47" i="9"/>
  <c r="AH47" i="9" s="1"/>
  <c r="AN46" i="9"/>
  <c r="AO46" i="9" s="1"/>
  <c r="AL46" i="9"/>
  <c r="AM46" i="9" s="1"/>
  <c r="AI46" i="9"/>
  <c r="H46" i="9"/>
  <c r="I46" i="9" s="1"/>
  <c r="E46" i="9"/>
  <c r="AH46" i="9" s="1"/>
  <c r="D46" i="9"/>
  <c r="AG46" i="9" s="1"/>
  <c r="AI45" i="9"/>
  <c r="G45" i="9"/>
  <c r="E45" i="9"/>
  <c r="AH45" i="9" s="1"/>
  <c r="D45" i="9"/>
  <c r="AG45" i="9" s="1"/>
  <c r="AN44" i="9"/>
  <c r="AO44" i="9" s="1"/>
  <c r="AI44" i="9"/>
  <c r="H44" i="9"/>
  <c r="I44" i="9" s="1"/>
  <c r="AL44" i="9" s="1"/>
  <c r="E44" i="9"/>
  <c r="AH44" i="9" s="1"/>
  <c r="D44" i="9"/>
  <c r="AG44" i="9" s="1"/>
  <c r="AN43" i="9"/>
  <c r="AO43" i="9" s="1"/>
  <c r="AL43" i="9"/>
  <c r="AI43" i="9"/>
  <c r="AH43" i="9"/>
  <c r="AG43" i="9"/>
  <c r="AN42" i="9"/>
  <c r="AO42" i="9" s="1"/>
  <c r="AL42" i="9"/>
  <c r="AI42" i="9"/>
  <c r="AH42" i="9"/>
  <c r="AG42" i="9"/>
  <c r="AI41" i="9"/>
  <c r="G41" i="9"/>
  <c r="AI40" i="9"/>
  <c r="G40" i="9"/>
  <c r="E40" i="9"/>
  <c r="AH40" i="9" s="1"/>
  <c r="AI39" i="9"/>
  <c r="G39" i="9"/>
  <c r="E39" i="9"/>
  <c r="AH39" i="9" s="1"/>
  <c r="AI38" i="9"/>
  <c r="G38" i="9"/>
  <c r="E38" i="9"/>
  <c r="AH38" i="9" s="1"/>
  <c r="AI37" i="9"/>
  <c r="G37" i="9"/>
  <c r="AN36" i="9"/>
  <c r="AO36" i="9" s="1"/>
  <c r="AL36" i="9"/>
  <c r="AM36" i="9" s="1"/>
  <c r="AI36" i="9"/>
  <c r="H36" i="9"/>
  <c r="I36" i="9" s="1"/>
  <c r="D36" i="9"/>
  <c r="AG36" i="9" s="1"/>
  <c r="AI35" i="9"/>
  <c r="AH35" i="9"/>
  <c r="AG35" i="9"/>
  <c r="AI34" i="9"/>
  <c r="G34" i="9"/>
  <c r="H34" i="9" s="1"/>
  <c r="I34" i="9" s="1"/>
  <c r="AI33" i="9"/>
  <c r="G33" i="9"/>
  <c r="H33" i="9" s="1"/>
  <c r="I33" i="9" s="1"/>
  <c r="AL33" i="9" s="1"/>
  <c r="AN32" i="9"/>
  <c r="AO32" i="9" s="1"/>
  <c r="AL32" i="9"/>
  <c r="AM32" i="9" s="1"/>
  <c r="AI32" i="9"/>
  <c r="H32" i="9"/>
  <c r="I32" i="9" s="1"/>
  <c r="E32" i="9"/>
  <c r="AH32" i="9" s="1"/>
  <c r="D32" i="9"/>
  <c r="AG32" i="9" s="1"/>
  <c r="AI31" i="9"/>
  <c r="G31" i="9"/>
  <c r="E31" i="9"/>
  <c r="AH31" i="9" s="1"/>
  <c r="D31" i="9"/>
  <c r="AG31" i="9" s="1"/>
  <c r="AN30" i="9"/>
  <c r="AO30" i="9" s="1"/>
  <c r="AL30" i="9"/>
  <c r="AM30" i="9" s="1"/>
  <c r="AI30" i="9"/>
  <c r="H30" i="9"/>
  <c r="I30" i="9" s="1"/>
  <c r="AI29" i="9"/>
  <c r="G29" i="9"/>
  <c r="H29" i="9" s="1"/>
  <c r="I29" i="9" s="1"/>
  <c r="AI28" i="9"/>
  <c r="G28" i="9"/>
  <c r="AN27" i="9"/>
  <c r="AO27" i="9" s="1"/>
  <c r="AL27" i="9"/>
  <c r="AM27" i="9" s="1"/>
  <c r="AI27" i="9"/>
  <c r="H27" i="9"/>
  <c r="I27" i="9" s="1"/>
  <c r="E27" i="9"/>
  <c r="AH27" i="9" s="1"/>
  <c r="D27" i="9"/>
  <c r="AG27" i="9" s="1"/>
  <c r="AI26" i="9"/>
  <c r="G26" i="9"/>
  <c r="E26" i="9"/>
  <c r="AH26" i="9" s="1"/>
  <c r="D26" i="9"/>
  <c r="AG26" i="9" s="1"/>
  <c r="AN25" i="9"/>
  <c r="AO25" i="9" s="1"/>
  <c r="AI25" i="9"/>
  <c r="R25" i="9"/>
  <c r="S25" i="9" s="1"/>
  <c r="N25" i="9"/>
  <c r="M25" i="9"/>
  <c r="M99" i="9" s="1"/>
  <c r="L25" i="9"/>
  <c r="L24" i="9" s="1"/>
  <c r="L20" i="9" s="1"/>
  <c r="H25" i="9"/>
  <c r="I25" i="9" s="1"/>
  <c r="AL25" i="9" s="1"/>
  <c r="E25" i="9"/>
  <c r="AH25" i="9" s="1"/>
  <c r="D25" i="9"/>
  <c r="AG25" i="9" s="1"/>
  <c r="D10" i="9"/>
  <c r="D9" i="9"/>
  <c r="D268" i="8"/>
  <c r="D264" i="8"/>
  <c r="D262" i="8"/>
  <c r="D221" i="8"/>
  <c r="F192" i="8"/>
  <c r="E173" i="8"/>
  <c r="F163" i="8"/>
  <c r="D137" i="8"/>
  <c r="D136" i="8"/>
  <c r="E136" i="8" s="1"/>
  <c r="D134" i="8"/>
  <c r="D129" i="8"/>
  <c r="D127" i="8"/>
  <c r="D122" i="8"/>
  <c r="D108" i="8"/>
  <c r="E100" i="8" s="1"/>
  <c r="D140" i="8" s="1"/>
  <c r="F105" i="8"/>
  <c r="B105" i="8"/>
  <c r="F104" i="8"/>
  <c r="B104" i="8"/>
  <c r="F103" i="8"/>
  <c r="B103" i="8"/>
  <c r="E50" i="8"/>
  <c r="E49" i="8"/>
  <c r="P37" i="8"/>
  <c r="Q36" i="8"/>
  <c r="Q38" i="8" s="1"/>
  <c r="P36" i="8"/>
  <c r="D198" i="8" s="1"/>
  <c r="D220" i="8"/>
  <c r="F16" i="8"/>
  <c r="N179" i="12"/>
  <c r="E178" i="12"/>
  <c r="D179" i="12" s="1"/>
  <c r="F357" i="9" s="1"/>
  <c r="AI357" i="9" s="1"/>
  <c r="D171" i="12"/>
  <c r="Y137" i="12"/>
  <c r="I136" i="12"/>
  <c r="Z130" i="12"/>
  <c r="H127" i="12"/>
  <c r="Q57" i="12"/>
  <c r="Q55" i="12"/>
  <c r="K54" i="12"/>
  <c r="Q53" i="12"/>
  <c r="Q54" i="12" s="1"/>
  <c r="Q49" i="12"/>
  <c r="Q48" i="12"/>
  <c r="K48" i="12"/>
  <c r="Q47" i="12"/>
  <c r="D229" i="8"/>
  <c r="H360" i="9" l="1"/>
  <c r="I360" i="9" s="1"/>
  <c r="AL360" i="9" s="1"/>
  <c r="AM360" i="9" s="1"/>
  <c r="I42" i="16"/>
  <c r="D209" i="8" s="1"/>
  <c r="AL166" i="9"/>
  <c r="AM166" i="9" s="1"/>
  <c r="D119" i="8"/>
  <c r="AL145" i="9"/>
  <c r="AM145" i="9" s="1"/>
  <c r="H145" i="9"/>
  <c r="I145" i="9" s="1"/>
  <c r="B367" i="9"/>
  <c r="D128" i="8"/>
  <c r="H161" i="9"/>
  <c r="I161" i="9" s="1"/>
  <c r="E185" i="9"/>
  <c r="AH185" i="9" s="1"/>
  <c r="H371" i="9"/>
  <c r="I371" i="9" s="1"/>
  <c r="AL168" i="9"/>
  <c r="AM168" i="9" s="1"/>
  <c r="H260" i="9"/>
  <c r="I260" i="9" s="1"/>
  <c r="AL260" i="9" s="1"/>
  <c r="AM260" i="9" s="1"/>
  <c r="B368" i="9"/>
  <c r="AL105" i="9"/>
  <c r="AM105" i="9" s="1"/>
  <c r="G106" i="9"/>
  <c r="H106" i="9" s="1"/>
  <c r="I106" i="9" s="1"/>
  <c r="AN105" i="9"/>
  <c r="AO105" i="9" s="1"/>
  <c r="AL167" i="9"/>
  <c r="AM167" i="9" s="1"/>
  <c r="D368" i="9"/>
  <c r="AG368" i="9" s="1"/>
  <c r="AN371" i="9"/>
  <c r="AO371" i="9" s="1"/>
  <c r="AL128" i="9"/>
  <c r="H109" i="9"/>
  <c r="I109" i="9" s="1"/>
  <c r="D67" i="9"/>
  <c r="AG67" i="9" s="1"/>
  <c r="E75" i="9"/>
  <c r="AH75" i="9" s="1"/>
  <c r="E79" i="9"/>
  <c r="AH79" i="9" s="1"/>
  <c r="D85" i="9"/>
  <c r="AG85" i="9" s="1"/>
  <c r="E109" i="9"/>
  <c r="AH109" i="9" s="1"/>
  <c r="D110" i="9"/>
  <c r="AG110" i="9" s="1"/>
  <c r="E116" i="9"/>
  <c r="AH116" i="9" s="1"/>
  <c r="D128" i="9"/>
  <c r="AG128" i="9" s="1"/>
  <c r="E137" i="9"/>
  <c r="AH137" i="9" s="1"/>
  <c r="E138" i="9"/>
  <c r="AH138" i="9" s="1"/>
  <c r="E139" i="9"/>
  <c r="AH139" i="9" s="1"/>
  <c r="E140" i="9"/>
  <c r="AH140" i="9" s="1"/>
  <c r="D156" i="9"/>
  <c r="AG156" i="9" s="1"/>
  <c r="E195" i="9"/>
  <c r="AH195" i="9" s="1"/>
  <c r="D212" i="9"/>
  <c r="AG212" i="9" s="1"/>
  <c r="E223" i="9"/>
  <c r="AH223" i="9" s="1"/>
  <c r="E233" i="9"/>
  <c r="AH233" i="9" s="1"/>
  <c r="D236" i="9"/>
  <c r="AG236" i="9" s="1"/>
  <c r="E275" i="9"/>
  <c r="AH275" i="9" s="1"/>
  <c r="AN140" i="9"/>
  <c r="AO140" i="9" s="1"/>
  <c r="D355" i="9"/>
  <c r="AG355" i="9" s="1"/>
  <c r="E353" i="9"/>
  <c r="AH353" i="9" s="1"/>
  <c r="D376" i="9"/>
  <c r="AG376" i="9" s="1"/>
  <c r="E376" i="9"/>
  <c r="AH376" i="9" s="1"/>
  <c r="D353" i="9"/>
  <c r="AG353" i="9" s="1"/>
  <c r="AL159" i="9"/>
  <c r="AM159" i="9" s="1"/>
  <c r="H377" i="9"/>
  <c r="I377" i="9" s="1"/>
  <c r="AL377" i="9" s="1"/>
  <c r="AM377" i="9" s="1"/>
  <c r="V99" i="9"/>
  <c r="AL109" i="9"/>
  <c r="AM109" i="9" s="1"/>
  <c r="AL125" i="9"/>
  <c r="H140" i="9"/>
  <c r="I140" i="9" s="1"/>
  <c r="AL140" i="9" s="1"/>
  <c r="H153" i="9"/>
  <c r="I153" i="9" s="1"/>
  <c r="H154" i="9"/>
  <c r="I154" i="9" s="1"/>
  <c r="H167" i="9"/>
  <c r="I167" i="9" s="1"/>
  <c r="H168" i="9"/>
  <c r="I168" i="9" s="1"/>
  <c r="H191" i="9"/>
  <c r="I191" i="9" s="1"/>
  <c r="H464" i="9"/>
  <c r="E172" i="8" s="1"/>
  <c r="D367" i="9"/>
  <c r="AG367" i="9" s="1"/>
  <c r="I6" i="13"/>
  <c r="AL165" i="9"/>
  <c r="AM165" i="9" s="1"/>
  <c r="B366" i="9"/>
  <c r="E37" i="9"/>
  <c r="AH37" i="9" s="1"/>
  <c r="E41" i="9"/>
  <c r="AH41" i="9" s="1"/>
  <c r="D47" i="9"/>
  <c r="AG47" i="9" s="1"/>
  <c r="D48" i="9"/>
  <c r="AG48" i="9" s="1"/>
  <c r="D49" i="9"/>
  <c r="AG49" i="9" s="1"/>
  <c r="D50" i="9"/>
  <c r="AG50" i="9" s="1"/>
  <c r="D51" i="9"/>
  <c r="AG51" i="9" s="1"/>
  <c r="E58" i="9"/>
  <c r="AH58" i="9" s="1"/>
  <c r="D69" i="9"/>
  <c r="AG69" i="9" s="1"/>
  <c r="D87" i="9"/>
  <c r="AG87" i="9" s="1"/>
  <c r="D91" i="9"/>
  <c r="AG91" i="9" s="1"/>
  <c r="D94" i="9"/>
  <c r="AG94" i="9" s="1"/>
  <c r="D95" i="9"/>
  <c r="AG95" i="9" s="1"/>
  <c r="D96" i="9"/>
  <c r="AG96" i="9" s="1"/>
  <c r="D97" i="9"/>
  <c r="AG97" i="9" s="1"/>
  <c r="D98" i="9"/>
  <c r="AG98" i="9" s="1"/>
  <c r="E111" i="9"/>
  <c r="AH111" i="9" s="1"/>
  <c r="D113" i="9"/>
  <c r="AG113" i="9" s="1"/>
  <c r="E128" i="9"/>
  <c r="AH128" i="9" s="1"/>
  <c r="D129" i="9"/>
  <c r="AG129" i="9" s="1"/>
  <c r="E131" i="9"/>
  <c r="AH131" i="9" s="1"/>
  <c r="D133" i="9"/>
  <c r="AG133" i="9" s="1"/>
  <c r="E156" i="9"/>
  <c r="AH156" i="9" s="1"/>
  <c r="E160" i="9"/>
  <c r="AH160" i="9" s="1"/>
  <c r="E165" i="9"/>
  <c r="AH165" i="9" s="1"/>
  <c r="D166" i="9"/>
  <c r="AG166" i="9" s="1"/>
  <c r="D168" i="9"/>
  <c r="AG168" i="9" s="1"/>
  <c r="E191" i="9"/>
  <c r="AH191" i="9" s="1"/>
  <c r="D198" i="9"/>
  <c r="AG198" i="9" s="1"/>
  <c r="E206" i="9"/>
  <c r="AH206" i="9" s="1"/>
  <c r="D209" i="9"/>
  <c r="AG209" i="9" s="1"/>
  <c r="D213" i="9"/>
  <c r="AG213" i="9" s="1"/>
  <c r="D217" i="9"/>
  <c r="AG217" i="9" s="1"/>
  <c r="E221" i="9"/>
  <c r="AK221" i="9" s="1"/>
  <c r="AP221" i="9" s="1"/>
  <c r="E228" i="9"/>
  <c r="AH228" i="9" s="1"/>
  <c r="E232" i="9"/>
  <c r="AH232" i="9" s="1"/>
  <c r="E236" i="9"/>
  <c r="AH236" i="9" s="1"/>
  <c r="D250" i="9"/>
  <c r="AG250" i="9" s="1"/>
  <c r="E254" i="9"/>
  <c r="AH254" i="9" s="1"/>
  <c r="E259" i="9"/>
  <c r="AH259" i="9" s="1"/>
  <c r="E267" i="9"/>
  <c r="AH267" i="9" s="1"/>
  <c r="D272" i="9"/>
  <c r="AG272" i="9" s="1"/>
  <c r="D274" i="9"/>
  <c r="AG274" i="9" s="1"/>
  <c r="E355" i="9"/>
  <c r="AH355" i="9" s="1"/>
  <c r="D360" i="9"/>
  <c r="AG360" i="9" s="1"/>
  <c r="D362" i="9"/>
  <c r="AG362" i="9" s="1"/>
  <c r="D366" i="9"/>
  <c r="AG366" i="9" s="1"/>
  <c r="E48" i="9"/>
  <c r="AH48" i="9" s="1"/>
  <c r="E49" i="9"/>
  <c r="AH49" i="9" s="1"/>
  <c r="E50" i="9"/>
  <c r="AH50" i="9" s="1"/>
  <c r="E51" i="9"/>
  <c r="AH51" i="9" s="1"/>
  <c r="D55" i="9"/>
  <c r="AG55" i="9" s="1"/>
  <c r="E57" i="9"/>
  <c r="AH57" i="9" s="1"/>
  <c r="D68" i="9"/>
  <c r="AG68" i="9" s="1"/>
  <c r="D72" i="9"/>
  <c r="AG72" i="9" s="1"/>
  <c r="D75" i="9"/>
  <c r="AG75" i="9" s="1"/>
  <c r="D76" i="9"/>
  <c r="AG76" i="9" s="1"/>
  <c r="D77" i="9"/>
  <c r="AG77" i="9" s="1"/>
  <c r="D78" i="9"/>
  <c r="AG78" i="9" s="1"/>
  <c r="D79" i="9"/>
  <c r="AG79" i="9" s="1"/>
  <c r="D86" i="9"/>
  <c r="AG86" i="9" s="1"/>
  <c r="D90" i="9"/>
  <c r="AG90" i="9" s="1"/>
  <c r="E94" i="9"/>
  <c r="AH94" i="9" s="1"/>
  <c r="E95" i="9"/>
  <c r="AH95" i="9" s="1"/>
  <c r="E96" i="9"/>
  <c r="AH96" i="9" s="1"/>
  <c r="E97" i="9"/>
  <c r="AH97" i="9" s="1"/>
  <c r="E98" i="9"/>
  <c r="AH98" i="9" s="1"/>
  <c r="D116" i="9"/>
  <c r="AG116" i="9" s="1"/>
  <c r="E168" i="9"/>
  <c r="AH168" i="9" s="1"/>
  <c r="D184" i="9"/>
  <c r="AG184" i="9" s="1"/>
  <c r="D190" i="9"/>
  <c r="AG190" i="9" s="1"/>
  <c r="E198" i="9"/>
  <c r="AH198" i="9" s="1"/>
  <c r="D205" i="9"/>
  <c r="AG205" i="9" s="1"/>
  <c r="E209" i="9"/>
  <c r="AH209" i="9" s="1"/>
  <c r="E213" i="9"/>
  <c r="AH213" i="9" s="1"/>
  <c r="E217" i="9"/>
  <c r="AH217" i="9" s="1"/>
  <c r="D218" i="9"/>
  <c r="AG218" i="9" s="1"/>
  <c r="D222" i="9"/>
  <c r="AG222" i="9" s="1"/>
  <c r="D225" i="9"/>
  <c r="AG225" i="9" s="1"/>
  <c r="D227" i="9"/>
  <c r="AG227" i="9" s="1"/>
  <c r="D235" i="9"/>
  <c r="AG235" i="9" s="1"/>
  <c r="E248" i="9"/>
  <c r="AH248" i="9" s="1"/>
  <c r="D253" i="9"/>
  <c r="AG253" i="9" s="1"/>
  <c r="E272" i="9"/>
  <c r="AK272" i="9" s="1"/>
  <c r="AP272" i="9" s="1"/>
  <c r="E274" i="9"/>
  <c r="AH274" i="9" s="1"/>
  <c r="D306" i="9"/>
  <c r="AG306" i="9" s="1"/>
  <c r="E329" i="9"/>
  <c r="AH329" i="9" s="1"/>
  <c r="D378" i="9"/>
  <c r="AG378" i="9" s="1"/>
  <c r="D28" i="9"/>
  <c r="AG28" i="9" s="1"/>
  <c r="D29" i="9"/>
  <c r="AG29" i="9" s="1"/>
  <c r="D30" i="9"/>
  <c r="AG30" i="9" s="1"/>
  <c r="D33" i="9"/>
  <c r="AG33" i="9" s="1"/>
  <c r="D34" i="9"/>
  <c r="AG34" i="9" s="1"/>
  <c r="E36" i="9"/>
  <c r="AH36" i="9" s="1"/>
  <c r="D52" i="9"/>
  <c r="AG52" i="9" s="1"/>
  <c r="D53" i="9"/>
  <c r="AG53" i="9" s="1"/>
  <c r="E55" i="9"/>
  <c r="AH55" i="9" s="1"/>
  <c r="E66" i="9"/>
  <c r="AH66" i="9" s="1"/>
  <c r="E67" i="9"/>
  <c r="AH67" i="9" s="1"/>
  <c r="E68" i="9"/>
  <c r="AH68" i="9" s="1"/>
  <c r="E69" i="9"/>
  <c r="AH69" i="9" s="1"/>
  <c r="E70" i="9"/>
  <c r="AH70" i="9" s="1"/>
  <c r="E71" i="9"/>
  <c r="AH71" i="9" s="1"/>
  <c r="E72" i="9"/>
  <c r="AH72" i="9" s="1"/>
  <c r="D74" i="9"/>
  <c r="AG74" i="9" s="1"/>
  <c r="E85" i="9"/>
  <c r="AH85" i="9" s="1"/>
  <c r="E86" i="9"/>
  <c r="AH86" i="9" s="1"/>
  <c r="E87" i="9"/>
  <c r="AH87" i="9" s="1"/>
  <c r="E88" i="9"/>
  <c r="AH88" i="9" s="1"/>
  <c r="E89" i="9"/>
  <c r="AH89" i="9" s="1"/>
  <c r="E90" i="9"/>
  <c r="AH90" i="9" s="1"/>
  <c r="E91" i="9"/>
  <c r="AH91" i="9" s="1"/>
  <c r="D93" i="9"/>
  <c r="AG93" i="9" s="1"/>
  <c r="E110" i="9"/>
  <c r="AH110" i="9" s="1"/>
  <c r="E113" i="9"/>
  <c r="AH113" i="9" s="1"/>
  <c r="E114" i="9"/>
  <c r="AH114" i="9" s="1"/>
  <c r="D117" i="9"/>
  <c r="AG117" i="9" s="1"/>
  <c r="D118" i="9"/>
  <c r="AG118" i="9" s="1"/>
  <c r="D119" i="9"/>
  <c r="AG119" i="9" s="1"/>
  <c r="D120" i="9"/>
  <c r="AG120" i="9" s="1"/>
  <c r="D121" i="9"/>
  <c r="AG121" i="9" s="1"/>
  <c r="E129" i="9"/>
  <c r="AH129" i="9" s="1"/>
  <c r="E130" i="9"/>
  <c r="AH130" i="9" s="1"/>
  <c r="E133" i="9"/>
  <c r="AH133" i="9" s="1"/>
  <c r="D134" i="9"/>
  <c r="AG134" i="9" s="1"/>
  <c r="D136" i="9"/>
  <c r="AG136" i="9" s="1"/>
  <c r="D141" i="9"/>
  <c r="AG141" i="9" s="1"/>
  <c r="D148" i="9"/>
  <c r="AG148" i="9" s="1"/>
  <c r="D149" i="9"/>
  <c r="AG149" i="9" s="1"/>
  <c r="D150" i="9"/>
  <c r="AG150" i="9" s="1"/>
  <c r="D153" i="9"/>
  <c r="AG153" i="9" s="1"/>
  <c r="D157" i="9"/>
  <c r="AG157" i="9" s="1"/>
  <c r="D158" i="9"/>
  <c r="AG158" i="9" s="1"/>
  <c r="D159" i="9"/>
  <c r="AG159" i="9" s="1"/>
  <c r="E166" i="9"/>
  <c r="AH166" i="9" s="1"/>
  <c r="D167" i="9"/>
  <c r="AG167" i="9" s="1"/>
  <c r="E184" i="9"/>
  <c r="AH184" i="9" s="1"/>
  <c r="E187" i="9"/>
  <c r="AH187" i="9" s="1"/>
  <c r="D196" i="9"/>
  <c r="AG196" i="9" s="1"/>
  <c r="E197" i="9"/>
  <c r="AH197" i="9" s="1"/>
  <c r="D203" i="9"/>
  <c r="AG203" i="9" s="1"/>
  <c r="E204" i="9"/>
  <c r="AH204" i="9" s="1"/>
  <c r="D211" i="9"/>
  <c r="AG211" i="9" s="1"/>
  <c r="E212" i="9"/>
  <c r="AH212" i="9" s="1"/>
  <c r="E218" i="9"/>
  <c r="AK218" i="9" s="1"/>
  <c r="AP218" i="9" s="1"/>
  <c r="E220" i="9"/>
  <c r="AH220" i="9" s="1"/>
  <c r="E222" i="9"/>
  <c r="AH222" i="9" s="1"/>
  <c r="E224" i="9"/>
  <c r="AH224" i="9" s="1"/>
  <c r="E226" i="9"/>
  <c r="AK226" i="9" s="1"/>
  <c r="AP226" i="9" s="1"/>
  <c r="E227" i="9"/>
  <c r="AH227" i="9" s="1"/>
  <c r="D234" i="9"/>
  <c r="AG234" i="9" s="1"/>
  <c r="E235" i="9"/>
  <c r="AH235" i="9" s="1"/>
  <c r="D249" i="9"/>
  <c r="AG249" i="9" s="1"/>
  <c r="E250" i="9"/>
  <c r="AH250" i="9" s="1"/>
  <c r="D252" i="9"/>
  <c r="AG252" i="9" s="1"/>
  <c r="E255" i="9"/>
  <c r="AH255" i="9" s="1"/>
  <c r="D257" i="9"/>
  <c r="AG257" i="9" s="1"/>
  <c r="E258" i="9"/>
  <c r="AH258" i="9" s="1"/>
  <c r="D260" i="9"/>
  <c r="AG260" i="9" s="1"/>
  <c r="E266" i="9"/>
  <c r="AK266" i="9" s="1"/>
  <c r="AP266" i="9" s="1"/>
  <c r="D304" i="9"/>
  <c r="AG304" i="9" s="1"/>
  <c r="D305" i="9"/>
  <c r="AG305" i="9" s="1"/>
  <c r="D308" i="9"/>
  <c r="AG308" i="9" s="1"/>
  <c r="E315" i="9"/>
  <c r="AH315" i="9" s="1"/>
  <c r="D359" i="9"/>
  <c r="AG359" i="9" s="1"/>
  <c r="E366" i="9"/>
  <c r="AH366" i="9" s="1"/>
  <c r="E367" i="9"/>
  <c r="AH367" i="9" s="1"/>
  <c r="E368" i="9"/>
  <c r="AH368" i="9" s="1"/>
  <c r="E378" i="9"/>
  <c r="AH378" i="9" s="1"/>
  <c r="D379" i="9"/>
  <c r="AG379" i="9" s="1"/>
  <c r="E28" i="9"/>
  <c r="AH28" i="9" s="1"/>
  <c r="E29" i="9"/>
  <c r="AH29" i="9" s="1"/>
  <c r="E30" i="9"/>
  <c r="AH30" i="9" s="1"/>
  <c r="E33" i="9"/>
  <c r="AH33" i="9" s="1"/>
  <c r="E34" i="9"/>
  <c r="AH34" i="9" s="1"/>
  <c r="D37" i="9"/>
  <c r="AG37" i="9" s="1"/>
  <c r="D38" i="9"/>
  <c r="AG38" i="9" s="1"/>
  <c r="D39" i="9"/>
  <c r="AG39" i="9" s="1"/>
  <c r="D40" i="9"/>
  <c r="AG40" i="9" s="1"/>
  <c r="D41" i="9"/>
  <c r="AG41" i="9" s="1"/>
  <c r="E52" i="9"/>
  <c r="AH52" i="9" s="1"/>
  <c r="E53" i="9"/>
  <c r="AH53" i="9" s="1"/>
  <c r="D56" i="9"/>
  <c r="AG56" i="9" s="1"/>
  <c r="D57" i="9"/>
  <c r="AG57" i="9" s="1"/>
  <c r="D58" i="9"/>
  <c r="AG58" i="9" s="1"/>
  <c r="D59" i="9"/>
  <c r="AG59" i="9" s="1"/>
  <c r="D60" i="9"/>
  <c r="AG60" i="9" s="1"/>
  <c r="E74" i="9"/>
  <c r="AH74" i="9" s="1"/>
  <c r="E93" i="9"/>
  <c r="AH93" i="9" s="1"/>
  <c r="D108" i="9"/>
  <c r="AG108" i="9" s="1"/>
  <c r="D109" i="9"/>
  <c r="AG109" i="9" s="1"/>
  <c r="D111" i="9"/>
  <c r="AG111" i="9" s="1"/>
  <c r="D112" i="9"/>
  <c r="AG112" i="9" s="1"/>
  <c r="E117" i="9"/>
  <c r="AH117" i="9" s="1"/>
  <c r="E118" i="9"/>
  <c r="AH118" i="9" s="1"/>
  <c r="E119" i="9"/>
  <c r="AH119" i="9" s="1"/>
  <c r="E120" i="9"/>
  <c r="AH120" i="9" s="1"/>
  <c r="E121" i="9"/>
  <c r="AH121" i="9" s="1"/>
  <c r="D131" i="9"/>
  <c r="AG131" i="9" s="1"/>
  <c r="D132" i="9"/>
  <c r="AG132" i="9" s="1"/>
  <c r="E134" i="9"/>
  <c r="AH134" i="9" s="1"/>
  <c r="E136" i="9"/>
  <c r="AH136" i="9" s="1"/>
  <c r="E141" i="9"/>
  <c r="AH141" i="9" s="1"/>
  <c r="E148" i="9"/>
  <c r="AH148" i="9" s="1"/>
  <c r="E149" i="9"/>
  <c r="AH149" i="9" s="1"/>
  <c r="E150" i="9"/>
  <c r="AH150" i="9" s="1"/>
  <c r="E153" i="9"/>
  <c r="AH153" i="9" s="1"/>
  <c r="D154" i="9"/>
  <c r="AG154" i="9" s="1"/>
  <c r="E157" i="9"/>
  <c r="AH157" i="9" s="1"/>
  <c r="E158" i="9"/>
  <c r="AH158" i="9" s="1"/>
  <c r="E159" i="9"/>
  <c r="AH159" i="9" s="1"/>
  <c r="D160" i="9"/>
  <c r="AG160" i="9" s="1"/>
  <c r="D161" i="9"/>
  <c r="AG161" i="9" s="1"/>
  <c r="E167" i="9"/>
  <c r="AH167" i="9" s="1"/>
  <c r="D185" i="9"/>
  <c r="AG185" i="9" s="1"/>
  <c r="D187" i="9"/>
  <c r="AG187" i="9" s="1"/>
  <c r="D191" i="9"/>
  <c r="AG191" i="9" s="1"/>
  <c r="D195" i="9"/>
  <c r="AG195" i="9" s="1"/>
  <c r="E196" i="9"/>
  <c r="AH196" i="9" s="1"/>
  <c r="E203" i="9"/>
  <c r="AH203" i="9" s="1"/>
  <c r="D206" i="9"/>
  <c r="AG206" i="9" s="1"/>
  <c r="D210" i="9"/>
  <c r="AG210" i="9" s="1"/>
  <c r="E211" i="9"/>
  <c r="AH211" i="9" s="1"/>
  <c r="D219" i="9"/>
  <c r="AG219" i="9" s="1"/>
  <c r="D221" i="9"/>
  <c r="AG221" i="9" s="1"/>
  <c r="D223" i="9"/>
  <c r="AG223" i="9" s="1"/>
  <c r="D233" i="9"/>
  <c r="AG233" i="9" s="1"/>
  <c r="E234" i="9"/>
  <c r="AH234" i="9" s="1"/>
  <c r="D237" i="9"/>
  <c r="AG237" i="9" s="1"/>
  <c r="D248" i="9"/>
  <c r="AG248" i="9" s="1"/>
  <c r="E249" i="9"/>
  <c r="AH249" i="9" s="1"/>
  <c r="D254" i="9"/>
  <c r="AG254" i="9" s="1"/>
  <c r="E257" i="9"/>
  <c r="AH257" i="9" s="1"/>
  <c r="E261" i="9"/>
  <c r="AH261" i="9" s="1"/>
  <c r="D267" i="9"/>
  <c r="AG267" i="9" s="1"/>
  <c r="D275" i="9"/>
  <c r="AG275" i="9" s="1"/>
  <c r="E304" i="9"/>
  <c r="AH304" i="9" s="1"/>
  <c r="E308" i="9"/>
  <c r="AH308" i="9" s="1"/>
  <c r="AL160" i="9"/>
  <c r="AM160" i="9" s="1"/>
  <c r="H149" i="9"/>
  <c r="I149" i="9" s="1"/>
  <c r="H78" i="17"/>
  <c r="H64" i="9"/>
  <c r="I64" i="9" s="1"/>
  <c r="AL64" i="9" s="1"/>
  <c r="I282" i="9"/>
  <c r="AL282" i="9" s="1"/>
  <c r="AM282" i="9" s="1"/>
  <c r="AN33" i="9"/>
  <c r="AO33" i="9" s="1"/>
  <c r="H83" i="9"/>
  <c r="I83" i="9" s="1"/>
  <c r="AL83" i="9" s="1"/>
  <c r="H86" i="9"/>
  <c r="I86" i="9" s="1"/>
  <c r="AL86" i="9" s="1"/>
  <c r="AL88" i="9"/>
  <c r="AN83" i="9"/>
  <c r="AO83" i="9" s="1"/>
  <c r="H87" i="9"/>
  <c r="I87" i="9" s="1"/>
  <c r="AL87" i="9" s="1"/>
  <c r="AL89" i="9"/>
  <c r="H53" i="9"/>
  <c r="I53" i="9" s="1"/>
  <c r="AL53" i="9" s="1"/>
  <c r="E149" i="8"/>
  <c r="I112" i="17"/>
  <c r="H940" i="9"/>
  <c r="F154" i="8"/>
  <c r="E128" i="17"/>
  <c r="E154" i="8" s="1"/>
  <c r="C109" i="8"/>
  <c r="D139" i="8" s="1"/>
  <c r="D121" i="8"/>
  <c r="D124" i="17"/>
  <c r="I86" i="17"/>
  <c r="M37" i="8" s="1"/>
  <c r="T37" i="8" s="1"/>
  <c r="U37" i="8" s="1"/>
  <c r="I79" i="17"/>
  <c r="N79" i="17" s="1"/>
  <c r="I81" i="17"/>
  <c r="N81" i="17" s="1"/>
  <c r="I83" i="17"/>
  <c r="N83" i="17" s="1"/>
  <c r="N80" i="17"/>
  <c r="N82" i="17"/>
  <c r="N76" i="17"/>
  <c r="G78" i="17"/>
  <c r="E52" i="8"/>
  <c r="D51" i="8" s="1"/>
  <c r="H286" i="9"/>
  <c r="AL286" i="9"/>
  <c r="AM286" i="9" s="1"/>
  <c r="I297" i="9"/>
  <c r="H47" i="9"/>
  <c r="I47" i="9" s="1"/>
  <c r="AL47" i="9" s="1"/>
  <c r="AN106" i="9"/>
  <c r="AO106" i="9" s="1"/>
  <c r="H226" i="9"/>
  <c r="I226" i="9" s="1"/>
  <c r="AL226" i="9" s="1"/>
  <c r="AM226" i="9" s="1"/>
  <c r="AL225" i="9"/>
  <c r="AM225" i="9" s="1"/>
  <c r="AN52" i="9"/>
  <c r="AO52" i="9" s="1"/>
  <c r="H52" i="9"/>
  <c r="I52" i="9" s="1"/>
  <c r="AL52" i="9" s="1"/>
  <c r="AN331" i="9"/>
  <c r="AO331" i="9" s="1"/>
  <c r="H331" i="9"/>
  <c r="I331" i="9" s="1"/>
  <c r="AL331" i="9" s="1"/>
  <c r="AM331" i="9" s="1"/>
  <c r="AK263" i="9"/>
  <c r="AP263" i="9" s="1"/>
  <c r="AK270" i="9"/>
  <c r="AP270" i="9" s="1"/>
  <c r="AK269" i="9"/>
  <c r="AP269" i="9" s="1"/>
  <c r="AK271" i="9"/>
  <c r="AP271" i="9" s="1"/>
  <c r="H76" i="17"/>
  <c r="I76" i="17" s="1"/>
  <c r="AK265" i="9"/>
  <c r="AP265" i="9" s="1"/>
  <c r="AK264" i="9"/>
  <c r="AP264" i="9" s="1"/>
  <c r="AN26" i="9"/>
  <c r="AO26" i="9" s="1"/>
  <c r="AN48" i="9"/>
  <c r="AO48" i="9" s="1"/>
  <c r="AN49" i="9"/>
  <c r="AO49" i="9" s="1"/>
  <c r="G135" i="9"/>
  <c r="H135" i="9" s="1"/>
  <c r="I135" i="9" s="1"/>
  <c r="AN131" i="9"/>
  <c r="AO131" i="9" s="1"/>
  <c r="H131" i="9"/>
  <c r="I131" i="9" s="1"/>
  <c r="AL131" i="9" s="1"/>
  <c r="H28" i="9"/>
  <c r="I28" i="9" s="1"/>
  <c r="AL28" i="9" s="1"/>
  <c r="H45" i="9"/>
  <c r="I45" i="9" s="1"/>
  <c r="AL45" i="9" s="1"/>
  <c r="H49" i="9"/>
  <c r="I49" i="9" s="1"/>
  <c r="AL49" i="9" s="1"/>
  <c r="H50" i="9"/>
  <c r="I50" i="9" s="1"/>
  <c r="H67" i="9"/>
  <c r="I67" i="9" s="1"/>
  <c r="AL67" i="9" s="1"/>
  <c r="H68" i="9"/>
  <c r="I68" i="9" s="1"/>
  <c r="AL68" i="9" s="1"/>
  <c r="H69" i="9"/>
  <c r="I69" i="9" s="1"/>
  <c r="AL69" i="9" s="1"/>
  <c r="H70" i="9"/>
  <c r="I70" i="9" s="1"/>
  <c r="AL70" i="9" s="1"/>
  <c r="H71" i="9"/>
  <c r="I71" i="9" s="1"/>
  <c r="AL71" i="9" s="1"/>
  <c r="AN108" i="9"/>
  <c r="AO108" i="9" s="1"/>
  <c r="H108" i="9"/>
  <c r="I108" i="9" s="1"/>
  <c r="H146" i="9"/>
  <c r="I146" i="9" s="1"/>
  <c r="AN146" i="9"/>
  <c r="AO146" i="9" s="1"/>
  <c r="AL146" i="9"/>
  <c r="AM146" i="9" s="1"/>
  <c r="AN158" i="9"/>
  <c r="AO158" i="9" s="1"/>
  <c r="H158" i="9"/>
  <c r="I158" i="9" s="1"/>
  <c r="AL34" i="9"/>
  <c r="AN66" i="9"/>
  <c r="AO66" i="9" s="1"/>
  <c r="H66" i="9"/>
  <c r="I66" i="9" s="1"/>
  <c r="AL66" i="9" s="1"/>
  <c r="H129" i="9"/>
  <c r="I129" i="9" s="1"/>
  <c r="AL129" i="9" s="1"/>
  <c r="H133" i="9"/>
  <c r="I133" i="9" s="1"/>
  <c r="AL133" i="9" s="1"/>
  <c r="G185" i="9"/>
  <c r="AN184" i="9"/>
  <c r="AO184" i="9" s="1"/>
  <c r="H184" i="9"/>
  <c r="I184" i="9" s="1"/>
  <c r="AL184" i="9" s="1"/>
  <c r="AM184" i="9" s="1"/>
  <c r="AN67" i="9"/>
  <c r="AO67" i="9" s="1"/>
  <c r="AN68" i="9"/>
  <c r="AO68" i="9" s="1"/>
  <c r="AN69" i="9"/>
  <c r="AO69" i="9" s="1"/>
  <c r="AN70" i="9"/>
  <c r="AO70" i="9" s="1"/>
  <c r="AN148" i="9"/>
  <c r="AO148" i="9" s="1"/>
  <c r="AL148" i="9"/>
  <c r="AM148" i="9" s="1"/>
  <c r="H148" i="9"/>
  <c r="I148" i="9" s="1"/>
  <c r="H26" i="9"/>
  <c r="I26" i="9" s="1"/>
  <c r="AL26" i="9" s="1"/>
  <c r="H48" i="9"/>
  <c r="I48" i="9" s="1"/>
  <c r="AL48" i="9" s="1"/>
  <c r="AN75" i="9"/>
  <c r="AO75" i="9" s="1"/>
  <c r="AL75" i="9"/>
  <c r="AN138" i="9"/>
  <c r="AO138" i="9" s="1"/>
  <c r="H138" i="9"/>
  <c r="I138" i="9" s="1"/>
  <c r="AL138" i="9" s="1"/>
  <c r="AL29" i="9"/>
  <c r="AN34" i="9"/>
  <c r="AO34" i="9" s="1"/>
  <c r="AN45" i="9"/>
  <c r="AO45" i="9" s="1"/>
  <c r="AL50" i="9"/>
  <c r="AN77" i="9"/>
  <c r="AO77" i="9" s="1"/>
  <c r="AL77" i="9"/>
  <c r="AL106" i="9"/>
  <c r="AM106" i="9" s="1"/>
  <c r="AL108" i="9"/>
  <c r="AM108" i="9" s="1"/>
  <c r="AN134" i="9"/>
  <c r="AO134" i="9" s="1"/>
  <c r="H134" i="9"/>
  <c r="I134" i="9" s="1"/>
  <c r="AL134" i="9" s="1"/>
  <c r="H141" i="9"/>
  <c r="I141" i="9" s="1"/>
  <c r="AL141" i="9" s="1"/>
  <c r="E186" i="9"/>
  <c r="AH186" i="9" s="1"/>
  <c r="D186" i="9"/>
  <c r="AG186" i="9" s="1"/>
  <c r="AI186" i="9"/>
  <c r="B186" i="9"/>
  <c r="I283" i="9"/>
  <c r="AL283" i="9" s="1"/>
  <c r="AM283" i="9" s="1"/>
  <c r="AN283" i="9"/>
  <c r="AO283" i="9" s="1"/>
  <c r="AL113" i="9"/>
  <c r="AM113" i="9" s="1"/>
  <c r="AL114" i="9"/>
  <c r="AM114" i="9" s="1"/>
  <c r="AN125" i="9"/>
  <c r="AO125" i="9" s="1"/>
  <c r="G126" i="9"/>
  <c r="AN159" i="9"/>
  <c r="AO159" i="9" s="1"/>
  <c r="AN165" i="9"/>
  <c r="AO165" i="9" s="1"/>
  <c r="E380" i="9"/>
  <c r="AH380" i="9" s="1"/>
  <c r="E375" i="9"/>
  <c r="AH375" i="9" s="1"/>
  <c r="E374" i="9"/>
  <c r="AH374" i="9" s="1"/>
  <c r="E370" i="9"/>
  <c r="AH370" i="9" s="1"/>
  <c r="E363" i="9"/>
  <c r="AH363" i="9" s="1"/>
  <c r="E358" i="9"/>
  <c r="AH358" i="9" s="1"/>
  <c r="E352" i="9"/>
  <c r="AH352" i="9" s="1"/>
  <c r="E351" i="9"/>
  <c r="AH351" i="9" s="1"/>
  <c r="E331" i="9"/>
  <c r="AH331" i="9" s="1"/>
  <c r="E328" i="9"/>
  <c r="AH328" i="9" s="1"/>
  <c r="E327" i="9"/>
  <c r="AH327" i="9" s="1"/>
  <c r="D380" i="9"/>
  <c r="AG380" i="9" s="1"/>
  <c r="E379" i="9"/>
  <c r="AH379" i="9" s="1"/>
  <c r="E377" i="9"/>
  <c r="AH377" i="9" s="1"/>
  <c r="D375" i="9"/>
  <c r="AG375" i="9" s="1"/>
  <c r="D374" i="9"/>
  <c r="AG374" i="9" s="1"/>
  <c r="E371" i="9"/>
  <c r="AH371" i="9" s="1"/>
  <c r="D370" i="9"/>
  <c r="AG370" i="9" s="1"/>
  <c r="E365" i="9"/>
  <c r="AH365" i="9" s="1"/>
  <c r="D363" i="9"/>
  <c r="AG363" i="9" s="1"/>
  <c r="E362" i="9"/>
  <c r="AH362" i="9" s="1"/>
  <c r="E361" i="9"/>
  <c r="AH361" i="9" s="1"/>
  <c r="E360" i="9"/>
  <c r="AH360" i="9" s="1"/>
  <c r="E359" i="9"/>
  <c r="AH359" i="9" s="1"/>
  <c r="D358" i="9"/>
  <c r="AG358" i="9" s="1"/>
  <c r="E354" i="9"/>
  <c r="AH354" i="9" s="1"/>
  <c r="D352" i="9"/>
  <c r="AG352" i="9" s="1"/>
  <c r="D351" i="9"/>
  <c r="AG351" i="9" s="1"/>
  <c r="E330" i="9"/>
  <c r="AH330" i="9" s="1"/>
  <c r="E317" i="9"/>
  <c r="AH317" i="9" s="1"/>
  <c r="E306" i="9"/>
  <c r="AH306" i="9" s="1"/>
  <c r="E305" i="9"/>
  <c r="AH305" i="9" s="1"/>
  <c r="D262" i="9"/>
  <c r="AG262" i="9" s="1"/>
  <c r="D261" i="9"/>
  <c r="AG261" i="9" s="1"/>
  <c r="E260" i="9"/>
  <c r="AH260" i="9" s="1"/>
  <c r="D259" i="9"/>
  <c r="AG259" i="9" s="1"/>
  <c r="E256" i="9"/>
  <c r="AH256" i="9" s="1"/>
  <c r="D255" i="9"/>
  <c r="AG255" i="9" s="1"/>
  <c r="E252" i="9"/>
  <c r="AH252" i="9" s="1"/>
  <c r="D251" i="9"/>
  <c r="AG251" i="9" s="1"/>
  <c r="AN89" i="9"/>
  <c r="AO89" i="9" s="1"/>
  <c r="AN113" i="9"/>
  <c r="AO113" i="9" s="1"/>
  <c r="AN114" i="9"/>
  <c r="AO114" i="9" s="1"/>
  <c r="AN145" i="9"/>
  <c r="AO145" i="9" s="1"/>
  <c r="AL149" i="9"/>
  <c r="AM149" i="9" s="1"/>
  <c r="AL153" i="9"/>
  <c r="AM153" i="9" s="1"/>
  <c r="AL154" i="9"/>
  <c r="AM154" i="9" s="1"/>
  <c r="H160" i="9"/>
  <c r="I160" i="9" s="1"/>
  <c r="AL161" i="9"/>
  <c r="AM161" i="9" s="1"/>
  <c r="H166" i="9"/>
  <c r="I166" i="9" s="1"/>
  <c r="B187" i="9"/>
  <c r="AI187" i="9"/>
  <c r="AL191" i="9"/>
  <c r="AM191" i="9" s="1"/>
  <c r="AN260" i="9"/>
  <c r="AO260" i="9" s="1"/>
  <c r="G489" i="9"/>
  <c r="G493" i="9" s="1"/>
  <c r="V36" i="8" s="1"/>
  <c r="H941" i="9"/>
  <c r="AN88" i="9"/>
  <c r="AO88" i="9" s="1"/>
  <c r="H76" i="9"/>
  <c r="I76" i="9" s="1"/>
  <c r="AL76" i="9" s="1"/>
  <c r="H78" i="9"/>
  <c r="I78" i="9" s="1"/>
  <c r="AL78" i="9" s="1"/>
  <c r="H79" i="9"/>
  <c r="I79" i="9" s="1"/>
  <c r="AL79" i="9" s="1"/>
  <c r="AK223" i="9"/>
  <c r="AP223" i="9" s="1"/>
  <c r="D361" i="9"/>
  <c r="AG361" i="9" s="1"/>
  <c r="D365" i="9"/>
  <c r="AG365" i="9" s="1"/>
  <c r="D371" i="9"/>
  <c r="AG371" i="9" s="1"/>
  <c r="D377" i="9"/>
  <c r="AG377" i="9" s="1"/>
  <c r="I310" i="9"/>
  <c r="I408" i="9"/>
  <c r="H77" i="17"/>
  <c r="I77" i="17" s="1"/>
  <c r="AK369" i="9"/>
  <c r="AP369" i="9" s="1"/>
  <c r="H463" i="9"/>
  <c r="E171" i="8" s="1"/>
  <c r="AN225" i="9"/>
  <c r="AO225" i="9" s="1"/>
  <c r="G228" i="9"/>
  <c r="G942" i="9"/>
  <c r="AK219" i="9"/>
  <c r="AP219" i="9" s="1"/>
  <c r="H380" i="9"/>
  <c r="I380" i="9" s="1"/>
  <c r="AL380" i="9" s="1"/>
  <c r="AM380" i="9" s="1"/>
  <c r="AN380" i="9"/>
  <c r="AO380" i="9" s="1"/>
  <c r="AL378" i="9"/>
  <c r="AM378" i="9" s="1"/>
  <c r="H379" i="9"/>
  <c r="I379" i="9" s="1"/>
  <c r="AL379" i="9" s="1"/>
  <c r="AM379" i="9" s="1"/>
  <c r="H378" i="9"/>
  <c r="I378" i="9" s="1"/>
  <c r="AN379" i="9"/>
  <c r="AO379" i="9" s="1"/>
  <c r="AN39" i="9"/>
  <c r="AO39" i="9" s="1"/>
  <c r="AN40" i="9"/>
  <c r="AO40" i="9" s="1"/>
  <c r="AK25" i="9"/>
  <c r="AN31" i="9"/>
  <c r="AO31" i="9" s="1"/>
  <c r="AN28" i="9"/>
  <c r="AO28" i="9" s="1"/>
  <c r="AN29" i="9"/>
  <c r="AO29" i="9" s="1"/>
  <c r="H31" i="9"/>
  <c r="I31" i="9" s="1"/>
  <c r="AL31" i="9" s="1"/>
  <c r="G35" i="9"/>
  <c r="H38" i="9"/>
  <c r="I38" i="9" s="1"/>
  <c r="AL38" i="9" s="1"/>
  <c r="H40" i="9"/>
  <c r="I40" i="9" s="1"/>
  <c r="AL40" i="9" s="1"/>
  <c r="D201" i="8"/>
  <c r="AN37" i="9"/>
  <c r="AO37" i="9" s="1"/>
  <c r="AN38" i="9"/>
  <c r="AO38" i="9" s="1"/>
  <c r="AN41" i="9"/>
  <c r="AO41" i="9" s="1"/>
  <c r="H37" i="9"/>
  <c r="I37" i="9" s="1"/>
  <c r="AL37" i="9" s="1"/>
  <c r="H39" i="9"/>
  <c r="I39" i="9" s="1"/>
  <c r="AL39" i="9" s="1"/>
  <c r="H41" i="9"/>
  <c r="I41" i="9" s="1"/>
  <c r="AL41" i="9" s="1"/>
  <c r="AN50" i="9"/>
  <c r="AO50" i="9" s="1"/>
  <c r="H54" i="9"/>
  <c r="I54" i="9" s="1"/>
  <c r="AL54" i="9" s="1"/>
  <c r="H56" i="9"/>
  <c r="I56" i="9" s="1"/>
  <c r="AL56" i="9" s="1"/>
  <c r="AL57" i="9"/>
  <c r="H57" i="9"/>
  <c r="I57" i="9" s="1"/>
  <c r="H58" i="9"/>
  <c r="I58" i="9" s="1"/>
  <c r="AL58" i="9" s="1"/>
  <c r="AL59" i="9"/>
  <c r="H59" i="9"/>
  <c r="I59" i="9" s="1"/>
  <c r="H60" i="9"/>
  <c r="I60" i="9" s="1"/>
  <c r="AL60" i="9" s="1"/>
  <c r="H85" i="9"/>
  <c r="I85" i="9" s="1"/>
  <c r="H90" i="9"/>
  <c r="I90" i="9" s="1"/>
  <c r="AL90" i="9" s="1"/>
  <c r="G92" i="9"/>
  <c r="H94" i="9"/>
  <c r="I94" i="9" s="1"/>
  <c r="H95" i="9"/>
  <c r="I95" i="9" s="1"/>
  <c r="H96" i="9"/>
  <c r="I96" i="9" s="1"/>
  <c r="H97" i="9"/>
  <c r="I97" i="9" s="1"/>
  <c r="AL97" i="9" s="1"/>
  <c r="H98" i="9"/>
  <c r="I98" i="9" s="1"/>
  <c r="H111" i="9"/>
  <c r="I111" i="9" s="1"/>
  <c r="G115" i="9"/>
  <c r="H117" i="9"/>
  <c r="I117" i="9" s="1"/>
  <c r="H118" i="9"/>
  <c r="I118" i="9" s="1"/>
  <c r="H119" i="9"/>
  <c r="I119" i="9" s="1"/>
  <c r="H120" i="9"/>
  <c r="I120" i="9" s="1"/>
  <c r="H121" i="9"/>
  <c r="I121" i="9" s="1"/>
  <c r="H137" i="9"/>
  <c r="I137" i="9" s="1"/>
  <c r="AL137" i="9" s="1"/>
  <c r="H139" i="9"/>
  <c r="I139" i="9" s="1"/>
  <c r="AL139" i="9" s="1"/>
  <c r="AL85" i="9"/>
  <c r="AL94" i="9"/>
  <c r="AL95" i="9"/>
  <c r="AL96" i="9"/>
  <c r="AL98" i="9"/>
  <c r="AL111" i="9"/>
  <c r="AM111" i="9" s="1"/>
  <c r="AL117" i="9"/>
  <c r="AM117" i="9" s="1"/>
  <c r="AL118" i="9"/>
  <c r="AM118" i="9" s="1"/>
  <c r="AL119" i="9"/>
  <c r="AM119" i="9" s="1"/>
  <c r="AL120" i="9"/>
  <c r="AM120" i="9" s="1"/>
  <c r="AL121" i="9"/>
  <c r="AM121" i="9" s="1"/>
  <c r="AN128" i="9"/>
  <c r="AO128" i="9" s="1"/>
  <c r="AN129" i="9"/>
  <c r="AO129" i="9" s="1"/>
  <c r="AN137" i="9"/>
  <c r="AO137" i="9" s="1"/>
  <c r="AN139" i="9"/>
  <c r="AO139" i="9" s="1"/>
  <c r="H157" i="9"/>
  <c r="I157" i="9" s="1"/>
  <c r="AL157" i="9"/>
  <c r="AM157" i="9" s="1"/>
  <c r="AN157" i="9"/>
  <c r="AO157" i="9" s="1"/>
  <c r="AL158" i="9"/>
  <c r="AM158" i="9" s="1"/>
  <c r="G155" i="9"/>
  <c r="H151" i="9"/>
  <c r="I151" i="9" s="1"/>
  <c r="AL151" i="9"/>
  <c r="AM151" i="9" s="1"/>
  <c r="D246" i="9"/>
  <c r="D454" i="9"/>
  <c r="D230" i="8"/>
  <c r="D120" i="8" s="1"/>
  <c r="P38" i="8"/>
  <c r="H363" i="9"/>
  <c r="I363" i="9" s="1"/>
  <c r="AL363" i="9" s="1"/>
  <c r="AM363" i="9" s="1"/>
  <c r="H365" i="9"/>
  <c r="I365" i="9" s="1"/>
  <c r="AL365" i="9" s="1"/>
  <c r="AM365" i="9" s="1"/>
  <c r="G366" i="9"/>
  <c r="H366" i="9" s="1"/>
  <c r="I366" i="9" s="1"/>
  <c r="AL358" i="9"/>
  <c r="AM358" i="9" s="1"/>
  <c r="AN362" i="9"/>
  <c r="AO362" i="9" s="1"/>
  <c r="AH221" i="9" l="1"/>
  <c r="D451" i="9"/>
  <c r="E451" i="9" s="1"/>
  <c r="E186" i="8" s="1"/>
  <c r="AL135" i="9"/>
  <c r="AN135" i="9"/>
  <c r="AO135" i="9" s="1"/>
  <c r="AK217" i="9"/>
  <c r="AP217" i="9" s="1"/>
  <c r="AP353" i="9"/>
  <c r="AK222" i="9"/>
  <c r="AP222" i="9" s="1"/>
  <c r="AK220" i="9"/>
  <c r="AP220" i="9" s="1"/>
  <c r="I78" i="17"/>
  <c r="I118" i="17" s="1"/>
  <c r="AH218" i="9"/>
  <c r="AH226" i="9"/>
  <c r="I300" i="9"/>
  <c r="M36" i="8" s="1"/>
  <c r="M38" i="8" s="1"/>
  <c r="G368" i="9"/>
  <c r="H368" i="9" s="1"/>
  <c r="I368" i="9" s="1"/>
  <c r="AL368" i="9" s="1"/>
  <c r="AM368" i="9" s="1"/>
  <c r="AH272" i="9"/>
  <c r="AH266" i="9"/>
  <c r="G187" i="9"/>
  <c r="H187" i="9" s="1"/>
  <c r="I187" i="9" s="1"/>
  <c r="AL187" i="9" s="1"/>
  <c r="AM187" i="9" s="1"/>
  <c r="D118" i="8"/>
  <c r="N86" i="17"/>
  <c r="D132" i="17" s="1"/>
  <c r="E132" i="17" s="1"/>
  <c r="E159" i="8" s="1"/>
  <c r="N78" i="17"/>
  <c r="N77" i="17"/>
  <c r="I114" i="17"/>
  <c r="F121" i="17" s="1"/>
  <c r="E121" i="17" s="1"/>
  <c r="D452" i="9"/>
  <c r="S36" i="8"/>
  <c r="AL297" i="9"/>
  <c r="AM297" i="9" s="1"/>
  <c r="D453" i="9"/>
  <c r="D225" i="8"/>
  <c r="V38" i="8"/>
  <c r="AN185" i="9"/>
  <c r="AO185" i="9" s="1"/>
  <c r="G186" i="9"/>
  <c r="H185" i="9"/>
  <c r="I185" i="9" s="1"/>
  <c r="AL185" i="9" s="1"/>
  <c r="AM185" i="9" s="1"/>
  <c r="AN73" i="9"/>
  <c r="AO73" i="9" s="1"/>
  <c r="H73" i="9"/>
  <c r="I73" i="9" s="1"/>
  <c r="AL73" i="9" s="1"/>
  <c r="H126" i="9"/>
  <c r="I126" i="9" s="1"/>
  <c r="AL126" i="9" s="1"/>
  <c r="AN126" i="9"/>
  <c r="AO126" i="9" s="1"/>
  <c r="AN228" i="9"/>
  <c r="AO228" i="9" s="1"/>
  <c r="H228" i="9"/>
  <c r="I228" i="9" s="1"/>
  <c r="AL228" i="9" s="1"/>
  <c r="AM228" i="9" s="1"/>
  <c r="H942" i="9"/>
  <c r="G943" i="9"/>
  <c r="D247" i="9"/>
  <c r="AN155" i="9"/>
  <c r="AO155" i="9" s="1"/>
  <c r="H155" i="9"/>
  <c r="I155" i="9" s="1"/>
  <c r="F465" i="9" s="1"/>
  <c r="AL155" i="9"/>
  <c r="AM155" i="9" s="1"/>
  <c r="H92" i="9"/>
  <c r="I92" i="9" s="1"/>
  <c r="AL92" i="9" s="1"/>
  <c r="AN92" i="9"/>
  <c r="AO92" i="9" s="1"/>
  <c r="H35" i="9"/>
  <c r="I35" i="9" s="1"/>
  <c r="AL35" i="9" s="1"/>
  <c r="AN35" i="9"/>
  <c r="AO35" i="9" s="1"/>
  <c r="AL115" i="9"/>
  <c r="AM115" i="9" s="1"/>
  <c r="H115" i="9"/>
  <c r="I115" i="9" s="1"/>
  <c r="AN115" i="9"/>
  <c r="AO115" i="9" s="1"/>
  <c r="E454" i="9"/>
  <c r="E188" i="8" s="1"/>
  <c r="F188" i="8"/>
  <c r="AG246" i="9"/>
  <c r="D131" i="8"/>
  <c r="AL366" i="9"/>
  <c r="AM366" i="9" s="1"/>
  <c r="AN366" i="9"/>
  <c r="AO366" i="9" s="1"/>
  <c r="G367" i="9"/>
  <c r="H367" i="9" s="1"/>
  <c r="I367" i="9" s="1"/>
  <c r="F186" i="8" l="1"/>
  <c r="AN368" i="9"/>
  <c r="AO368" i="9" s="1"/>
  <c r="D449" i="9"/>
  <c r="D267" i="8" s="1"/>
  <c r="D456" i="9"/>
  <c r="D269" i="8" s="1"/>
  <c r="D448" i="9"/>
  <c r="E448" i="9" s="1"/>
  <c r="E182" i="8" s="1"/>
  <c r="D211" i="8"/>
  <c r="T36" i="8"/>
  <c r="D446" i="9"/>
  <c r="D261" i="8" s="1"/>
  <c r="D445" i="9"/>
  <c r="D260" i="8" s="1"/>
  <c r="D447" i="9"/>
  <c r="F180" i="8" s="1"/>
  <c r="D444" i="9"/>
  <c r="E444" i="9" s="1"/>
  <c r="E177" i="8" s="1"/>
  <c r="D450" i="9"/>
  <c r="F181" i="8" s="1"/>
  <c r="F120" i="17"/>
  <c r="E120" i="17" s="1"/>
  <c r="N37" i="8" s="1"/>
  <c r="AN187" i="9"/>
  <c r="AO187" i="9" s="1"/>
  <c r="F159" i="8"/>
  <c r="D122" i="17"/>
  <c r="O37" i="8" s="1"/>
  <c r="D126" i="17"/>
  <c r="E126" i="17" s="1"/>
  <c r="E152" i="8" s="1"/>
  <c r="L37" i="8"/>
  <c r="T38" i="8"/>
  <c r="U36" i="8"/>
  <c r="U38" i="8" s="1"/>
  <c r="S38" i="8"/>
  <c r="D213" i="8"/>
  <c r="E453" i="9"/>
  <c r="E189" i="8" s="1"/>
  <c r="F189" i="8"/>
  <c r="E452" i="9"/>
  <c r="E187" i="8" s="1"/>
  <c r="F187" i="8"/>
  <c r="F464" i="9"/>
  <c r="AN186" i="9"/>
  <c r="AO186" i="9" s="1"/>
  <c r="H186" i="9"/>
  <c r="I186" i="9" s="1"/>
  <c r="I278" i="9" s="1"/>
  <c r="G944" i="9"/>
  <c r="H943" i="9"/>
  <c r="I383" i="9"/>
  <c r="I179" i="9"/>
  <c r="D420" i="9"/>
  <c r="AG247" i="9"/>
  <c r="D132" i="8"/>
  <c r="F463" i="9"/>
  <c r="AN367" i="9"/>
  <c r="AO367" i="9" s="1"/>
  <c r="AL367" i="9"/>
  <c r="AM367" i="9" s="1"/>
  <c r="E449" i="9" l="1"/>
  <c r="E183" i="8" s="1"/>
  <c r="D266" i="8"/>
  <c r="F183" i="8"/>
  <c r="F182" i="8"/>
  <c r="E446" i="9"/>
  <c r="E179" i="8" s="1"/>
  <c r="F179" i="8"/>
  <c r="F466" i="9"/>
  <c r="E463" i="9" s="1"/>
  <c r="E447" i="9"/>
  <c r="E180" i="8" s="1"/>
  <c r="D265" i="8"/>
  <c r="D259" i="8"/>
  <c r="E445" i="9"/>
  <c r="E178" i="8" s="1"/>
  <c r="F178" i="8"/>
  <c r="F177" i="8"/>
  <c r="E450" i="9"/>
  <c r="E181" i="8" s="1"/>
  <c r="AL186" i="9"/>
  <c r="AM186" i="9" s="1"/>
  <c r="D443" i="9" s="1"/>
  <c r="D258" i="8" s="1"/>
  <c r="D134" i="17"/>
  <c r="D135" i="17" s="1"/>
  <c r="E135" i="17" s="1"/>
  <c r="E161" i="8" s="1"/>
  <c r="F152" i="8"/>
  <c r="D214" i="8"/>
  <c r="D223" i="8" s="1"/>
  <c r="D421" i="9"/>
  <c r="D422" i="9" s="1"/>
  <c r="I416" i="9"/>
  <c r="F436" i="9"/>
  <c r="E436" i="9" s="1"/>
  <c r="I412" i="9"/>
  <c r="D197" i="8" s="1"/>
  <c r="G945" i="9"/>
  <c r="H944" i="9"/>
  <c r="D270" i="8" l="1"/>
  <c r="AM124" i="9"/>
  <c r="AM141" i="9"/>
  <c r="AM137" i="9"/>
  <c r="AM125" i="9"/>
  <c r="AM139" i="9"/>
  <c r="AM131" i="9"/>
  <c r="AM134" i="9"/>
  <c r="AM138" i="9"/>
  <c r="AM140" i="9"/>
  <c r="AM129" i="9"/>
  <c r="AM133" i="9"/>
  <c r="AM128" i="9"/>
  <c r="AM126" i="9"/>
  <c r="AM135" i="9"/>
  <c r="E465" i="9"/>
  <c r="E464" i="9"/>
  <c r="D424" i="9"/>
  <c r="D425" i="9" s="1"/>
  <c r="AM82" i="9"/>
  <c r="AM90" i="9"/>
  <c r="AM96" i="9"/>
  <c r="AM94" i="9"/>
  <c r="AM86" i="9"/>
  <c r="AM87" i="9"/>
  <c r="AM85" i="9"/>
  <c r="AM97" i="9"/>
  <c r="AM95" i="9"/>
  <c r="AM89" i="9"/>
  <c r="AM83" i="9"/>
  <c r="AM98" i="9"/>
  <c r="AM88" i="9"/>
  <c r="AM92" i="9"/>
  <c r="AM44" i="9"/>
  <c r="AM60" i="9"/>
  <c r="AM48" i="9"/>
  <c r="AM47" i="9"/>
  <c r="AM57" i="9"/>
  <c r="AM56" i="9"/>
  <c r="AM58" i="9"/>
  <c r="AM53" i="9"/>
  <c r="AM49" i="9"/>
  <c r="AM54" i="9"/>
  <c r="AM50" i="9"/>
  <c r="AM52" i="9"/>
  <c r="AM45" i="9"/>
  <c r="AM59" i="9"/>
  <c r="AM33" i="9"/>
  <c r="AM25" i="9"/>
  <c r="AM40" i="9"/>
  <c r="AM38" i="9"/>
  <c r="AM34" i="9"/>
  <c r="AM41" i="9"/>
  <c r="AM39" i="9"/>
  <c r="AM29" i="9"/>
  <c r="AM37" i="9"/>
  <c r="AM31" i="9"/>
  <c r="AM28" i="9"/>
  <c r="AM26" i="9"/>
  <c r="AM35" i="9"/>
  <c r="AM173" i="9"/>
  <c r="AM63" i="9"/>
  <c r="AM66" i="9"/>
  <c r="AM78" i="9"/>
  <c r="AM69" i="9"/>
  <c r="AM68" i="9"/>
  <c r="AM70" i="9"/>
  <c r="AM71" i="9"/>
  <c r="AM79" i="9"/>
  <c r="AM76" i="9"/>
  <c r="AM64" i="9"/>
  <c r="AM67" i="9"/>
  <c r="AM77" i="9"/>
  <c r="AM75" i="9"/>
  <c r="AM73" i="9"/>
  <c r="E443" i="9"/>
  <c r="E176" i="8" s="1"/>
  <c r="F176" i="8"/>
  <c r="D136" i="17"/>
  <c r="F149" i="8" s="1"/>
  <c r="F161" i="8"/>
  <c r="N36" i="8"/>
  <c r="D438" i="9"/>
  <c r="L36" i="8"/>
  <c r="L38" i="8" s="1"/>
  <c r="F437" i="9"/>
  <c r="E437" i="9" s="1"/>
  <c r="H945" i="9"/>
  <c r="G946" i="9"/>
  <c r="D442" i="9" l="1"/>
  <c r="D263" i="8" s="1"/>
  <c r="D163" i="8"/>
  <c r="F164" i="8" s="1"/>
  <c r="E438" i="9"/>
  <c r="R36" i="8" s="1"/>
  <c r="O36" i="8"/>
  <c r="D199" i="8"/>
  <c r="N38" i="8"/>
  <c r="H946" i="9"/>
  <c r="G947" i="9"/>
  <c r="D455" i="9" l="1"/>
  <c r="E455" i="9" s="1"/>
  <c r="E190" i="8" s="1"/>
  <c r="D200" i="8"/>
  <c r="O38" i="8"/>
  <c r="R38" i="8"/>
  <c r="D202" i="8"/>
  <c r="G948" i="9"/>
  <c r="H947" i="9"/>
  <c r="D458" i="9" l="1"/>
  <c r="G464" i="9" s="1"/>
  <c r="F190" i="8"/>
  <c r="G949" i="9"/>
  <c r="H948" i="9"/>
  <c r="G465" i="9" l="1"/>
  <c r="F173" i="8" s="1"/>
  <c r="G463" i="9"/>
  <c r="F171" i="8" s="1"/>
  <c r="D460" i="9"/>
  <c r="E460" i="9" s="1"/>
  <c r="H488" i="9"/>
  <c r="F172" i="8"/>
  <c r="H949" i="9"/>
  <c r="G950" i="9"/>
  <c r="H490" i="9" l="1"/>
  <c r="D192" i="8"/>
  <c r="F203" i="8" s="1"/>
  <c r="F204" i="8" s="1"/>
  <c r="H489" i="9"/>
  <c r="G466" i="9"/>
  <c r="H950" i="9"/>
  <c r="G951" i="9"/>
  <c r="D124" i="8" l="1"/>
  <c r="D125" i="8" s="1"/>
  <c r="G952" i="9"/>
  <c r="H951" i="9"/>
  <c r="G953" i="9" l="1"/>
  <c r="H952" i="9"/>
  <c r="H953" i="9" l="1"/>
  <c r="G954" i="9"/>
  <c r="H954" i="9" l="1"/>
  <c r="G955" i="9"/>
  <c r="G956" i="9" l="1"/>
  <c r="H955" i="9"/>
  <c r="G957" i="9" l="1"/>
  <c r="H956" i="9"/>
  <c r="H957" i="9" l="1"/>
  <c r="G958" i="9"/>
  <c r="H958"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Trent Munro</author>
  </authors>
  <commentList>
    <comment ref="D15" authorId="0" shapeId="0" xr:uid="{00000000-0006-0000-0300-000001000000}">
      <text>
        <r>
          <rPr>
            <b/>
            <sz val="9"/>
            <color indexed="81"/>
            <rFont val="Tahoma"/>
            <family val="2"/>
          </rPr>
          <t>Detail:</t>
        </r>
        <r>
          <rPr>
            <sz val="9"/>
            <color indexed="81"/>
            <rFont val="Tahoma"/>
            <family val="2"/>
          </rPr>
          <t xml:space="preserve">
Please select if this opportunity is to a new (never sold to customer before) or existing account.</t>
        </r>
      </text>
    </comment>
    <comment ref="D20" authorId="0" shapeId="0" xr:uid="{00000000-0006-0000-0300-000002000000}">
      <text>
        <r>
          <rPr>
            <b/>
            <sz val="9"/>
            <color indexed="81"/>
            <rFont val="Segoe UI Emoji"/>
            <family val="2"/>
          </rPr>
          <t>Requirements:</t>
        </r>
        <r>
          <rPr>
            <sz val="9"/>
            <color indexed="81"/>
            <rFont val="Segoe UI Emoji"/>
            <family val="2"/>
          </rPr>
          <t xml:space="preserve">
Please enter who provided special approval if required</t>
        </r>
      </text>
    </comment>
    <comment ref="D192" authorId="0" shapeId="0" xr:uid="{C75E2E6E-F0C3-4A57-A538-5C44AF8A75A3}">
      <text>
        <r>
          <rPr>
            <b/>
            <sz val="9"/>
            <color indexed="81"/>
            <rFont val="Tahoma"/>
            <family val="2"/>
          </rPr>
          <t>Comment:</t>
        </r>
        <r>
          <rPr>
            <sz val="9"/>
            <color indexed="81"/>
            <rFont val="Tahoma"/>
            <family val="2"/>
          </rPr>
          <t xml:space="preserve">
Calculator Final Price Post Allocations (project Management Fee, QC etc).</t>
        </r>
      </text>
    </comment>
    <comment ref="F192" authorId="0" shapeId="0" xr:uid="{06733C4D-A6FC-418C-80C4-94645C613201}">
      <text>
        <r>
          <rPr>
            <b/>
            <sz val="9"/>
            <color indexed="81"/>
            <rFont val="Tahoma"/>
            <family val="2"/>
          </rPr>
          <t>Comment:</t>
        </r>
        <r>
          <rPr>
            <sz val="9"/>
            <color indexed="81"/>
            <rFont val="Tahoma"/>
            <family val="2"/>
          </rPr>
          <t xml:space="preserve">
Final Price from Model Page</t>
        </r>
      </text>
    </comment>
  </commentList>
</comments>
</file>

<file path=xl/sharedStrings.xml><?xml version="1.0" encoding="utf-8"?>
<sst xmlns="http://schemas.openxmlformats.org/spreadsheetml/2006/main" count="3129" uniqueCount="1480">
  <si>
    <t>Description</t>
  </si>
  <si>
    <t>Quantity</t>
  </si>
  <si>
    <t>Supplier Part #</t>
  </si>
  <si>
    <t>Price Each</t>
  </si>
  <si>
    <t>David Alexander</t>
  </si>
  <si>
    <t>Matthews #</t>
  </si>
  <si>
    <t>Base Printer</t>
  </si>
  <si>
    <t>Supplier #</t>
  </si>
  <si>
    <t>Price</t>
  </si>
  <si>
    <t>Consumables</t>
  </si>
  <si>
    <t>Grand Total</t>
  </si>
  <si>
    <t>SubTotal</t>
  </si>
  <si>
    <t>System</t>
  </si>
  <si>
    <t>Implementation</t>
  </si>
  <si>
    <t>Name</t>
  </si>
  <si>
    <t>7.6 hrs</t>
  </si>
  <si>
    <t xml:space="preserve">
</t>
  </si>
  <si>
    <t>TBA</t>
  </si>
  <si>
    <t>Discount</t>
  </si>
  <si>
    <t>Total</t>
  </si>
  <si>
    <t>Matthew Nichol</t>
  </si>
  <si>
    <t>Paul Molloy</t>
  </si>
  <si>
    <t>Randall Collins</t>
  </si>
  <si>
    <t>Warren Hutt</t>
  </si>
  <si>
    <t>Damian Marcantonio</t>
  </si>
  <si>
    <t xml:space="preserve"> </t>
  </si>
  <si>
    <t>Company Name</t>
  </si>
  <si>
    <t>Customer Details</t>
  </si>
  <si>
    <t>IDS Solution</t>
  </si>
  <si>
    <t>Customer Account on Nexus?</t>
  </si>
  <si>
    <t>Account Contact Person Details</t>
  </si>
  <si>
    <t>Title</t>
  </si>
  <si>
    <t>Phone No’s</t>
  </si>
  <si>
    <t>No Selection</t>
  </si>
  <si>
    <t>Yes</t>
  </si>
  <si>
    <t>No</t>
  </si>
  <si>
    <t>IDS Review (In Progress)</t>
  </si>
  <si>
    <t>Waiting on Information from Rep/Customer</t>
  </si>
  <si>
    <t>IDS Spec'ing in Proposal</t>
  </si>
  <si>
    <t>Proposal/Pricing Sent - IDS &amp; Rep following up with Customer</t>
  </si>
  <si>
    <t>Spec'ing in for Order Placement</t>
  </si>
  <si>
    <t>N/a</t>
  </si>
  <si>
    <t>CPM Price</t>
  </si>
  <si>
    <t>Enter Correct CPM Price</t>
  </si>
  <si>
    <t>Select which Product</t>
  </si>
  <si>
    <t>Install</t>
  </si>
  <si>
    <t>Additional Travel Allowance - Rural Customers (Both Ways)</t>
  </si>
  <si>
    <t>Accessories</t>
  </si>
  <si>
    <t>Presite visit including (Onsite inspection &amp; travel to &amp; from)</t>
  </si>
  <si>
    <t>Trent Munro</t>
  </si>
  <si>
    <t>Final Deal</t>
  </si>
  <si>
    <t>Final Price</t>
  </si>
  <si>
    <t>Comments / Special Approval</t>
  </si>
  <si>
    <t>Final Agreed Price</t>
  </si>
  <si>
    <t>Consumables Forecast</t>
  </si>
  <si>
    <t>Capital Handover Information</t>
  </si>
  <si>
    <t>CHOP Completed</t>
  </si>
  <si>
    <t>Comments / Clarifications / Important Notes / Verbal Commitments</t>
  </si>
  <si>
    <t>PO Number</t>
  </si>
  <si>
    <t>Quote Number</t>
  </si>
  <si>
    <t>Representative</t>
  </si>
  <si>
    <t>Delivery Date Req'd</t>
  </si>
  <si>
    <t>Dispatch Address</t>
  </si>
  <si>
    <t>Email</t>
  </si>
  <si>
    <t>CPM Requried</t>
  </si>
  <si>
    <t>CPM Completed</t>
  </si>
  <si>
    <t>CPM Costing</t>
  </si>
  <si>
    <t>IDS Solution Price</t>
  </si>
  <si>
    <t>CTO Serials</t>
  </si>
  <si>
    <t>Authorisation</t>
  </si>
  <si>
    <t>CTO Serial Numbers</t>
  </si>
  <si>
    <t>Custom Parts / CPM</t>
  </si>
  <si>
    <t>Product</t>
  </si>
  <si>
    <t>Machine</t>
  </si>
  <si>
    <t>Customer Type</t>
  </si>
  <si>
    <t>Bill Boursianis</t>
  </si>
  <si>
    <r>
      <t xml:space="preserve">Pre Application Site Survey </t>
    </r>
    <r>
      <rPr>
        <b/>
        <sz val="14"/>
        <color theme="5" tint="-0.249977111117893"/>
        <rFont val="Arial"/>
        <family val="2"/>
      </rPr>
      <t>(PASS)</t>
    </r>
  </si>
  <si>
    <t>Commission Plan</t>
  </si>
  <si>
    <t>PG / Code</t>
  </si>
  <si>
    <t>Discount from List Price (excluding install)</t>
  </si>
  <si>
    <t>Tier Structure</t>
  </si>
  <si>
    <t>Price Tier - Excluding Install, QC/System Build</t>
  </si>
  <si>
    <t>Campaign</t>
  </si>
  <si>
    <t>Campaign:</t>
  </si>
  <si>
    <t>Supplier Discount</t>
  </si>
  <si>
    <t>Tier 1</t>
  </si>
  <si>
    <t>Tier 2</t>
  </si>
  <si>
    <t>Normal</t>
  </si>
  <si>
    <t>Max</t>
  </si>
  <si>
    <t>Min</t>
  </si>
  <si>
    <t>Normal BOM Price</t>
  </si>
  <si>
    <t>Discount Applied</t>
  </si>
  <si>
    <t>Tier Rating</t>
  </si>
  <si>
    <t>Campaign/Support</t>
  </si>
  <si>
    <t>Extra Charged</t>
  </si>
  <si>
    <t>Installation</t>
  </si>
  <si>
    <t>Leadtime</t>
  </si>
  <si>
    <t>List</t>
  </si>
  <si>
    <t>Tier</t>
  </si>
  <si>
    <t>Extra Charge</t>
  </si>
  <si>
    <t>Bracketry</t>
  </si>
  <si>
    <t>QC</t>
  </si>
  <si>
    <t>Atilla Motyan</t>
  </si>
  <si>
    <t>Assembly Price</t>
  </si>
  <si>
    <t>Integration</t>
  </si>
  <si>
    <t>1 x M8 3PIN 5M CABLE</t>
  </si>
  <si>
    <t>1 x CONNECTING T CLAMP</t>
  </si>
  <si>
    <t>Key1</t>
  </si>
  <si>
    <t>Key2</t>
  </si>
  <si>
    <t>PROXIMITY SENSOR WTB8-N21311 x M8 3PIN 5M CABLE</t>
  </si>
  <si>
    <t>PROXIMITY SENSOR WTB8-N21311 x CONNECTING BASE CLAMP</t>
  </si>
  <si>
    <t>PROXIMITY SENSOR WTB8-N21311 x CONNECTING T CLAMP</t>
  </si>
  <si>
    <t>Bracket</t>
  </si>
  <si>
    <t>Please select Bracketry</t>
  </si>
  <si>
    <t>LABEL TT 104X73MM</t>
  </si>
  <si>
    <t>LABEL TT 104X152MM</t>
  </si>
  <si>
    <t>Please select label type</t>
  </si>
  <si>
    <t>Please select ribbon type</t>
  </si>
  <si>
    <t>RIBBON FE WAX 104X360M BLK CSI</t>
  </si>
  <si>
    <t>RIBBON WAX 57X360 BLK I/N</t>
  </si>
  <si>
    <t>RIBBON WAX 83X360 BLK I/N</t>
  </si>
  <si>
    <t>RIBBON WAX 130X360M BLK I/N</t>
  </si>
  <si>
    <t>18210012</t>
  </si>
  <si>
    <t>18210013</t>
  </si>
  <si>
    <t>18210006</t>
  </si>
  <si>
    <t>17190006</t>
  </si>
  <si>
    <t>17190004</t>
  </si>
  <si>
    <t>Software</t>
  </si>
  <si>
    <t>Drivers</t>
  </si>
  <si>
    <t>iDSnet FOX 2000 Series Driver License (Per Printer) - Datamax</t>
  </si>
  <si>
    <t>iDSnet FOX 3000 Series Driver License (Per Printer) - Datamax</t>
  </si>
  <si>
    <t>iDSnet FOX 4000 Series Driver License (Per Printer) - Intermec</t>
  </si>
  <si>
    <t>iDSnet FOX 5000 Series Driver License (Per Printer) - Zebra</t>
  </si>
  <si>
    <t>iDSnet FOX 6000 Series Driver License (Per Printer) - Avery</t>
  </si>
  <si>
    <t>iDSnet Avery ALX92X Driver License (Per Printer) - Avery</t>
  </si>
  <si>
    <t>iDSnet Avery ALX73x Driver License (Per Printer) - Avery</t>
  </si>
  <si>
    <t xml:space="preserve">iDSnet Zebra PAX Series Driver License (Per Printer) </t>
  </si>
  <si>
    <t>iDSnet SATO Module Series Driver License (Per Printer)</t>
  </si>
  <si>
    <t>iDSnet DATALOGIC 2000 Series Driver License (Per Scanner)</t>
  </si>
  <si>
    <t>iDSnet DATALOGIC 4000 Series Driver License (Per Scanner)</t>
  </si>
  <si>
    <t>iDSnet DATALOGIC 6000 Series Driver License (Per Scanner)</t>
  </si>
  <si>
    <t>Fixed Scanners</t>
  </si>
  <si>
    <t>iDS Hardware</t>
  </si>
  <si>
    <t>LCE-302-BYG</t>
  </si>
  <si>
    <t>GD4130-BK</t>
  </si>
  <si>
    <t>HLD-G040-BK</t>
  </si>
  <si>
    <t>CAB439</t>
  </si>
  <si>
    <t>SKME1006/20</t>
  </si>
  <si>
    <t>93A301067</t>
  </si>
  <si>
    <t>93A301068</t>
  </si>
  <si>
    <t>Scanner Model</t>
  </si>
  <si>
    <t>Cbox</t>
  </si>
  <si>
    <t>937401003</t>
  </si>
  <si>
    <t>MAT-2010-0600/001-600</t>
  </si>
  <si>
    <t>MAT-2010-0600/001-1200</t>
  </si>
  <si>
    <t>MAT-2010-0600/001-1800</t>
  </si>
  <si>
    <t>Scanner Mounting</t>
  </si>
  <si>
    <t/>
  </si>
  <si>
    <t>1 X M8 3Pin 5M Cable</t>
  </si>
  <si>
    <t>1 X Connecting Base Clamp</t>
  </si>
  <si>
    <t>1 X Connecting T Clamp</t>
  </si>
  <si>
    <t>3 X Connecting Base Clamp</t>
  </si>
  <si>
    <t>Bkt Mounting Suit Mini Cim V2</t>
  </si>
  <si>
    <t>Idsnet 24V Smps External</t>
  </si>
  <si>
    <t xml:space="preserve">Beacon B/A/G </t>
  </si>
  <si>
    <t>Corded Hand Scanner (Gryphon)</t>
  </si>
  <si>
    <t>Holder Desk/Wall For Gryphon</t>
  </si>
  <si>
    <t>Scanner Cable Usb 1.5M</t>
  </si>
  <si>
    <t>Bkt - L For Fixed Scnr</t>
  </si>
  <si>
    <t xml:space="preserve">CBX100 Connection Box Compact (Commonly Used) </t>
  </si>
  <si>
    <t>CBX500 Connection Box Modular (For Advanced Applications Only)</t>
  </si>
  <si>
    <t>Stnd Scnr Upright 80X40 600Mm</t>
  </si>
  <si>
    <t>Stnd Scnr Upright 80X40 1200Mm</t>
  </si>
  <si>
    <t>Stnd Scnr Upright 80X40 1800Mm</t>
  </si>
  <si>
    <t>Scnr DS2100N Std-Res Raster</t>
  </si>
  <si>
    <t>Scnr DS2100N-1200 Std-Res, Lin</t>
  </si>
  <si>
    <t>DS4800-1000 Adj Focus, Linear</t>
  </si>
  <si>
    <t>DS4800-1100 Adj With Om</t>
  </si>
  <si>
    <t>Matrix 210 213-100 WVGA-Far-25P-St</t>
  </si>
  <si>
    <t>Matrix 410 400-000 SXGA-Bs-Cm-Ser-Std</t>
  </si>
  <si>
    <t>SCNR DS6300-100-010 2 S.F</t>
  </si>
  <si>
    <t>SCNR DS6300-105-010</t>
  </si>
  <si>
    <t>CIM (2 x RS-232 &amp; 1 x I/O Board)</t>
  </si>
  <si>
    <t>CIM (1 x RS-232 &amp; 1 x I/O Board)</t>
  </si>
  <si>
    <t>CIM (3 x RS-232 &amp; 2 x I/O Board)</t>
  </si>
  <si>
    <t>CIM (2 x RS-232 &amp; 2 x I/O Board) - PALLET</t>
  </si>
  <si>
    <t>CORDED HAND SCANNER (GRYPHON)</t>
  </si>
  <si>
    <t>HOLDER DESK/WALL FOR GRYPHON</t>
  </si>
  <si>
    <t>RS232 CABLE FOR HAND SCANNER</t>
  </si>
  <si>
    <t>SCANNER PM8300433RB - NO DISPLAY/KEYPAD</t>
  </si>
  <si>
    <t>SCANNER PM8300D433RB - DISPLAY AND 3KEY KEYPAD</t>
  </si>
  <si>
    <t>SCANNER PM8300DK433RB - STD MODEL DISPLAY AND 16KEY KEYPAD</t>
  </si>
  <si>
    <t>BASE STATION CHARGER PM8300</t>
  </si>
  <si>
    <t>POWER SUPPLY 12 V PM8300</t>
  </si>
  <si>
    <t>90G001070</t>
  </si>
  <si>
    <t>GM4130-BK-433K2</t>
  </si>
  <si>
    <t>TPA000167</t>
  </si>
  <si>
    <t>TPA000255</t>
  </si>
  <si>
    <t>TPA000258</t>
  </si>
  <si>
    <t>TPA000168</t>
  </si>
  <si>
    <t>TPA000049</t>
  </si>
  <si>
    <t>IDSnet Enterprise Kit</t>
  </si>
  <si>
    <t>05030002</t>
  </si>
  <si>
    <t>05030003</t>
  </si>
  <si>
    <t>Please email this BOM, Quote and Customer PO to:</t>
  </si>
  <si>
    <t>Project Management</t>
  </si>
  <si>
    <t>Installation, commissioning &amp; training</t>
  </si>
  <si>
    <t>Carton</t>
  </si>
  <si>
    <t>Pallet</t>
  </si>
  <si>
    <t>Incrm</t>
  </si>
  <si>
    <t>Project Fee</t>
  </si>
  <si>
    <t>Project Mgmt Fee</t>
  </si>
  <si>
    <t>Label Size</t>
  </si>
  <si>
    <t>DT or TT</t>
  </si>
  <si>
    <t>Orientation</t>
  </si>
  <si>
    <t>104x50mm</t>
  </si>
  <si>
    <t>104x55mm</t>
  </si>
  <si>
    <t>104x75mm</t>
  </si>
  <si>
    <t>104x100mm</t>
  </si>
  <si>
    <t>104x150mm</t>
  </si>
  <si>
    <t>50x100mm</t>
  </si>
  <si>
    <t>Nose Up</t>
  </si>
  <si>
    <t>Nose Down</t>
  </si>
  <si>
    <t>Top Apply</t>
  </si>
  <si>
    <t>On Back (horizontal)</t>
  </si>
  <si>
    <t>Printhead</t>
  </si>
  <si>
    <t>Direct Thermal</t>
  </si>
  <si>
    <t>Thermal Transfer</t>
  </si>
  <si>
    <t>150x210mm</t>
  </si>
  <si>
    <t>150x75mm</t>
  </si>
  <si>
    <t>150x100mm</t>
  </si>
  <si>
    <t>MINI</t>
  </si>
  <si>
    <t>LPA I/O BOX - CARTON</t>
  </si>
  <si>
    <t>LPA I/O BOX WITHOUT ETHERNET</t>
  </si>
  <si>
    <t>CABLE LPA I/O INTERFACE 3.0M</t>
  </si>
  <si>
    <t>Carton Accessories</t>
  </si>
  <si>
    <t>Pallet Accessories</t>
  </si>
  <si>
    <t>IP System</t>
  </si>
  <si>
    <t>TYB AWC21603-BK-100</t>
  </si>
  <si>
    <t>CABLE AUTO 3MM V90 TWIN SHTH</t>
  </si>
  <si>
    <t xml:space="preserve">PLUG TOP 3INS PIN 10A 250V TR </t>
  </si>
  <si>
    <t>CLI 439S-TR</t>
  </si>
  <si>
    <t>13020123</t>
  </si>
  <si>
    <t>PLUG 250V 10A 3F PINS</t>
  </si>
  <si>
    <t>CLI 56P310-E0</t>
  </si>
  <si>
    <t>13020122</t>
  </si>
  <si>
    <t>Number of carton machines</t>
  </si>
  <si>
    <t>Number of pallet machines</t>
  </si>
  <si>
    <t>Carton Systems</t>
  </si>
  <si>
    <t>Pallet Systems</t>
  </si>
  <si>
    <t>12990015</t>
  </si>
  <si>
    <t>TUN AB CABINET</t>
  </si>
  <si>
    <t>12990016</t>
  </si>
  <si>
    <t>12990018</t>
  </si>
  <si>
    <t>2711PCT6C20D8</t>
  </si>
  <si>
    <t>12990017</t>
  </si>
  <si>
    <t>1769L16ERBB1B</t>
  </si>
  <si>
    <t>AB PLC Eth CPU 384Kb</t>
  </si>
  <si>
    <t xml:space="preserve">Allen Bradley HMI 6 Inch </t>
  </si>
  <si>
    <t xml:space="preserve">Pallet AB PLC Cabinet </t>
  </si>
  <si>
    <t xml:space="preserve">Tun Allen Bradley PLC Cabinet </t>
  </si>
  <si>
    <t>Cordless Hand Scnr M4130 - Kit</t>
  </si>
  <si>
    <t>10040117</t>
  </si>
  <si>
    <t>10040116</t>
  </si>
  <si>
    <t>Sick Clv620-0120 Codereader</t>
  </si>
  <si>
    <t xml:space="preserve">Sick Clv640-6120 Codereader </t>
  </si>
  <si>
    <t>10040115</t>
  </si>
  <si>
    <t>10040122</t>
  </si>
  <si>
    <t xml:space="preserve">Sick Clv Type 2 Mounting Brack </t>
  </si>
  <si>
    <t xml:space="preserve">Sick Clv Type 1 Mounting Brack </t>
  </si>
  <si>
    <t>13120051</t>
  </si>
  <si>
    <t>MAT-2011-0911/001 REV 0</t>
  </si>
  <si>
    <t xml:space="preserve">Bracket - Fox LPA Scanner PE </t>
  </si>
  <si>
    <t>10040113</t>
  </si>
  <si>
    <t>MU02877</t>
  </si>
  <si>
    <t>10040114</t>
  </si>
  <si>
    <t xml:space="preserve">Sick Scanner OE Cable 15M </t>
  </si>
  <si>
    <t xml:space="preserve">Sick Ethernet Cable M12 RJ 10M </t>
  </si>
  <si>
    <t>10040124</t>
  </si>
  <si>
    <t>Sick Ethernet Cable M12 RJ 5M</t>
  </si>
  <si>
    <t>Please select repeater option</t>
  </si>
  <si>
    <t>Heidi Ball &amp; Your Local Project Manager (if outside Victoria)</t>
  </si>
  <si>
    <t>Example Answers</t>
  </si>
  <si>
    <t>Customer Purchase Date:</t>
  </si>
  <si>
    <t>Current Matthews Model Quoted:</t>
  </si>
  <si>
    <t>CJ400e</t>
  </si>
  <si>
    <t>Current Quoted Price &amp; Discount:</t>
  </si>
  <si>
    <t>$</t>
  </si>
  <si>
    <t>%</t>
  </si>
  <si>
    <t>$13,500 (12% discount)</t>
  </si>
  <si>
    <t>Price Required (to secure the business):</t>
  </si>
  <si>
    <t>Competitor Name:</t>
  </si>
  <si>
    <t>Tronics</t>
  </si>
  <si>
    <t>Competitor Model:</t>
  </si>
  <si>
    <t>Competitor Total Installed Price:</t>
  </si>
  <si>
    <t>$12,000 (what does this include).</t>
  </si>
  <si>
    <t>Customer Future Potential:</t>
  </si>
  <si>
    <t>2 more CIJ required in next 3 months.</t>
  </si>
  <si>
    <t>Competitors Warranty Offering</t>
  </si>
  <si>
    <t>12 months onsite / back to base?</t>
  </si>
  <si>
    <t>Arguments Already Used With The Customer</t>
  </si>
  <si>
    <t>COO (we are 500 cheaper pa etc.)</t>
  </si>
  <si>
    <t>Anthony Sekulov</t>
  </si>
  <si>
    <t>Mark Dingley</t>
  </si>
  <si>
    <t>Welcome Kit Sent</t>
  </si>
  <si>
    <t>Project Engineer</t>
  </si>
  <si>
    <t>Printer QC Only</t>
  </si>
  <si>
    <t>Please confirm the type of QC Required</t>
  </si>
  <si>
    <t>A-Series</t>
  </si>
  <si>
    <t>D43 LPA</t>
  </si>
  <si>
    <t>T43 LPA</t>
  </si>
  <si>
    <t>T63 LPA</t>
  </si>
  <si>
    <t>Software Apps (12" Touchscreen Only)</t>
  </si>
  <si>
    <t xml:space="preserve">For configuration of maintenance program where the operator gets prompted to for example clean the print head or roller at selected times or intervals. 
</t>
  </si>
  <si>
    <t xml:space="preserve">Presents a graphical view in the form of a bar chart, the number of applied labels per minute for the last 24 hours. Each bar corresponds to 15 minutes
</t>
  </si>
  <si>
    <t xml:space="preserve">Print capacity (peak) up to 120 labels/min (standard is up to 60 labels/min) 
This app is available for D43 model only.  
</t>
  </si>
  <si>
    <t xml:space="preserve">Makes it possible to show an external PC screen on the Autolabel touch screen.
</t>
  </si>
  <si>
    <t>Handling of scanner for control scanning of printed barcode or for scan and select PLU. 
Add Hand Scanner</t>
  </si>
  <si>
    <t>Inc</t>
  </si>
  <si>
    <t>SW100002</t>
  </si>
  <si>
    <t>SW100003</t>
  </si>
  <si>
    <t>SW100006</t>
  </si>
  <si>
    <t>SW100005</t>
  </si>
  <si>
    <t>SW100004</t>
  </si>
  <si>
    <t xml:space="preserve">Floor stand in aluminum 1500 mm. The stand can either be bolted directly in the floor, on the floor plate P100515 or mounted on the foot A100043. 
Bracket A100141 suits this floor stand. 
</t>
  </si>
  <si>
    <t>A100248</t>
  </si>
  <si>
    <t>A100249</t>
  </si>
  <si>
    <t xml:space="preserve">Motorized floor stand in aluminum. Adjustable from 1050 to 1500 mm. Other physical dimensions same as the base stands above. 
Built in motordriveboard for USB connection to the printer and required software APP included.
</t>
  </si>
  <si>
    <t xml:space="preserve">Motorized floor stand in aluminum. Adjustable from 650 to 1050 mm. Other physical dimensions same as the base stands above. 
Built in motordriveboard for USB connection to the printer and required software APP included.
</t>
  </si>
  <si>
    <t xml:space="preserve">Motorized floor stand in aluminum. Adjustable from 350 to 550 mm. Other physical dimensions same as the base stands above. 
Built in motordriveboard for USB connection to the printer and required software APP included.
</t>
  </si>
  <si>
    <t>For mounting A100255 horizontalls on a vertical base stand or Adj stand.</t>
  </si>
  <si>
    <t xml:space="preserve">Heavy duty mounting foot in aluminum. Adjustable rubber feet and built in wheels for convenient relocation of the system. Suits all Autolabel floor stands.
</t>
  </si>
  <si>
    <t>A100053</t>
  </si>
  <si>
    <t xml:space="preserve">Mounting plate in stainless steel for  floor stand. Suitable when the floor stand shall be bolted in the floor. Suits all Autolabel floor stands.
</t>
  </si>
  <si>
    <t>P101171</t>
  </si>
  <si>
    <t>A100141</t>
  </si>
  <si>
    <t xml:space="preserve">This module is used for mounting one of the mounting tubes P100446 or P100077 on any of the Autolabel floor stands. 
</t>
  </si>
  <si>
    <t xml:space="preserve">Mounting tube with outer diameter 51 mm and length 460 mm. The mounting tube works together with the tube holder A100141 and allow stable and flexible mounting of the print&amp;apply module.
</t>
  </si>
  <si>
    <t>Mounting spacer for simplified mounting.</t>
  </si>
  <si>
    <t>P100141</t>
  </si>
  <si>
    <t>Spare Parts</t>
  </si>
  <si>
    <t>Autolabel Part.No</t>
  </si>
  <si>
    <t>List Price $A 
(ex GST)</t>
  </si>
  <si>
    <t>Qty</t>
  </si>
  <si>
    <t>Recommended (Wear) Spare Parts</t>
  </si>
  <si>
    <t>A100011</t>
  </si>
  <si>
    <t xml:space="preserve">Print head for Autolabel D43/T43. Life time up to 100 km, depending on environment and maintenance. This is NOT warranty.  </t>
  </si>
  <si>
    <t>A100177</t>
  </si>
  <si>
    <t xml:space="preserve">Print head for Autolabel T63. Life time up to 100 km, depending on environment and maintenance. </t>
  </si>
  <si>
    <t>K100001</t>
  </si>
  <si>
    <t>Print roll and belt for  Autolabel D43/T43. Life time up to 200 km, depending on environment and maintenance.</t>
  </si>
  <si>
    <t>K100002</t>
  </si>
  <si>
    <t>Print roll and belt for  Autolabel T63. Life time up to 200 km, depending on environment and maintenance.</t>
  </si>
  <si>
    <t>All Spare Parts</t>
  </si>
  <si>
    <t>A100331</t>
  </si>
  <si>
    <t>CPU UNIT G2 COMPL</t>
  </si>
  <si>
    <t>A100006</t>
  </si>
  <si>
    <t>LABEL ROLLER GUIDE</t>
  </si>
  <si>
    <t>A100029</t>
  </si>
  <si>
    <t>LABEL REWIND GUIDE INSIDE</t>
  </si>
  <si>
    <t>A100027</t>
  </si>
  <si>
    <t>LABEL ROLL GUIDE INSIDE</t>
  </si>
  <si>
    <t>E100002</t>
  </si>
  <si>
    <t>POWER SUPPLY</t>
  </si>
  <si>
    <t>POWER SUPPLY D/T43</t>
  </si>
  <si>
    <t>S100534</t>
  </si>
  <si>
    <t>A100228</t>
  </si>
  <si>
    <t>PNEUMATIC BLOCK COMPL.</t>
  </si>
  <si>
    <t>P100132</t>
  </si>
  <si>
    <t>COVER REAR D43</t>
  </si>
  <si>
    <t>P100263</t>
  </si>
  <si>
    <t>COVER REAR T43/T63</t>
  </si>
  <si>
    <t>P100125</t>
  </si>
  <si>
    <t>COVER FRONT D43</t>
  </si>
  <si>
    <t>P100262</t>
  </si>
  <si>
    <t>COVER FRONT T43/T63</t>
  </si>
  <si>
    <t>P100116</t>
  </si>
  <si>
    <t>COVER HEAD PROFILE 4”</t>
  </si>
  <si>
    <t>P100680</t>
  </si>
  <si>
    <t>COVER HEAD PROFILE 6”</t>
  </si>
  <si>
    <t>P100042</t>
  </si>
  <si>
    <t>FLAT SPRING (for print head)</t>
  </si>
  <si>
    <t>P100060</t>
  </si>
  <si>
    <t>HANDLE (to lift print head)</t>
  </si>
  <si>
    <t>P100033</t>
  </si>
  <si>
    <t>SERVICE RELEASE HANDLE</t>
  </si>
  <si>
    <t>P100781</t>
  </si>
  <si>
    <t>BRAKE BAND 222 (suites D43)</t>
  </si>
  <si>
    <t>P100782</t>
  </si>
  <si>
    <t>BRAKE BAND 320 (suits T43 and T63)</t>
  </si>
  <si>
    <t>C100005</t>
  </si>
  <si>
    <t>HEAD LIFTED CABLING (incl. sensor)</t>
  </si>
  <si>
    <t>P100049</t>
  </si>
  <si>
    <t>ARM (for blow and pluck applicator)</t>
  </si>
  <si>
    <t>C100009</t>
  </si>
  <si>
    <t>Stepper Motor Compl.</t>
  </si>
  <si>
    <t>C100010</t>
  </si>
  <si>
    <t>BLDC Motor Compl.</t>
  </si>
  <si>
    <t>S100288</t>
  </si>
  <si>
    <t>12” TOUCH DISPLAY</t>
  </si>
  <si>
    <t>C100021</t>
  </si>
  <si>
    <t>Monitor cable 1.8 m</t>
  </si>
  <si>
    <t>C100024</t>
  </si>
  <si>
    <t>Monitor cable 3 m</t>
  </si>
  <si>
    <t>C100023</t>
  </si>
  <si>
    <t>Monitor cable 5 m</t>
  </si>
  <si>
    <t>Applicator Plates</t>
  </si>
  <si>
    <t>AP100009</t>
  </si>
  <si>
    <t>AP100008</t>
  </si>
  <si>
    <t>I100007</t>
  </si>
  <si>
    <t>Applicator Plate  70X70</t>
  </si>
  <si>
    <t xml:space="preserve">Applicator Plate  74X49 </t>
  </si>
  <si>
    <t>Applicator Plate  104X74</t>
  </si>
  <si>
    <t>AP100029</t>
  </si>
  <si>
    <t>AP100031</t>
  </si>
  <si>
    <t>I100009</t>
  </si>
  <si>
    <t>Applicator Plate  150X210</t>
  </si>
  <si>
    <t>Applicator Plate  150X50</t>
  </si>
  <si>
    <t>Applicator Plate 165X60</t>
  </si>
  <si>
    <t>4"</t>
  </si>
  <si>
    <t>6"</t>
  </si>
  <si>
    <t>suits the T63 BLOW-VAC</t>
  </si>
  <si>
    <t>Applicator Plate  104mm X 55mm</t>
  </si>
  <si>
    <t>A100038</t>
  </si>
  <si>
    <t>A100161</t>
  </si>
  <si>
    <t>Status Beacon</t>
  </si>
  <si>
    <t>Adjustable Label Guide Kit</t>
  </si>
  <si>
    <t>A100001</t>
  </si>
  <si>
    <t>A100047</t>
  </si>
  <si>
    <t>A100048</t>
  </si>
  <si>
    <t>Modules</t>
  </si>
  <si>
    <t>Applicator Modules</t>
  </si>
  <si>
    <t>Blow Applicator</t>
  </si>
  <si>
    <t>A100018</t>
  </si>
  <si>
    <t>A100180</t>
  </si>
  <si>
    <t>A100261</t>
  </si>
  <si>
    <t>Belt Applicator - Upto 40M/Min Fixed Speed</t>
  </si>
  <si>
    <t>Tamp Applicator (Side Apply)</t>
  </si>
  <si>
    <t>A100199</t>
  </si>
  <si>
    <t xml:space="preserve">MARKING STATION LR PLUCK DT BLOW DT </t>
  </si>
  <si>
    <t>A100196</t>
  </si>
  <si>
    <t xml:space="preserve">MARKING STATION LR PLUCK DT  </t>
  </si>
  <si>
    <t>A100198</t>
  </si>
  <si>
    <t xml:space="preserve">MARKING STATION LR TAMP DT </t>
  </si>
  <si>
    <t>A100197</t>
  </si>
  <si>
    <t xml:space="preserve">MARKING STATION LR BLOW DT  </t>
  </si>
  <si>
    <t xml:space="preserve">D43 MARKING STATION LR PLUCK DT
TAMP DT </t>
  </si>
  <si>
    <t>Installation, Commissioning &amp; Training</t>
  </si>
  <si>
    <r>
      <rPr>
        <b/>
        <sz val="10"/>
        <rFont val="Arial"/>
        <family val="2"/>
      </rPr>
      <t>Carton</t>
    </r>
    <r>
      <rPr>
        <sz val="10"/>
        <rFont val="Arial"/>
        <family val="2"/>
      </rPr>
      <t xml:space="preserve"> - Installation, commissioning &amp; training</t>
    </r>
  </si>
  <si>
    <r>
      <rPr>
        <b/>
        <sz val="10"/>
        <rFont val="Arial"/>
        <family val="2"/>
      </rPr>
      <t>Pallet</t>
    </r>
    <r>
      <rPr>
        <sz val="10"/>
        <rFont val="Arial"/>
        <family val="2"/>
      </rPr>
      <t xml:space="preserve"> - Installation, commissioning &amp; training</t>
    </r>
  </si>
  <si>
    <t>E-Tamp Applicator 150</t>
  </si>
  <si>
    <t>E-Tamp Applicator 300</t>
  </si>
  <si>
    <t xml:space="preserve">Color touch screen 12” with 1.8 m cabling and ergonomic holder that suits all Autolabel stands
</t>
  </si>
  <si>
    <t xml:space="preserve">Color touch screen 12” with 3.0m cabling and ergonomic holder that suits all Autolabel stands
</t>
  </si>
  <si>
    <t>K100005</t>
  </si>
  <si>
    <t>K100009</t>
  </si>
  <si>
    <t>User Interface</t>
  </si>
  <si>
    <t>Marking Station</t>
  </si>
  <si>
    <t>Air Regulator Assembly</t>
  </si>
  <si>
    <t>A-Series BOM</t>
  </si>
  <si>
    <t>Ribbon Usage pa.</t>
  </si>
  <si>
    <t>23020024</t>
  </si>
  <si>
    <t>Part Name</t>
  </si>
  <si>
    <t>Matt #</t>
  </si>
  <si>
    <t>Please select</t>
  </si>
  <si>
    <t>P100515</t>
  </si>
  <si>
    <t xml:space="preserve">Floor stand in aluminum 2000 mm. The stand can either be bolted directly in the floor, on the floor plate P100515 or mounted on the foot A100367. 
</t>
  </si>
  <si>
    <t>A100367</t>
  </si>
  <si>
    <t>Floor Plate 1</t>
  </si>
  <si>
    <t xml:space="preserve">Motorized floor stand in aluminum. Adjustable from 1100 to 1500 mm. Other physical dimensions same as the base stands above. 
Built in motordriveboard for USB connection to the printer and required software APP included.
</t>
  </si>
  <si>
    <t>Onboard Database Creation</t>
  </si>
  <si>
    <t>Number of label formats creation</t>
  </si>
  <si>
    <t>11020007</t>
  </si>
  <si>
    <t>13020104</t>
  </si>
  <si>
    <t>13020105</t>
  </si>
  <si>
    <t>Basic Stand Setup</t>
  </si>
  <si>
    <t>Basic applicator stand, FoxIV or Avery with wiring</t>
  </si>
  <si>
    <t>Basic SSCC Setup 1 Applicator with CIM  &amp; Scanners</t>
  </si>
  <si>
    <t>Basic SSCC Setup 1 Applicator with CIM  &amp; ScannersWiring &amp; Testing</t>
  </si>
  <si>
    <t>Basic SSCC Setup 2 Applicator with CIM &amp; Scanners</t>
  </si>
  <si>
    <t>Basic SSCC Setup 2 Applicator with CIM &amp; ScannersWiring &amp; Testing</t>
  </si>
  <si>
    <t>Basic TUN Setup 1 Applicator with CIM &amp; Scanners</t>
  </si>
  <si>
    <t>Basic TUN Setup 1 Applicator with CIM &amp; ScannersWiring &amp; Testing</t>
  </si>
  <si>
    <t>Basic TUN Setup 2 Applicators with CIM &amp; Scanners</t>
  </si>
  <si>
    <t>Basic TUN Setup 2 Applicators with CIM &amp; ScannersWiring &amp; Testing</t>
  </si>
  <si>
    <t>1 x FoxIV in cabinet with pneumatic door</t>
  </si>
  <si>
    <t>FoxIV in cabinet with pneumatic door Setup , wiring &amp; testing</t>
  </si>
  <si>
    <t>Basic conveyor system With Conv Control Cabinet to be wired</t>
  </si>
  <si>
    <t>Basic conveyor system With Conv Control Cabinet to be wired Electrical cabinet &amp; controls, brackets ETC (like a general Linx conveyor setup Motor, GPO &amp; sensor wiring. Simple setup &amp; testing</t>
  </si>
  <si>
    <t>Basic conveyor system Conv Control Cabinet by supplier</t>
  </si>
  <si>
    <t>Basic conveyor system Conv Control Cabinet by supplier brackets ETC (like a general Linx conveyor setup Motor, GPO &amp; sensor wiring. Simple setup &amp; testing</t>
  </si>
  <si>
    <t>Full generic carton coding (GCC) or under over (UO) conveyor</t>
  </si>
  <si>
    <t>Electrical cabinet &amp; controls Motor, GPO &amp; sensor wiring Setup cabling &amp; plumbing of applicators, DOD &amp; general equipment including brackets CIM wiring Full system testing</t>
  </si>
  <si>
    <t>Parallelograms Setup up to 1 pairs</t>
  </si>
  <si>
    <t>Parallelograms Setup up to 1 pairs Assembly, setup &amp; mounting of parallelograms Fixing to stands</t>
  </si>
  <si>
    <t>CIM Hospital station</t>
  </si>
  <si>
    <t>CIM Hospital station Setup equipment Wiring of CIM including testing</t>
  </si>
  <si>
    <t>Mini CIM</t>
  </si>
  <si>
    <t>Mini CIM Cabinet wiring Setup &amp; testing</t>
  </si>
  <si>
    <t>Basic stands for Laser or DOD equipment</t>
  </si>
  <si>
    <t>May vary depending on complexity of the stand or bracket PM’s should check with engineering</t>
  </si>
  <si>
    <t>Avery with TTO adapter bracket</t>
  </si>
  <si>
    <t>Avery with TTO adapter bracket - Full setup &amp; test</t>
  </si>
  <si>
    <t>Moxa Setup 1 port or 2 port</t>
  </si>
  <si>
    <t>Moxa Setup 1 port or 2 port - Setup &amp; Test</t>
  </si>
  <si>
    <t>Laser, Enclosure Full setup &amp; Test</t>
  </si>
  <si>
    <t>Laser, Enclosure Full setup &amp; Test - System build test</t>
  </si>
  <si>
    <t>Options</t>
  </si>
  <si>
    <t>na</t>
  </si>
  <si>
    <t>A-Series &amp; Marking Station</t>
  </si>
  <si>
    <t>Andrew Ball</t>
  </si>
  <si>
    <t>Mark Bucknall</t>
  </si>
  <si>
    <t>Nathan Elliot</t>
  </si>
  <si>
    <t>Label Usage pa.</t>
  </si>
  <si>
    <t>Photoeyes - Carton</t>
  </si>
  <si>
    <t>Photoeyes - Pallet</t>
  </si>
  <si>
    <t xml:space="preserve">Reflective Sensor WL8-P2131 </t>
  </si>
  <si>
    <t xml:space="preserve">Proximity Sensor WTB8-P2131  </t>
  </si>
  <si>
    <t>Proximity Sensor PNP Long Range 600MM</t>
  </si>
  <si>
    <t>Cable 4 PIN M12 5M</t>
  </si>
  <si>
    <t>Proximity Sensor WTB8-P2131  1 x M8 3PIN 5M CABLE</t>
  </si>
  <si>
    <t>Proximity Sensor WTB8-P2131  1 x CONNECTING BASE CLAMP</t>
  </si>
  <si>
    <t>Proximity Sensor WTB8-P2131  1 x CONNECTING T CLAMP</t>
  </si>
  <si>
    <t>13120079</t>
  </si>
  <si>
    <t>Pivot Base</t>
  </si>
  <si>
    <t>Height Extension Base</t>
  </si>
  <si>
    <t>Adjustable Mounting Arm</t>
  </si>
  <si>
    <t>Fox Stand Autolabel Adapter - Fixed Mounting Arm</t>
  </si>
  <si>
    <t>Fox Stand Autolabel Adapter - Adjustable Mounting Arm</t>
  </si>
  <si>
    <t>Screen Arm for Alternative Sqr Stand</t>
  </si>
  <si>
    <t>Column (aluminum 1500mm)</t>
  </si>
  <si>
    <t>Column (aluminum 2000mm)</t>
  </si>
  <si>
    <t xml:space="preserve">H-Foot with adjustable rubber feet and built in wheels for convenient relocation of the system. 
  </t>
  </si>
  <si>
    <t>Tube Holder - Mounting arm</t>
  </si>
  <si>
    <t>SC03</t>
  </si>
  <si>
    <t>Sata Clean Alcohol Wipes (50)</t>
  </si>
  <si>
    <t>QC Rate</t>
  </si>
  <si>
    <t>TSM-92153-A-002/01</t>
  </si>
  <si>
    <t>AUTOLABEL X-ADJUSTMENT (with clamp and 520mm lead screw)</t>
  </si>
  <si>
    <t>Floor Plate 1 - local option</t>
  </si>
  <si>
    <t>P100515/01</t>
  </si>
  <si>
    <t>Braydon Cocks</t>
  </si>
  <si>
    <t>27021519-01_C-01</t>
  </si>
  <si>
    <t>ERP Code</t>
  </si>
  <si>
    <t xml:space="preserve"> Quote Number:</t>
  </si>
  <si>
    <t>mm</t>
  </si>
  <si>
    <t>Photos &amp; Diagrams</t>
  </si>
  <si>
    <t>Additional Comments</t>
  </si>
  <si>
    <t>14010023</t>
  </si>
  <si>
    <t>Mperia 7D ViaExtend (IP42)</t>
  </si>
  <si>
    <t>Mperia 12” ViaAdvanced (IP40)</t>
  </si>
  <si>
    <t>BRACKET PE SENSOR ASSY</t>
  </si>
  <si>
    <t>BRACKET PE REFLECTOR ASSY</t>
  </si>
  <si>
    <t>23020109,
23020110,
23020111,
23020112,</t>
  </si>
  <si>
    <t>23020113,
23020110,
23020114</t>
  </si>
  <si>
    <t>08071504-01_B-02
10061502-14-3_A-11
RK-X1508MAT-ARM1</t>
  </si>
  <si>
    <t>08071504-01_B-02
17081502-01_C-01</t>
  </si>
  <si>
    <t>Base Plate 1</t>
  </si>
  <si>
    <t>% Split</t>
  </si>
  <si>
    <t>Territory 1</t>
  </si>
  <si>
    <t>Territory 2</t>
  </si>
  <si>
    <t>Existing PMP onsite</t>
  </si>
  <si>
    <t>Magnetic Swich</t>
  </si>
  <si>
    <t>F3S-TGR-NSPR-21-0</t>
  </si>
  <si>
    <t>Accessories / Misc</t>
  </si>
  <si>
    <t>MIN WIRELESS N USB ADAP 300Mbs</t>
  </si>
  <si>
    <t xml:space="preserve">POWER SUPPLY 24V </t>
  </si>
  <si>
    <t>10020147</t>
  </si>
  <si>
    <t xml:space="preserve">Power Supply 24V </t>
  </si>
  <si>
    <t xml:space="preserve">CIRCUIT BREAKER </t>
  </si>
  <si>
    <t>10020145</t>
  </si>
  <si>
    <t>13080192</t>
  </si>
  <si>
    <t>JBOX ASSY</t>
  </si>
  <si>
    <t>JBOX HOLDING PLATE 4MM 304 2B</t>
  </si>
  <si>
    <t>13080193</t>
  </si>
  <si>
    <t xml:space="preserve">14020069 </t>
  </si>
  <si>
    <t xml:space="preserve">PCM WALL MOUNT VESA 75/100 </t>
  </si>
  <si>
    <t>HOLDER TOUCH SCREEN COMPL.</t>
  </si>
  <si>
    <t>23020126</t>
  </si>
  <si>
    <t>A100046</t>
  </si>
  <si>
    <t>Mperia 15” ViaAdvanced Plus (IP65)</t>
  </si>
  <si>
    <t xml:space="preserve">BKT FOR CBX100 N2468 &amp;SICK SEN </t>
  </si>
  <si>
    <t>DRG12051601</t>
  </si>
  <si>
    <t>13120092</t>
  </si>
  <si>
    <t>ViaPortal</t>
  </si>
  <si>
    <t>ViaSelect</t>
  </si>
  <si>
    <t xml:space="preserve">ViaConnect </t>
  </si>
  <si>
    <t>ViaEdit</t>
  </si>
  <si>
    <t>ViaBase</t>
  </si>
  <si>
    <t>ViaPlugin</t>
  </si>
  <si>
    <t>14020055, 14020054</t>
  </si>
  <si>
    <t>13090048, 13020149, 04020021, 13120083, 13120094</t>
  </si>
  <si>
    <t>7D ViaExtend Enclosed (5 ports)</t>
  </si>
  <si>
    <t>7D ViaExtend Enclosed (8 ports)</t>
  </si>
  <si>
    <t>14010025, 14020062</t>
  </si>
  <si>
    <t>14010025, 14020096</t>
  </si>
  <si>
    <t>12” ViaAdvanced Enclosed (5 ports)</t>
  </si>
  <si>
    <t>12” ViaAdvanced Enclosed (8 ports)</t>
  </si>
  <si>
    <t>14010024, 14020062</t>
  </si>
  <si>
    <t>14010024, 14020096</t>
  </si>
  <si>
    <t>A100502</t>
  </si>
  <si>
    <t>A100511</t>
  </si>
  <si>
    <t>A100479</t>
  </si>
  <si>
    <t>FLEX-MOUNT 2X COMPL</t>
  </si>
  <si>
    <t xml:space="preserve">FLEX-MOUNT LARGE COMPL. </t>
  </si>
  <si>
    <t>ASSY A-SERIES PALLET D/T43 LPA</t>
  </si>
  <si>
    <t>ASSY A-SERIES CARTON D/T43 LPA</t>
  </si>
  <si>
    <t>ASSY A-SERIES D/T43 MARK STAT</t>
  </si>
  <si>
    <t>ASSY A-SERIES PALLET D/T63 LPA</t>
  </si>
  <si>
    <t>This configuration print and apply products from above and from below. Two touch screens and two status beacons are included. The upper Print&amp;Apply module is electrically adjusted in height.  
Production direction: From left to right
Label apply from above: D43-tamp
Label apply from below: D43-pluck 
Print technology: Direct thermal 
Conveyor belt width: 160 mm 
Conveyor height from the floor: 800 – 1200 mm
Total width: 1050  mm +/- 20 mm
Allowed product heights: 0 – 500 mm
Maximum product : Specify on order 
Label dimensions from below (WxL mm): 
49 x 49 to 118 x 240, specify on order, (max print width = 108 mm)
Label dimensions from above (WxL mm): 
20 x 20 to 118 x 240, (max print width = 108 mm)</t>
  </si>
  <si>
    <t>This configuration print and apply products from below. One touch screen and one status beacon is included. 
Production direction: From left to right
Label apply from below: D43-pluck 
Print technology: Direct thermal 
Conveyor belt width: 160 mm 
Conveyor height from the floor: 800 – 1200 mm
Total width: 1050  mm +/- 20 mm
Allowed product heights: 0 – 500 mm
Maximum product : Specify on order 
Label dimensions from below (WxL mm): 
49 x 49 to 118 x 240, specify on order, (max print width = 108 mm)</t>
  </si>
  <si>
    <t>This configuration print and apply products from above. One touch screen and one status beacon is included. The Print&amp;Apply module is electrically adjusted in height. 
Production direction: From left to right
Label apply from above: D43-tamp
Print technology: Direct thermal 
Conveyor belt width: 160 mm 
Conveyor height from the floor: 800 – 1200 mm
Total width: 1050  mm +/- 20 mm
Allowed product heights: 0 – 500 mm
Maximum product : Specify on order 
Label dimensions from above (WxL mm): 
20 x 20 to 118 x 240, (max print width = 108 mm)</t>
  </si>
  <si>
    <t>This configuration print and apply products from above. One touch screen and one status beacon is included. The Print&amp;Apply module is electrically adjusted in height. 
Production direction: From left to right
Label apply from above: D43-blow
Print technology: Direct thermal 
Conveyor belt width: 160 mm 
Conveyor height from the floor: 800 – 1200 mm
Total width: 1050  mm +/- 20 mm
Allowed product heights: 0 – 500 mm
Maximum product : Specify on order 
Label dimensions from above (WxL mm): 
35 x 35 to 100 x 100 mm</t>
  </si>
  <si>
    <t>Nose Up - Apply Forward</t>
  </si>
  <si>
    <t>Nose Down - Apply Below/Down</t>
  </si>
  <si>
    <t>100x50mm</t>
  </si>
  <si>
    <t>50x104mm</t>
  </si>
  <si>
    <t>55x104mm</t>
  </si>
  <si>
    <t>75x104mm</t>
  </si>
  <si>
    <t>100x104mm</t>
  </si>
  <si>
    <t>150x104mm</t>
  </si>
  <si>
    <t>75x150mm</t>
  </si>
  <si>
    <t>100x150mm</t>
  </si>
  <si>
    <t>210x150mm</t>
  </si>
  <si>
    <t>Horizontal - Label Size</t>
  </si>
  <si>
    <t>Standard - Label Size (Lxw)</t>
  </si>
  <si>
    <t>Conveyor - Guide Rails (CPM Required)</t>
  </si>
  <si>
    <t xml:space="preserve">T43 MARKING STATION LR PLUCK DT
TAMP DT </t>
  </si>
  <si>
    <t>This configuration print and apply products from above and from below. Two touch screens and two status beacons are included. The upper Print&amp;Apply module is electrically adjusted in height.  
Production direction: From left to right
Label apply from above: T43-tamp
Label apply from below: T43-pluck 
Print technology: Direct thermal 
Conveyor belt width: 160 mm 
Conveyor height from the floor: 800 – 1200 mm
Total width: 1050  mm +/- 20 mm
Allowed product heights: 0 – 500 mm
Maximum product : Specify on order 
Label dimensions from below (WxL mm): 
49 x 49 to 118 x 240, specify on order, (max print width = 108 mm)
Label dimensions from above (WxL mm): 
20 x 20 to 118 x 240, (max print width = 108 mm)</t>
  </si>
  <si>
    <t>Assembly Code</t>
  </si>
  <si>
    <t>Assemy Code</t>
  </si>
  <si>
    <t>K100097</t>
  </si>
  <si>
    <t>Label Width</t>
  </si>
  <si>
    <t>30 - 39 mm</t>
  </si>
  <si>
    <t>40 - 54 mm</t>
  </si>
  <si>
    <t>55 - 69 mm</t>
  </si>
  <si>
    <t>70 - 84 mm</t>
  </si>
  <si>
    <t>85 - 99 mm</t>
  </si>
  <si>
    <t>100 - 114 mm</t>
  </si>
  <si>
    <t>115 - 134 mm</t>
  </si>
  <si>
    <t>135 - 154 mm</t>
  </si>
  <si>
    <t>155 - 176 mm</t>
  </si>
  <si>
    <t>Label Length</t>
  </si>
  <si>
    <t>Pad size</t>
  </si>
  <si>
    <t>20 - 42 mm</t>
  </si>
  <si>
    <t>36 x 33 (AP036033)</t>
  </si>
  <si>
    <t>50 x 33 (AP050033)</t>
  </si>
  <si>
    <t>65 x 33 (AP065033)</t>
  </si>
  <si>
    <t>80 x 33 (AP080033)</t>
  </si>
  <si>
    <t>95 x 33 (AP095033)</t>
  </si>
  <si>
    <t>110 x 33 (AP110033)</t>
  </si>
  <si>
    <t>130 x 33 (AP130033)</t>
  </si>
  <si>
    <t>150 x 33 (AP150033)</t>
  </si>
  <si>
    <t>170 x 33 (AP170033)</t>
  </si>
  <si>
    <t>43 - 62 mm</t>
  </si>
  <si>
    <t>36 x 50 (AP036050)</t>
  </si>
  <si>
    <t>50 x 50 (AP050050)</t>
  </si>
  <si>
    <t>65 x 50 (AP065050)</t>
  </si>
  <si>
    <t>80 x 50 (AP080050)</t>
  </si>
  <si>
    <t>95 x 50 (AP095050)</t>
  </si>
  <si>
    <t>110 x 50 (AP110050)</t>
  </si>
  <si>
    <t>130 x 50 (AP130050)</t>
  </si>
  <si>
    <t>150 x 50 (AP150050)</t>
  </si>
  <si>
    <t>170 x 50 (AP170050)</t>
  </si>
  <si>
    <t>63 - 87 mm</t>
  </si>
  <si>
    <t>36 x 70 (AP036070)</t>
  </si>
  <si>
    <t>50 x 70 (AP050070)</t>
  </si>
  <si>
    <t>65 x 70 (AP065070)</t>
  </si>
  <si>
    <t>80 x 70 (AP080070)</t>
  </si>
  <si>
    <t>95 x 70 (AP095070)</t>
  </si>
  <si>
    <t>110 x 70 (AP110070)</t>
  </si>
  <si>
    <t>130 x 70 (AP130070)</t>
  </si>
  <si>
    <t>150 x 70 (AP150070)</t>
  </si>
  <si>
    <t>170 x 70 (AP170070)</t>
  </si>
  <si>
    <t>88 - 102 mm</t>
  </si>
  <si>
    <t>36 x 90 (AP036090)</t>
  </si>
  <si>
    <t>50 x 90 (AP050090)</t>
  </si>
  <si>
    <t>65 x 90 (AP065090)</t>
  </si>
  <si>
    <t>80 x 90 (AP080090)</t>
  </si>
  <si>
    <t>95 x 90 (AP095090)</t>
  </si>
  <si>
    <t>110 x 90 (AP110090)</t>
  </si>
  <si>
    <t>130 x 90 (AP130090)</t>
  </si>
  <si>
    <t>150 x 90 (AP150090)</t>
  </si>
  <si>
    <t>170 x 90 (AP170090)</t>
  </si>
  <si>
    <t>103 - 122 mm</t>
  </si>
  <si>
    <t>36 x 110 (AP036110)</t>
  </si>
  <si>
    <t>50 x 110 (AP050110)</t>
  </si>
  <si>
    <t>65 x 110 (AP065110)</t>
  </si>
  <si>
    <t>80 x 110 (AP080110)</t>
  </si>
  <si>
    <t>95 x 110 (AP095110)</t>
  </si>
  <si>
    <t>110 x 110 (AP110110)</t>
  </si>
  <si>
    <t>130 x 110 (AP130110)</t>
  </si>
  <si>
    <t>150 x 110 (AP150110)</t>
  </si>
  <si>
    <t>170 x 110 (AP170110)</t>
  </si>
  <si>
    <t>123 - 152 mm</t>
  </si>
  <si>
    <t>36 x 140 (AP036140)</t>
  </si>
  <si>
    <t>50 x 140 (AP050140)</t>
  </si>
  <si>
    <t>65 x 140 (AP065140)</t>
  </si>
  <si>
    <t>80 x 140 (AP080140)</t>
  </si>
  <si>
    <t>95 x 140 (AP095140)</t>
  </si>
  <si>
    <t>110 x 140 (AP110140)</t>
  </si>
  <si>
    <t>130 x 140 (AP130140)</t>
  </si>
  <si>
    <t>150 x 140 (AP150140)</t>
  </si>
  <si>
    <t>170 x 140 (AP170140)</t>
  </si>
  <si>
    <t>153 - 182 mm</t>
  </si>
  <si>
    <t>36 x 170 (AP036170)</t>
  </si>
  <si>
    <t>50 x 170 (AP050170)</t>
  </si>
  <si>
    <t>65 x 170 (AP065170)</t>
  </si>
  <si>
    <t>80 x 170 (AP080170)</t>
  </si>
  <si>
    <t>95 x 170 (AP095170)</t>
  </si>
  <si>
    <t>110 x 170 (AP110170)</t>
  </si>
  <si>
    <t>130 x 170 (AP130170)</t>
  </si>
  <si>
    <t>150 x 170 (AP150170)</t>
  </si>
  <si>
    <t>170 x 170 (AP170170)</t>
  </si>
  <si>
    <t>183 - 212 mm</t>
  </si>
  <si>
    <t>36 x 200 (AP036200)</t>
  </si>
  <si>
    <t>50 x 200 (AP050200)</t>
  </si>
  <si>
    <t>65 x 200 (AP065200)</t>
  </si>
  <si>
    <t>80 x 200 (AP080200)</t>
  </si>
  <si>
    <t>95 x 200 (AP095200)</t>
  </si>
  <si>
    <t>110 x 200 (AP110200)</t>
  </si>
  <si>
    <t>130 x 200 (AP130200)</t>
  </si>
  <si>
    <t>150 x 200 (AP150200)</t>
  </si>
  <si>
    <t>170 x 200 (AP170200)</t>
  </si>
  <si>
    <t>213 - 240 mm</t>
  </si>
  <si>
    <t>36 x 230 (AP036230)</t>
  </si>
  <si>
    <t>50 x 230 (AP050230)</t>
  </si>
  <si>
    <t>65 x 230 (AP065230)</t>
  </si>
  <si>
    <t>80 x 230 (AP080230)</t>
  </si>
  <si>
    <t>95 x 230 (AP095230)</t>
  </si>
  <si>
    <t>110 x 230 (AP110230)</t>
  </si>
  <si>
    <t>130 x 230 (AP130230)</t>
  </si>
  <si>
    <t>150 x 230 (AP150230)</t>
  </si>
  <si>
    <t>170 x 230 (AP170230)</t>
  </si>
  <si>
    <t>D43/T43</t>
  </si>
  <si>
    <t>D63/T63</t>
  </si>
  <si>
    <t>Label width 30 - 114 mm</t>
  </si>
  <si>
    <t>Label width 115 - 176 mm</t>
  </si>
  <si>
    <t>Power Supply 24V</t>
  </si>
  <si>
    <t>HOLDER TOUCH SCREEN COMPL</t>
  </si>
  <si>
    <t>CIRCUIT BREAKER</t>
  </si>
  <si>
    <t>Validation Scanner - Matrix 300N Bracket (Pallet)</t>
  </si>
  <si>
    <t>Validation Scanner - Matrix 300N Bracket (Carton)</t>
  </si>
  <si>
    <t>CAB-ETH-M05 M12-IP67 ETH 5M </t>
  </si>
  <si>
    <t>CAB-GD05 M12 PWR I/O F/L 5M </t>
  </si>
  <si>
    <t>Induct Scanner DS5100 Kit (inc CBX and cables)</t>
  </si>
  <si>
    <t>Systems Integration</t>
  </si>
  <si>
    <t>Enterprise (Budget only)</t>
  </si>
  <si>
    <t>Enterprise (ERP Integration - SAP, JDE)</t>
  </si>
  <si>
    <t>Manager Production Reporting Module per site (inc 3 line licenses)</t>
  </si>
  <si>
    <t>Manager Downtime Reporting Module per site (inc 3 line licenses)</t>
  </si>
  <si>
    <t>Manager iQV Reject Reporting Module per site (inc 3 line licenses)</t>
  </si>
  <si>
    <t>Manager Scoreboard Module Reporting Module per site (inc 3 line licenses)</t>
  </si>
  <si>
    <t>Manager Production Schedule Interface Module per site (inc 3 line licenses)</t>
  </si>
  <si>
    <t>MANAGER Production Line License (Per Line &gt; 3 Lines)</t>
  </si>
  <si>
    <t>EXPRESS to ENTERPRISE Upgrade</t>
  </si>
  <si>
    <t>M28-22</t>
  </si>
  <si>
    <t>M28-23</t>
  </si>
  <si>
    <t>T57244ANM</t>
  </si>
  <si>
    <t>T57245ANM</t>
  </si>
  <si>
    <t>T50RIZNFWS083360</t>
  </si>
  <si>
    <t>T50RIZNFWS130360</t>
  </si>
  <si>
    <t>13120085 KIT</t>
  </si>
  <si>
    <t>13120086 KIT</t>
  </si>
  <si>
    <t>SCREEN ARM SQR STAND</t>
  </si>
  <si>
    <t xml:space="preserve">MCA-1705024 </t>
  </si>
  <si>
    <t>A4860</t>
  </si>
  <si>
    <t>5612B162MATTHEWS</t>
  </si>
  <si>
    <t xml:space="preserve">27021519-01_C-01 </t>
  </si>
  <si>
    <t>93A050060</t>
  </si>
  <si>
    <t>93A051348</t>
  </si>
  <si>
    <t>DS5100-2320 LONG RANGE,ETH,OM</t>
  </si>
  <si>
    <t>CAB-ETH-M05 M12-IP67 ETHERNET CABLE (5M)</t>
  </si>
  <si>
    <t>CAB-DS05-S M12-IP67 TO CBX 5M</t>
  </si>
  <si>
    <t>CBX100 CONNECTION BOX COMPACT</t>
  </si>
  <si>
    <t>93A050077</t>
  </si>
  <si>
    <t>Induct Scanner DS5100 Bracket</t>
  </si>
  <si>
    <t>Mperia Software</t>
  </si>
  <si>
    <t>A100302</t>
  </si>
  <si>
    <t>T63 LPA Flexiwipe</t>
  </si>
  <si>
    <t>A100200</t>
  </si>
  <si>
    <t>Current Date</t>
  </si>
  <si>
    <t>Upgrade Enterprise V1 to V4</t>
  </si>
  <si>
    <t>Upgrade Enterprise V3 to V4</t>
  </si>
  <si>
    <t>Upgrade Enterprise - Custom Business Logic</t>
  </si>
  <si>
    <t>IDSnet Installation - Express Remote</t>
  </si>
  <si>
    <t>IDSnet Installation - Enterprise Onsite</t>
  </si>
  <si>
    <t>Express Software</t>
  </si>
  <si>
    <t>Scanner Driver - Validation</t>
  </si>
  <si>
    <t>Scanner Driver - Induct (Enterprise only)</t>
  </si>
  <si>
    <t>Hardware Driver - Express/Enterprise - CIJ</t>
  </si>
  <si>
    <t>Hardware Driver - Express/Enterprise - DOD</t>
  </si>
  <si>
    <t>Hardware Driver - Express/Enterprise - TTO</t>
  </si>
  <si>
    <t>Hardware Driver - Express/Enterprise - TIJ</t>
  </si>
  <si>
    <t>Hardware Driver - Express/Enterprise - LPA</t>
  </si>
  <si>
    <t>Hardware Driver - Express/Enterprise - LA</t>
  </si>
  <si>
    <t>Hardware Driver - Enterprise - LAS</t>
  </si>
  <si>
    <t>Hardware Driver - Enterprise - VIS</t>
  </si>
  <si>
    <t>Hardware Driver - Enterprise - CW</t>
  </si>
  <si>
    <t>Hardware Driver - Enterprise - xRay</t>
  </si>
  <si>
    <t>Hardware Driver - Enterprise - MD</t>
  </si>
  <si>
    <t>Controllers</t>
  </si>
  <si>
    <t>Hospital Station</t>
  </si>
  <si>
    <t>13090020</t>
  </si>
  <si>
    <t>10040052</t>
  </si>
  <si>
    <t>07010077</t>
  </si>
  <si>
    <t>12080010</t>
  </si>
  <si>
    <t>STAND - H W/TABEL FEET</t>
  </si>
  <si>
    <t xml:space="preserve">CORDLESS HAND SCNR </t>
  </si>
  <si>
    <t xml:space="preserve">SAP - Datamax DMX M4206 TT </t>
  </si>
  <si>
    <t>Software Support</t>
  </si>
  <si>
    <t>Carton D</t>
  </si>
  <si>
    <t>Carton - T</t>
  </si>
  <si>
    <t>K100130</t>
  </si>
  <si>
    <t>Mini-panel with 4 buttons &amp; Holder that allow mounting - Status beacon &amp; chassis.</t>
  </si>
  <si>
    <t>Horizontal Motorized Column (Aluminum adjustable from 350 - 550mm)  - Select Height Extension/Pivot Base if required</t>
  </si>
  <si>
    <t>23020062, 23020096, Part Num req</t>
  </si>
  <si>
    <t>Vertical Motorized Column (Adjustable from 1050 to 1500mm.) - Select Height Extension/Pivot Base if required</t>
  </si>
  <si>
    <t>Vertical Motorized Column (Aluminum adjustable from 650 -1050mm)  - Select Height Extension/Pivot Base if required</t>
  </si>
  <si>
    <t>Flexwipe Scanner Kit</t>
  </si>
  <si>
    <t>K100111</t>
  </si>
  <si>
    <t>iDSnet Controller Hardware</t>
  </si>
  <si>
    <t>10040032, 10020022</t>
  </si>
  <si>
    <t>GD4130-BK, 90G000008</t>
  </si>
  <si>
    <t>Corded Hand Scanner &amp; cable</t>
  </si>
  <si>
    <t>Manual Pallet Label Station</t>
  </si>
  <si>
    <t>Idsnet Portal Driver</t>
  </si>
  <si>
    <t>KD2004N00Y07</t>
  </si>
  <si>
    <t>MCA-1006014-0</t>
  </si>
  <si>
    <t>Components of the kit</t>
  </si>
  <si>
    <t>Essential Service Package</t>
  </si>
  <si>
    <t>Essential service plan</t>
  </si>
  <si>
    <t>Hardware Driver - Express/Enterprise - SAP</t>
  </si>
  <si>
    <t>Applicator Plate  110X140</t>
  </si>
  <si>
    <t>23020123</t>
  </si>
  <si>
    <t>AP110140</t>
  </si>
  <si>
    <t>P101566</t>
  </si>
  <si>
    <t>Holder tube D51 L560</t>
  </si>
  <si>
    <t>PG</t>
  </si>
  <si>
    <t>23010001</t>
  </si>
  <si>
    <t>23010003</t>
  </si>
  <si>
    <t>23010004</t>
  </si>
  <si>
    <t>23010007</t>
  </si>
  <si>
    <t>23020037</t>
  </si>
  <si>
    <t>23020023</t>
  </si>
  <si>
    <t>23020038</t>
  </si>
  <si>
    <t>23020090</t>
  </si>
  <si>
    <t>23020039</t>
  </si>
  <si>
    <t>23020041</t>
  </si>
  <si>
    <t>23020042</t>
  </si>
  <si>
    <t>23020171</t>
  </si>
  <si>
    <t>23020001</t>
  </si>
  <si>
    <t>23020180</t>
  </si>
  <si>
    <t>23020200</t>
  </si>
  <si>
    <t>23020145</t>
  </si>
  <si>
    <t>23020187</t>
  </si>
  <si>
    <t>LPA02</t>
  </si>
  <si>
    <t>23020222</t>
  </si>
  <si>
    <t>23020017</t>
  </si>
  <si>
    <t>23020044</t>
  </si>
  <si>
    <t>23020177</t>
  </si>
  <si>
    <t>IMP01</t>
  </si>
  <si>
    <t>12990026</t>
  </si>
  <si>
    <t>14020043</t>
  </si>
  <si>
    <t>14020054</t>
  </si>
  <si>
    <t>IMP02</t>
  </si>
  <si>
    <t>14020053</t>
  </si>
  <si>
    <t>14020056</t>
  </si>
  <si>
    <t>14020099</t>
  </si>
  <si>
    <t>23020045</t>
  </si>
  <si>
    <t>23020046</t>
  </si>
  <si>
    <t>23020047</t>
  </si>
  <si>
    <t>23020049</t>
  </si>
  <si>
    <t>23020050</t>
  </si>
  <si>
    <t>23020051</t>
  </si>
  <si>
    <t>23020052</t>
  </si>
  <si>
    <t>23020053</t>
  </si>
  <si>
    <t>23020056</t>
  </si>
  <si>
    <t>23020057</t>
  </si>
  <si>
    <t>23020058</t>
  </si>
  <si>
    <t>23020059</t>
  </si>
  <si>
    <t>23020060</t>
  </si>
  <si>
    <t>23020016</t>
  </si>
  <si>
    <t>23020007</t>
  </si>
  <si>
    <t>23020022</t>
  </si>
  <si>
    <t>23020061</t>
  </si>
  <si>
    <t>23020063</t>
  </si>
  <si>
    <t>23020014</t>
  </si>
  <si>
    <t>23020008</t>
  </si>
  <si>
    <t>23020009</t>
  </si>
  <si>
    <t>23020225</t>
  </si>
  <si>
    <t>23020064</t>
  </si>
  <si>
    <t>13090046</t>
  </si>
  <si>
    <t>13120076</t>
  </si>
  <si>
    <t>13090047</t>
  </si>
  <si>
    <t>04020021</t>
  </si>
  <si>
    <t>13020147</t>
  </si>
  <si>
    <t>ENG02</t>
  </si>
  <si>
    <t>23020095</t>
  </si>
  <si>
    <t>11060156</t>
  </si>
  <si>
    <t>11060152</t>
  </si>
  <si>
    <t>13120085</t>
  </si>
  <si>
    <t>13120086</t>
  </si>
  <si>
    <t>11060159</t>
  </si>
  <si>
    <t>11060038</t>
  </si>
  <si>
    <t>23020006</t>
  </si>
  <si>
    <t>23020065</t>
  </si>
  <si>
    <t>10020139</t>
  </si>
  <si>
    <t>10040152</t>
  </si>
  <si>
    <t>10040169</t>
  </si>
  <si>
    <t>DCD02</t>
  </si>
  <si>
    <t>13080198</t>
  </si>
  <si>
    <t>10020142</t>
  </si>
  <si>
    <t>10020149</t>
  </si>
  <si>
    <t>10030004</t>
  </si>
  <si>
    <t>18210027</t>
  </si>
  <si>
    <t>12080017</t>
  </si>
  <si>
    <t>12080009</t>
  </si>
  <si>
    <t>12080026</t>
  </si>
  <si>
    <t>12080011</t>
  </si>
  <si>
    <t>12990013</t>
  </si>
  <si>
    <t>12120002</t>
  </si>
  <si>
    <t>12990011</t>
  </si>
  <si>
    <t>13080094</t>
  </si>
  <si>
    <t>13020124</t>
  </si>
  <si>
    <t>10040032</t>
  </si>
  <si>
    <t>10040079</t>
  </si>
  <si>
    <t>10040076</t>
  </si>
  <si>
    <t>13120005</t>
  </si>
  <si>
    <t>10020069</t>
  </si>
  <si>
    <t>10020075</t>
  </si>
  <si>
    <t>10040059</t>
  </si>
  <si>
    <t>10040024</t>
  </si>
  <si>
    <t>10040069</t>
  </si>
  <si>
    <t>10040075</t>
  </si>
  <si>
    <t>10020065</t>
  </si>
  <si>
    <t>10020070</t>
  </si>
  <si>
    <t>10040043</t>
  </si>
  <si>
    <t>10040044</t>
  </si>
  <si>
    <t>13120026</t>
  </si>
  <si>
    <t>13120027</t>
  </si>
  <si>
    <t>13120028</t>
  </si>
  <si>
    <t>12990007</t>
  </si>
  <si>
    <t>12990002</t>
  </si>
  <si>
    <t>12990006</t>
  </si>
  <si>
    <t>12990003</t>
  </si>
  <si>
    <t>12990004</t>
  </si>
  <si>
    <t>10020022</t>
  </si>
  <si>
    <t>10040085</t>
  </si>
  <si>
    <t>10040082</t>
  </si>
  <si>
    <t>10040081</t>
  </si>
  <si>
    <t>10040084</t>
  </si>
  <si>
    <t>LPA01</t>
  </si>
  <si>
    <t>SFW06</t>
  </si>
  <si>
    <t>PST02</t>
  </si>
  <si>
    <t>LPA03</t>
  </si>
  <si>
    <t>LPA04</t>
  </si>
  <si>
    <t>IDS01</t>
  </si>
  <si>
    <t>SFW05</t>
  </si>
  <si>
    <t>SAP01</t>
  </si>
  <si>
    <t>Description / CPM Description</t>
  </si>
  <si>
    <t>Price (ea)</t>
  </si>
  <si>
    <t>Revenue Allocation</t>
  </si>
  <si>
    <t>Nett Disc</t>
  </si>
  <si>
    <t>Product Groups</t>
  </si>
  <si>
    <t>Revenue Allocations</t>
  </si>
  <si>
    <t>Other</t>
  </si>
  <si>
    <t>Expected Total</t>
  </si>
  <si>
    <t>Actual Final Total</t>
  </si>
  <si>
    <t>Adjusted Machine Cost</t>
  </si>
  <si>
    <t>Discount on machine</t>
  </si>
  <si>
    <t>Original PG</t>
  </si>
  <si>
    <t>LPA01 Assembly Remaining</t>
  </si>
  <si>
    <t>Total Amount</t>
  </si>
  <si>
    <t>Carton Model Impact</t>
  </si>
  <si>
    <t>Total Model Impact</t>
  </si>
  <si>
    <t>Pallet 43 Model Impact</t>
  </si>
  <si>
    <t>Pallet 63 Model Impact</t>
  </si>
  <si>
    <t>% Allocations for Assembly</t>
  </si>
  <si>
    <t>Amt</t>
  </si>
  <si>
    <t>Txt Alloc</t>
  </si>
  <si>
    <t>Carton Assembly</t>
  </si>
  <si>
    <t>Pallet 43 Assembly</t>
  </si>
  <si>
    <t>Pallet 63 Assembly</t>
  </si>
  <si>
    <t>Essential Service Pgk</t>
  </si>
  <si>
    <t>IDSnet Express</t>
  </si>
  <si>
    <t>iDSnet Express</t>
  </si>
  <si>
    <r>
      <rPr>
        <b/>
        <sz val="11"/>
        <color rgb="FFFF0000"/>
        <rFont val="Arial"/>
        <family val="2"/>
      </rPr>
      <t>iDSnet Express</t>
    </r>
    <r>
      <rPr>
        <b/>
        <sz val="11"/>
        <rFont val="Arial"/>
        <family val="2"/>
      </rPr>
      <t xml:space="preserve"> Software</t>
    </r>
  </si>
  <si>
    <r>
      <rPr>
        <b/>
        <sz val="11"/>
        <color rgb="FFFF0000"/>
        <rFont val="Arial"/>
        <family val="2"/>
      </rPr>
      <t>IDSnet Express:</t>
    </r>
    <r>
      <rPr>
        <b/>
        <sz val="11"/>
        <rFont val="Arial"/>
        <family val="2"/>
      </rPr>
      <t xml:space="preserve"> Drivers</t>
    </r>
  </si>
  <si>
    <t>IDSnet Enterprise</t>
  </si>
  <si>
    <t>Datacapture Assembly</t>
  </si>
  <si>
    <t>Engineering Assembly</t>
  </si>
  <si>
    <t>Assy Datamax</t>
  </si>
  <si>
    <r>
      <rPr>
        <b/>
        <sz val="11"/>
        <color theme="6" tint="-0.249977111117893"/>
        <rFont val="Arial"/>
        <family val="2"/>
      </rPr>
      <t>iDSnet Enterprise</t>
    </r>
    <r>
      <rPr>
        <b/>
        <sz val="11"/>
        <rFont val="Arial"/>
        <family val="2"/>
      </rPr>
      <t>: Drivers</t>
    </r>
  </si>
  <si>
    <r>
      <rPr>
        <b/>
        <sz val="11"/>
        <color theme="6" tint="-0.249977111117893"/>
        <rFont val="Arial"/>
        <family val="2"/>
      </rPr>
      <t>iDSnet Enterprise:</t>
    </r>
    <r>
      <rPr>
        <b/>
        <sz val="11"/>
        <rFont val="Arial"/>
        <family val="2"/>
      </rPr>
      <t xml:space="preserve"> Software</t>
    </r>
  </si>
  <si>
    <t>PG Assembly</t>
  </si>
  <si>
    <t>Capital Assembly</t>
  </si>
  <si>
    <t>Supplier#</t>
  </si>
  <si>
    <t>Matthews#</t>
  </si>
  <si>
    <t>Product Description</t>
  </si>
  <si>
    <t>Assembly</t>
  </si>
  <si>
    <t>Quantity Required</t>
  </si>
  <si>
    <t>x</t>
  </si>
  <si>
    <t>x3</t>
  </si>
  <si>
    <t>Show</t>
  </si>
  <si>
    <t>Picking List Summary</t>
  </si>
  <si>
    <t>Quantity Required.</t>
  </si>
  <si>
    <t>Sum of Nett Disc</t>
  </si>
  <si>
    <t>ACode</t>
  </si>
  <si>
    <t>Driver Licence Software</t>
  </si>
  <si>
    <t>Travel &amp; Accomodation</t>
  </si>
  <si>
    <t>Special Discount (Approved by Service)</t>
  </si>
  <si>
    <t>07030001</t>
  </si>
  <si>
    <t>Stand Welded Base 1500</t>
  </si>
  <si>
    <t>P101858</t>
  </si>
  <si>
    <t>E-Tamp Applicator 300 G2</t>
  </si>
  <si>
    <t>E-Tamp Applicator 500 G2</t>
  </si>
  <si>
    <t>E-Tamp Applicator 650 G2</t>
  </si>
  <si>
    <t>E-Tamp Applicator 850 G2</t>
  </si>
  <si>
    <t>A100501</t>
  </si>
  <si>
    <t xml:space="preserve">Refurb Kit T63 </t>
  </si>
  <si>
    <t>Refurb Kit D43/T43</t>
  </si>
  <si>
    <t>Printhead T63 300dpi 6"</t>
  </si>
  <si>
    <t>Printhead D43/T43 300dpi 4"</t>
  </si>
  <si>
    <t xml:space="preserve">Power Supply T43 &amp; T63 </t>
  </si>
  <si>
    <t>E-Wipe 90 Applicator G2 250 (Repeater) - L→R</t>
  </si>
  <si>
    <t>E-Wipe 90 Applicator G2 250 (Repeater) - R→L</t>
  </si>
  <si>
    <t>Wipe G2 250 Applicator &amp; Wipe G2 Arm 250 Fxd Compl</t>
  </si>
  <si>
    <t>23020230, 23020231</t>
  </si>
  <si>
    <t>K101250, A100551</t>
  </si>
  <si>
    <t>work days</t>
  </si>
  <si>
    <t>File Version #</t>
  </si>
  <si>
    <t>Installation Guide</t>
  </si>
  <si>
    <t>Project Summary</t>
  </si>
  <si>
    <t xml:space="preserve">Consumables: </t>
  </si>
  <si>
    <t>Final Price:</t>
  </si>
  <si>
    <t>Dute Date:</t>
  </si>
  <si>
    <t>Authorisation:</t>
  </si>
  <si>
    <t>IDS Upgrade:</t>
  </si>
  <si>
    <t>Financial Review</t>
  </si>
  <si>
    <t>Custom Parts:</t>
  </si>
  <si>
    <t>Bracketry 1:</t>
  </si>
  <si>
    <t>Bracketry 2:</t>
  </si>
  <si>
    <t>Mperia Admin:</t>
  </si>
  <si>
    <t>File Version:</t>
  </si>
  <si>
    <t>Accomodation Allowance - Per Day</t>
  </si>
  <si>
    <t>Additional Travel Allowance - Flights (Both ways)</t>
  </si>
  <si>
    <t>Product Code / CPM#</t>
  </si>
  <si>
    <t>Capital Assembly Details</t>
  </si>
  <si>
    <t xml:space="preserve">PCM Wall Mount Vesa 75/100 </t>
  </si>
  <si>
    <t>Holder Touch Screen Compl.</t>
  </si>
  <si>
    <t xml:space="preserve">Circuit Breaker </t>
  </si>
  <si>
    <t>Min Wireless N Usb Adap 300Mbs</t>
  </si>
  <si>
    <t>Plug 250V 10A 3F Pins</t>
  </si>
  <si>
    <t>JBox Assy</t>
  </si>
  <si>
    <t>JBox Holding Plate 4mm 304 2B</t>
  </si>
  <si>
    <t xml:space="preserve"> Evolabel Systems</t>
  </si>
  <si>
    <t>Alert Checklist</t>
  </si>
  <si>
    <t>Label Information</t>
  </si>
  <si>
    <t>Maximum</t>
  </si>
  <si>
    <t>Minimum</t>
  </si>
  <si>
    <t>Pallet System</t>
  </si>
  <si>
    <t>Carton System</t>
  </si>
  <si>
    <t>Height to label</t>
  </si>
  <si>
    <t>Applicator Distance</t>
  </si>
  <si>
    <t>Stroke Lth</t>
  </si>
  <si>
    <t>Conv Width</t>
  </si>
  <si>
    <t>Conv Height</t>
  </si>
  <si>
    <t>Height 2 Lbl</t>
  </si>
  <si>
    <t>CTO Serial #</t>
  </si>
  <si>
    <t>Product substrate</t>
  </si>
  <si>
    <t>Process Information</t>
  </si>
  <si>
    <t>Production Line 1</t>
  </si>
  <si>
    <t>Label Orientation</t>
  </si>
  <si>
    <t>Applicator Type</t>
  </si>
  <si>
    <t>Label Applicator Type</t>
  </si>
  <si>
    <t>Application of Label</t>
  </si>
  <si>
    <t>Label Sample</t>
  </si>
  <si>
    <t>Applicator Orientation</t>
  </si>
  <si>
    <t>Distance Applicator - Product</t>
  </si>
  <si>
    <t>Distance Applicator - CIM</t>
  </si>
  <si>
    <t>Distance CIM - Verification Scanner</t>
  </si>
  <si>
    <t>Distance CIM - Induct Scanner</t>
  </si>
  <si>
    <t>Assembly2</t>
  </si>
  <si>
    <t>(All)</t>
  </si>
  <si>
    <t>Label Sizes</t>
  </si>
  <si>
    <t>Printhead Type</t>
  </si>
  <si>
    <t>Applicator-Label Distance</t>
  </si>
  <si>
    <t>Line speed</t>
  </si>
  <si>
    <t>Production Line 2</t>
  </si>
  <si>
    <t>Throughput</t>
  </si>
  <si>
    <t>Product Pitch / Gap (Front apply)</t>
  </si>
  <si>
    <t>Temperature Range</t>
  </si>
  <si>
    <t>Environment</t>
  </si>
  <si>
    <t>Estimated Labels pa</t>
  </si>
  <si>
    <t>Add Weeks</t>
  </si>
  <si>
    <t>Weeks</t>
  </si>
  <si>
    <t>Days</t>
  </si>
  <si>
    <t>1 Week</t>
  </si>
  <si>
    <t>2 Weeks</t>
  </si>
  <si>
    <t>3 Weeks</t>
  </si>
  <si>
    <t>4 Weeks</t>
  </si>
  <si>
    <t>5 Weeks</t>
  </si>
  <si>
    <t>6 Weeks</t>
  </si>
  <si>
    <t>7 Weeks</t>
  </si>
  <si>
    <t>8 Weeks</t>
  </si>
  <si>
    <t>9 Weeks</t>
  </si>
  <si>
    <t>10 Weeks</t>
  </si>
  <si>
    <t>11 Weeks</t>
  </si>
  <si>
    <t>12 Weeks</t>
  </si>
  <si>
    <t>13 Weeks</t>
  </si>
  <si>
    <t>14 Weeks</t>
  </si>
  <si>
    <t>15 Weeks</t>
  </si>
  <si>
    <t>16 Weeks</t>
  </si>
  <si>
    <t>17 Weeks</t>
  </si>
  <si>
    <t>18 Weeks</t>
  </si>
  <si>
    <t>19 Weeks</t>
  </si>
  <si>
    <t>20 Weeks</t>
  </si>
  <si>
    <t>Carton / Product Sizes (mm)</t>
  </si>
  <si>
    <t>Label Material Type</t>
  </si>
  <si>
    <t>Estimated Ribbon</t>
  </si>
  <si>
    <t>Machine Type</t>
  </si>
  <si>
    <t>Label Type</t>
  </si>
  <si>
    <t>Matthews Part #</t>
  </si>
  <si>
    <t xml:space="preserve">Description </t>
  </si>
  <si>
    <t xml:space="preserve">Label T/T 100X30mm 3000  </t>
  </si>
  <si>
    <t xml:space="preserve">Label T/T 104X55mm 10000  </t>
  </si>
  <si>
    <t xml:space="preserve">Label T/T 203X297mm 500  </t>
  </si>
  <si>
    <t xml:space="preserve">Label T/T 60X30mm 39Core 14K  </t>
  </si>
  <si>
    <t xml:space="preserve">Label T/T 104X60mm 9000  </t>
  </si>
  <si>
    <t xml:space="preserve">Label T/T 70X100mm 4000 TTR  </t>
  </si>
  <si>
    <t xml:space="preserve">Label T/T 148X210mm 700  </t>
  </si>
  <si>
    <t xml:space="preserve">Label T/T 30X60mm 6000  </t>
  </si>
  <si>
    <t xml:space="preserve">Label T/T Syn 30X60mm 6000  </t>
  </si>
  <si>
    <t xml:space="preserve">Label T/T 90X50mm 2500  </t>
  </si>
  <si>
    <t xml:space="preserve">Label T/T Pp 104X140mm 3000  </t>
  </si>
  <si>
    <t xml:space="preserve">Label T/T 100X70mm 1000  </t>
  </si>
  <si>
    <t xml:space="preserve">Label T/T 150X100mm Wel 4400  </t>
  </si>
  <si>
    <t xml:space="preserve">Label T/T 57X33mm Remov 2000  </t>
  </si>
  <si>
    <t xml:space="preserve">Label T/T 100X98mm Orange 1500  </t>
  </si>
  <si>
    <t xml:space="preserve">Label T/T 100X98mm Green 1500  </t>
  </si>
  <si>
    <t xml:space="preserve">Label T/T 100X98mm Red 1500  </t>
  </si>
  <si>
    <t xml:space="preserve">Label T/T 100X80mm Pe Syn 4000  </t>
  </si>
  <si>
    <t xml:space="preserve">Label T/T 57X33mm Rem Yel 2000  </t>
  </si>
  <si>
    <t xml:space="preserve">Label T/T Syn 110X117 1000  </t>
  </si>
  <si>
    <t xml:space="preserve">Label T/T Gls 80X25mm 5000  </t>
  </si>
  <si>
    <t xml:space="preserve">Label T/T Freezer 104X75mm6000  </t>
  </si>
  <si>
    <t xml:space="preserve">Label T/T 110X58mm Perf 800  </t>
  </si>
  <si>
    <t xml:space="preserve">Label T/T 150X99mm Poly 1000  </t>
  </si>
  <si>
    <t xml:space="preserve">Label T/T150X200mm Poly Perf  </t>
  </si>
  <si>
    <t xml:space="preserve">Label T/T 95X12mm White PP 1000  </t>
  </si>
  <si>
    <t xml:space="preserve">Label T/T 99X127mm White 1000  </t>
  </si>
  <si>
    <t xml:space="preserve">Label T/T 99X127mm Tinted Blue 1000  </t>
  </si>
  <si>
    <t xml:space="preserve">Label T/T 99X127mm Tinted Green 1000  </t>
  </si>
  <si>
    <t>Label D/T 104X152mm 1000 </t>
  </si>
  <si>
    <t>Label D/T 100X50mm 5000 </t>
  </si>
  <si>
    <t>Label D/T 90X50mm 5000 </t>
  </si>
  <si>
    <t>Label D/T 90X50mm 10000 </t>
  </si>
  <si>
    <t>Label D/T 100X50mm 15000 </t>
  </si>
  <si>
    <t>Label D/T 104X52mm 5000 </t>
  </si>
  <si>
    <t>Label D/T 100X50mm 10000 </t>
  </si>
  <si>
    <t>Label D/T 100X70mm 7000 C58 </t>
  </si>
  <si>
    <t>Label D/T 104X75mm Fg 10000 </t>
  </si>
  <si>
    <t>Label D/T 104X75mm Fg 1000 </t>
  </si>
  <si>
    <t>Label D/T 104X55mm 5000 </t>
  </si>
  <si>
    <t>Label D/T 104X55mm 1000 </t>
  </si>
  <si>
    <t>Label D/T 150X210mm 1000 </t>
  </si>
  <si>
    <t>Label D/T 70X24mm C58 5000 </t>
  </si>
  <si>
    <t>Label D/T 104X152mm Freezer </t>
  </si>
  <si>
    <t>Label D/T 104X167mm 1000 </t>
  </si>
  <si>
    <t>Label D/T 104X75mm 10000 </t>
  </si>
  <si>
    <t>Label D/T 104X75mm 2000 </t>
  </si>
  <si>
    <t>Label D/T 104X55mm 3000 </t>
  </si>
  <si>
    <t>Label D/T 102 X101mm Fg 4000 </t>
  </si>
  <si>
    <t>Label D/T 100X174mm 3000 </t>
  </si>
  <si>
    <t>Label D/T 100X174mm 1000 </t>
  </si>
  <si>
    <t>Label D/T 100X174mm 3000 Yel </t>
  </si>
  <si>
    <t>Label D/T 90X160mm 5K </t>
  </si>
  <si>
    <t>Label D/T 38X32mm 5000 </t>
  </si>
  <si>
    <t>Label D/T 73X143mm 1000 </t>
  </si>
  <si>
    <t>Label D/T 75X50mm 3000 </t>
  </si>
  <si>
    <t>Label D/T 57X23mm Wel 1000 </t>
  </si>
  <si>
    <t>Label D/T 104X152mm 3000 </t>
  </si>
  <si>
    <t>Label D/T 90X50mm 8000 </t>
  </si>
  <si>
    <t>Label D/T 104X73mm White 6000 </t>
  </si>
  <si>
    <t>Label D/T 104X73mm Pink 5500 </t>
  </si>
  <si>
    <t>Label D/T 104X55mm 10000 </t>
  </si>
  <si>
    <t>Label D/T Fg 104X55mm 10000 </t>
  </si>
  <si>
    <t>Label D/T 25X35mm 4000 </t>
  </si>
  <si>
    <t>Label D/T 45X40mm 15000 </t>
  </si>
  <si>
    <t>Label D/T 70X70mm 5000 </t>
  </si>
  <si>
    <t>Label D/T 99X149Frz Perf1000 </t>
  </si>
  <si>
    <t>Label D/T 152X104mm 3000 </t>
  </si>
  <si>
    <t>Label D/T 152X104mm 3600 </t>
  </si>
  <si>
    <t>Label D/T Yellow 104X75mm </t>
  </si>
  <si>
    <t>Label D/T Yellow 104X152mm </t>
  </si>
  <si>
    <t>Label D/T Yellow 102X48mm 250 </t>
  </si>
  <si>
    <t>Label D/T 104X75mm 6000 </t>
  </si>
  <si>
    <t>Label D/T 100X70mm Green 7000 </t>
  </si>
  <si>
    <t>Label D/T38X32mm 2 Across 4000 </t>
  </si>
  <si>
    <t>Label D/T 100X115mm 3000 </t>
  </si>
  <si>
    <t>Label D/T 102X99mm 1500 Roll </t>
  </si>
  <si>
    <t>Label D/T 70X70mm Uc Blnk 2000 </t>
  </si>
  <si>
    <t>Label D/T 125X176mm 1000 Roll </t>
  </si>
  <si>
    <t>Label D/T 104X152mm Perf 1000 </t>
  </si>
  <si>
    <t>Label D/T 100X100mm Blank 3000 </t>
  </si>
  <si>
    <t>Label D/T100X100mm Yellow 3000 </t>
  </si>
  <si>
    <t>Label D/T 100X30mm 3000 </t>
  </si>
  <si>
    <t>Label D/T 104X55mm Blue PMs292 </t>
  </si>
  <si>
    <t>Label D/T 104X55mm Yel PMs803 </t>
  </si>
  <si>
    <t>Label D/T 104X55mm Pink PMs807 </t>
  </si>
  <si>
    <t>Label D/T 104X55mm Grn PMs353 </t>
  </si>
  <si>
    <t>Label D/T 85X80mm Pink Coles </t>
  </si>
  <si>
    <t>Label D/T Coco Pops Barcode </t>
  </si>
  <si>
    <t>Label D/T 2 In 1 75 X100-25 </t>
  </si>
  <si>
    <t>Label D/T100X174mm Yel Strp 2K </t>
  </si>
  <si>
    <t>Label D/T 104X55mm Orang 5K </t>
  </si>
  <si>
    <t xml:space="preserve">TT100X30mm </t>
  </si>
  <si>
    <t xml:space="preserve">MATRO07989 </t>
  </si>
  <si>
    <t xml:space="preserve">MATRO08554 </t>
  </si>
  <si>
    <t xml:space="preserve">MATRO09075 </t>
  </si>
  <si>
    <t xml:space="preserve">MATRO09176 </t>
  </si>
  <si>
    <t xml:space="preserve">MATRO09178 </t>
  </si>
  <si>
    <t xml:space="preserve">MATRO09648 </t>
  </si>
  <si>
    <t xml:space="preserve">MATRO10101 </t>
  </si>
  <si>
    <t xml:space="preserve">Quote 501835/112099 </t>
  </si>
  <si>
    <t xml:space="preserve">Quote 502146/112452 </t>
  </si>
  <si>
    <t xml:space="preserve">Quote 502147/112453 </t>
  </si>
  <si>
    <t>M28-15</t>
  </si>
  <si>
    <t>M28-12</t>
  </si>
  <si>
    <t>M28-13</t>
  </si>
  <si>
    <t>M28-03</t>
  </si>
  <si>
    <t>M28-11</t>
  </si>
  <si>
    <t>M28-04</t>
  </si>
  <si>
    <t>M28-53</t>
  </si>
  <si>
    <t>M28-65</t>
  </si>
  <si>
    <t>M28-65A</t>
  </si>
  <si>
    <t>M28-76</t>
  </si>
  <si>
    <t>M28-79</t>
  </si>
  <si>
    <t>M28-74</t>
  </si>
  <si>
    <t>M28-85</t>
  </si>
  <si>
    <t>M28-86</t>
  </si>
  <si>
    <t>M28-89</t>
  </si>
  <si>
    <t>M28-92</t>
  </si>
  <si>
    <t>M28-92-2000</t>
  </si>
  <si>
    <t>M28-96</t>
  </si>
  <si>
    <t>M28-102</t>
  </si>
  <si>
    <t>M28-108</t>
  </si>
  <si>
    <t>M28-113</t>
  </si>
  <si>
    <t>M28-123</t>
  </si>
  <si>
    <t>M28-125</t>
  </si>
  <si>
    <t>M28-126</t>
  </si>
  <si>
    <t>M28-TBA</t>
  </si>
  <si>
    <t>M28-127</t>
  </si>
  <si>
    <t>M28-128</t>
  </si>
  <si>
    <t>M28-138</t>
  </si>
  <si>
    <t>M28-140</t>
  </si>
  <si>
    <t>M28-139</t>
  </si>
  <si>
    <t>MATRO06743</t>
  </si>
  <si>
    <t>MATRO07005</t>
  </si>
  <si>
    <t>MATRO08824</t>
  </si>
  <si>
    <t>MATRO08825</t>
  </si>
  <si>
    <t>MATRO09784</t>
  </si>
  <si>
    <t>MATRO10222</t>
  </si>
  <si>
    <t>MATRO10223</t>
  </si>
  <si>
    <t>MATRO10443</t>
  </si>
  <si>
    <t>DT100X30mm</t>
  </si>
  <si>
    <t>M28-103</t>
  </si>
  <si>
    <t>M28-104</t>
  </si>
  <si>
    <t>M28-105</t>
  </si>
  <si>
    <t>M28-107</t>
  </si>
  <si>
    <t>M28-114</t>
  </si>
  <si>
    <t>M28-115</t>
  </si>
  <si>
    <t>M28-111</t>
  </si>
  <si>
    <t>M28-116</t>
  </si>
  <si>
    <t>M28-117</t>
  </si>
  <si>
    <t xml:space="preserve"> m/min</t>
  </si>
  <si>
    <t xml:space="preserve"> mm</t>
  </si>
  <si>
    <t xml:space="preserve"> products / minute</t>
  </si>
  <si>
    <t xml:space="preserve"> celcius</t>
  </si>
  <si>
    <t>23020022, 23020211</t>
  </si>
  <si>
    <t>23020061, 23020211</t>
  </si>
  <si>
    <t>23020062, 23020096, 23020211</t>
  </si>
  <si>
    <t>A100255, A100436, A100482, C100106</t>
  </si>
  <si>
    <t>A100292, C100106</t>
  </si>
  <si>
    <t>A100291, C100106</t>
  </si>
  <si>
    <t>Additional - Installation</t>
  </si>
  <si>
    <t>Induct Scanner Pole (Oscillating Scanners)</t>
  </si>
  <si>
    <t>MCA-1101006</t>
  </si>
  <si>
    <t>41057665, 41039350</t>
  </si>
  <si>
    <t>41057665, 41039351</t>
  </si>
  <si>
    <t>41057666, 41039350</t>
  </si>
  <si>
    <t>41057666, 41039351</t>
  </si>
  <si>
    <t>41204998, 41039404</t>
  </si>
  <si>
    <t>Min wireless USB</t>
  </si>
  <si>
    <t>Push button enclosure</t>
  </si>
  <si>
    <t>E-stop button</t>
  </si>
  <si>
    <t>Rotary Switch</t>
  </si>
  <si>
    <t>Push button</t>
  </si>
  <si>
    <t>New Price</t>
  </si>
  <si>
    <t>Impact</t>
  </si>
  <si>
    <t>K103250, A100536</t>
  </si>
  <si>
    <t>23020224, 23020251</t>
  </si>
  <si>
    <t>K102250, A100536</t>
  </si>
  <si>
    <t>23020235, 23020251</t>
  </si>
  <si>
    <t>K100113</t>
  </si>
  <si>
    <t>Location</t>
  </si>
  <si>
    <t>CRM</t>
  </si>
  <si>
    <t>Document Name / Description</t>
  </si>
  <si>
    <t>Additional Supporting Documentation</t>
  </si>
  <si>
    <t>Document Number</t>
  </si>
  <si>
    <t>Special Payment Terms</t>
  </si>
  <si>
    <t>Authorised By</t>
  </si>
  <si>
    <t>Terms</t>
  </si>
  <si>
    <t>Terms %</t>
  </si>
  <si>
    <t>Security Deposit</t>
  </si>
  <si>
    <t>Prior to Goods Dispatch</t>
  </si>
  <si>
    <t>30 days From Dispatch</t>
  </si>
  <si>
    <t>Payment Terms</t>
  </si>
  <si>
    <t>Payment Error</t>
  </si>
  <si>
    <t>Validation Scanner - Matrix 300N - LQL 9mm</t>
  </si>
  <si>
    <t>Validation Scanner - Matrix 300N - LNS 16mm</t>
  </si>
  <si>
    <t>CAB-ETH-M05 M12-IP67 ETH 10M </t>
  </si>
  <si>
    <t>93A051391</t>
  </si>
  <si>
    <t>CAB-GD05 M12 PWR I/O F/L 10M </t>
  </si>
  <si>
    <t>12080050</t>
  </si>
  <si>
    <t>PANEL PC 15" IP65 SS TFT  (inc 12v Power supply)</t>
  </si>
  <si>
    <t>12990026, 10020146</t>
  </si>
  <si>
    <t>R15IB3S-65C3/PT/W8, 20191602</t>
  </si>
  <si>
    <t>23020143</t>
  </si>
  <si>
    <t>AP110070</t>
  </si>
  <si>
    <t>Total Price</t>
  </si>
  <si>
    <t>Unit Price</t>
  </si>
  <si>
    <t>Assembly Type</t>
  </si>
  <si>
    <t>Custom Configurations - Capital LPA's</t>
  </si>
  <si>
    <t>Marking Station 43 Series</t>
  </si>
  <si>
    <t>Marking Station 63 Series</t>
  </si>
  <si>
    <t>Custom Capital:</t>
  </si>
  <si>
    <t>Recommended for pallet E-Tamp 650 &amp; Above</t>
  </si>
  <si>
    <t>Recommended for carton tamp applicator.</t>
  </si>
  <si>
    <t>Detailed Information</t>
  </si>
  <si>
    <t xml:space="preserve">IDSnet Installation – Enterprise Onsite </t>
  </si>
  <si>
    <t>IDSnet Install (Onsite)</t>
  </si>
  <si>
    <t>Product Description (pls add supplier# into description)</t>
  </si>
  <si>
    <t>(blank)</t>
  </si>
  <si>
    <t xml:space="preserve"> Total</t>
  </si>
  <si>
    <t>Not Required Yet</t>
  </si>
  <si>
    <t>Variance</t>
  </si>
  <si>
    <t>Marking Station, A-Series &amp; Spare Parts</t>
  </si>
  <si>
    <t>Capital Issue</t>
  </si>
  <si>
    <t>Description &amp; Supplier Part Number</t>
  </si>
  <si>
    <t>Allocated Capital For PM Calc</t>
  </si>
  <si>
    <t>Remaining Capital</t>
  </si>
  <si>
    <t>Revenue</t>
  </si>
  <si>
    <t>Evolabel Part.No</t>
  </si>
  <si>
    <t>This configuration print and apply products from above and from below. Two touch screens and two status beacons are included. The upper Print&amp;Apply module is electrically adjusted in height.  
Production direction: From left to right
Label apply from above: D43-blow
Label apply from below: D43-pluck 
Print technology: Direct thermal 
Conveyor belt width: 160 mm 
Conveyor height from the floor: 800 – 1200 mm
Total width: 1050  mm +/- 20 mm
Allowed product heights: 0 – 500 mm
Maximum product : Specify on order 
Label dimensions from below (WxL mm): 
49 x 49 to 118 x 240, specify on order, (max print width = 108 mm)
Label dimensions from above (WxL mm): 
35 x 35 to 100 x 100 mm</t>
  </si>
  <si>
    <t>JBOX LARGE ASSY</t>
  </si>
  <si>
    <t>Custom Applicator Pad - Approved by Product Mgr</t>
  </si>
  <si>
    <t>Customer Specific Applicator Pad Chart</t>
  </si>
  <si>
    <t>Customer Specific App Plate x 4" - refer install guide</t>
  </si>
  <si>
    <t>Customer Specific App Plate x 6" - refer install guide</t>
  </si>
  <si>
    <t>missing</t>
  </si>
  <si>
    <t>A100499</t>
  </si>
  <si>
    <t>A100500</t>
  </si>
  <si>
    <t>23020235, 23020270</t>
  </si>
  <si>
    <t>23020224, 23020270</t>
  </si>
  <si>
    <t>Beacon B/A/G</t>
  </si>
  <si>
    <t>Beacon Audible B/A/G</t>
  </si>
  <si>
    <t>LCE-302FB-BAG</t>
  </si>
  <si>
    <t>Beacon R/A/G</t>
  </si>
  <si>
    <t>LCE-302-RYG</t>
  </si>
  <si>
    <t>Beacon Audible B/A/G/R/W</t>
  </si>
  <si>
    <t>Mini CIM V2</t>
  </si>
  <si>
    <t>CIM V7 Carton &amp; Pallet</t>
  </si>
  <si>
    <t>zx</t>
  </si>
  <si>
    <t>Applicator Pad 101X50 BlowVac </t>
  </si>
  <si>
    <t>Applicator Pad 104X55 BlowVac </t>
  </si>
  <si>
    <t>Applicator Pad 104X74 </t>
  </si>
  <si>
    <t>Applicator Pad 110X110 </t>
  </si>
  <si>
    <t>Applicator Pad 110X140 </t>
  </si>
  <si>
    <t>Applicator Pad 110X170 </t>
  </si>
  <si>
    <t>Applicator Pad 110X200 </t>
  </si>
  <si>
    <t>Applicator Pad 110X50 </t>
  </si>
  <si>
    <t>Applicator Pad 110X70 </t>
  </si>
  <si>
    <t>Applicator Pad 110X90 </t>
  </si>
  <si>
    <t>AP100046</t>
  </si>
  <si>
    <t>AP100088</t>
  </si>
  <si>
    <t>AP100010</t>
  </si>
  <si>
    <t>AP110110</t>
  </si>
  <si>
    <t>AP110170</t>
  </si>
  <si>
    <t>AP110200</t>
  </si>
  <si>
    <t>AP110050</t>
  </si>
  <si>
    <t>AP110090</t>
  </si>
  <si>
    <t>Applicator Pad 130 x 90 </t>
  </si>
  <si>
    <t>Applicator Pad 130mm x 110mm </t>
  </si>
  <si>
    <t>Applicator Pad 130mm x 33mm </t>
  </si>
  <si>
    <t>Applicator Pad 130X140 </t>
  </si>
  <si>
    <t>Applicator Pad 130X170 </t>
  </si>
  <si>
    <t>Applicator Pad 150X200 </t>
  </si>
  <si>
    <t>Applicator Pad 150X210 </t>
  </si>
  <si>
    <t>Applicator Pad 150X230 </t>
  </si>
  <si>
    <t>Applicator Pad 150X33 </t>
  </si>
  <si>
    <t>Applicator Pad 150X50 </t>
  </si>
  <si>
    <t>Applicator Pad 150X70 </t>
  </si>
  <si>
    <t>Applicator Pad 150X90 </t>
  </si>
  <si>
    <t>Applicator Pad 152x101 BlowVac </t>
  </si>
  <si>
    <t>Applicator Pad 165X60 </t>
  </si>
  <si>
    <t>Applicator Pad 170 x 33 </t>
  </si>
  <si>
    <t>Applicator Pad 170x70 </t>
  </si>
  <si>
    <t>Applicator Pad 170x90 </t>
  </si>
  <si>
    <t>AP130090</t>
  </si>
  <si>
    <t>AP130110</t>
  </si>
  <si>
    <t>AP130033</t>
  </si>
  <si>
    <t>AP130140</t>
  </si>
  <si>
    <t>AP130170</t>
  </si>
  <si>
    <t>AP150200</t>
  </si>
  <si>
    <t>AP100064</t>
  </si>
  <si>
    <t>AP150230</t>
  </si>
  <si>
    <t>AP150033</t>
  </si>
  <si>
    <t>AP150050</t>
  </si>
  <si>
    <t>AP150070</t>
  </si>
  <si>
    <t>AP150090</t>
  </si>
  <si>
    <t>AP100040</t>
  </si>
  <si>
    <t>AP170033</t>
  </si>
  <si>
    <t>AP170070</t>
  </si>
  <si>
    <t>AP170090</t>
  </si>
  <si>
    <t>Applicator Pad 30X100 </t>
  </si>
  <si>
    <t>Applicator Pad 50x170 </t>
  </si>
  <si>
    <t>Applicator Pad 50X90 </t>
  </si>
  <si>
    <t>Applicator Pad 65X40 </t>
  </si>
  <si>
    <t>Applicator Pad 65X50 </t>
  </si>
  <si>
    <t>Applicator Pad 65X70 </t>
  </si>
  <si>
    <t>Applicator Pad 70X30 </t>
  </si>
  <si>
    <t>Applicator Pad 80X33 </t>
  </si>
  <si>
    <t>Applicator Pad 80X50 </t>
  </si>
  <si>
    <t>Applicator Pad 95X110 </t>
  </si>
  <si>
    <t>Applicator Pad 95X140 </t>
  </si>
  <si>
    <t>Applicator Pad 95X50 </t>
  </si>
  <si>
    <t>Applicator Pad 95X70 </t>
  </si>
  <si>
    <t>Applicator Pad 95X90 </t>
  </si>
  <si>
    <t>AP100096</t>
  </si>
  <si>
    <t>AP050170</t>
  </si>
  <si>
    <t>AP050090</t>
  </si>
  <si>
    <t>AP065140</t>
  </si>
  <si>
    <t>AP065050</t>
  </si>
  <si>
    <t>AP065070</t>
  </si>
  <si>
    <t>AP100104</t>
  </si>
  <si>
    <t>AP080033</t>
  </si>
  <si>
    <t>AP080050</t>
  </si>
  <si>
    <t>AP095110</t>
  </si>
  <si>
    <t>AP095140</t>
  </si>
  <si>
    <t>AP095050</t>
  </si>
  <si>
    <t>AP095070</t>
  </si>
  <si>
    <t>AP095090</t>
  </si>
  <si>
    <t xml:space="preserve">12990033 </t>
  </si>
  <si>
    <t>AB PLC CAB TUN 8PORT</t>
  </si>
  <si>
    <t xml:space="preserve">CPM </t>
  </si>
  <si>
    <t xml:space="preserve">iDSnet </t>
  </si>
  <si>
    <t>PM9500 - p/n 10040158, 10040159, - DL p/n 15N120150N</t>
  </si>
  <si>
    <t>iDSnet for PM9500</t>
  </si>
  <si>
    <t>M4206</t>
  </si>
  <si>
    <t>inkjet</t>
  </si>
  <si>
    <t>laser</t>
  </si>
  <si>
    <t>install</t>
  </si>
  <si>
    <t>delivery</t>
  </si>
  <si>
    <t>DA190722.03</t>
  </si>
  <si>
    <t>Nu-Pure Beverages (STAPYLTON) | DA190722.03 | LPA - Label Printer Applicator</t>
  </si>
  <si>
    <t>Bruce Taylor</t>
  </si>
  <si>
    <t>Nu-Pure Beverages (STAPYLTON)</t>
  </si>
  <si>
    <t>0411 441 885</t>
  </si>
  <si>
    <t>bruce.taylor@nu-pure.com.au</t>
  </si>
  <si>
    <t>Operations Manager</t>
  </si>
  <si>
    <t>QLD S</t>
  </si>
  <si>
    <t>NSW W</t>
  </si>
  <si>
    <t>Existing Customer</t>
  </si>
  <si>
    <t>C02662</t>
  </si>
  <si>
    <t>327-335 Burley Road
Horsley Park NSW</t>
  </si>
  <si>
    <t xml:space="preserve">Payment Terms 20% Net 30 days from Purchase order acceptance
20% Net 30 days from Submission of Certified Drawings 50% Net 30 days from On-site Delivery
10% After completion of system acceptance and sign off by Plant Manager within 30days of Installation.
</t>
  </si>
  <si>
    <t>Feb 2020 to be confirmed</t>
  </si>
  <si>
    <t>height extention base custom - Rakesh to supply quote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</si>
</sst>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1" formatCode="_(* #,##0_);_(* \(#,##0\);_(* &quot;-&quot;_);_(@_)"/>
    <numFmt numFmtId="164" formatCode="&quot;$&quot;#,##0;[Red]\-&quot;$&quot;#,##0"/>
    <numFmt numFmtId="165" formatCode="_-&quot;$&quot;* #,##0.00_-;\-&quot;$&quot;* #,##0.00_-;_-&quot;$&quot;* &quot;-&quot;??_-;_-@_-"/>
    <numFmt numFmtId="166" formatCode="_-* #,##0.00_-;\-* #,##0.00_-;_-* &quot;-&quot;??_-;_-@_-"/>
    <numFmt numFmtId="167" formatCode="&quot;$&quot;#,##0.00"/>
    <numFmt numFmtId="168" formatCode="_-&quot;$&quot;* #,##0_-;\-&quot;$&quot;* #,##0_-;_-&quot;$&quot;* &quot;-&quot;??_-;_-@_-"/>
    <numFmt numFmtId="169" formatCode="&quot;$&quot;#,##0"/>
    <numFmt numFmtId="170" formatCode="_-* #,##0_-;\-* #,##0_-;_-* &quot;-&quot;??_-;_-@_-"/>
    <numFmt numFmtId="171" formatCode="0.0%"/>
    <numFmt numFmtId="172" formatCode="0.000%"/>
    <numFmt numFmtId="173" formatCode="0.0000%"/>
    <numFmt numFmtId="174" formatCode="#,##0_ ;\-#,##0\ "/>
    <numFmt numFmtId="175" formatCode="0.000000%"/>
    <numFmt numFmtId="176" formatCode="0.000000000000%"/>
  </numFmts>
  <fonts count="114" x14ac:knownFonts="1">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b/>
      <sz val="18"/>
      <name val="Arial"/>
      <family val="2"/>
    </font>
    <font>
      <sz val="10"/>
      <name val="Arial"/>
      <family val="2"/>
    </font>
    <font>
      <b/>
      <u/>
      <sz val="10"/>
      <name val="Arial"/>
      <family val="2"/>
    </font>
    <font>
      <b/>
      <sz val="12"/>
      <name val="Arial"/>
      <family val="2"/>
    </font>
    <font>
      <i/>
      <sz val="10"/>
      <name val="Arial"/>
      <family val="2"/>
    </font>
    <font>
      <b/>
      <sz val="11"/>
      <color theme="5" tint="-0.249977111117893"/>
      <name val="Arial"/>
      <family val="2"/>
    </font>
    <font>
      <sz val="10"/>
      <color rgb="FFFF0000"/>
      <name val="Arial"/>
      <family val="2"/>
    </font>
    <font>
      <b/>
      <sz val="20"/>
      <name val="Arial"/>
      <family val="2"/>
    </font>
    <font>
      <b/>
      <sz val="10"/>
      <color rgb="FFFF0000"/>
      <name val="Arial"/>
      <family val="2"/>
    </font>
    <font>
      <b/>
      <i/>
      <sz val="10"/>
      <name val="Arial"/>
      <family val="2"/>
    </font>
    <font>
      <b/>
      <sz val="12"/>
      <color rgb="FFFF0000"/>
      <name val="Arial"/>
      <family val="2"/>
    </font>
    <font>
      <b/>
      <sz val="11"/>
      <name val="Arial"/>
      <family val="2"/>
    </font>
    <font>
      <b/>
      <sz val="8"/>
      <name val="Arial"/>
      <family val="2"/>
    </font>
    <font>
      <sz val="10"/>
      <color theme="0" tint="-0.14999847407452621"/>
      <name val="Arial"/>
      <family val="2"/>
    </font>
    <font>
      <sz val="10"/>
      <color theme="0"/>
      <name val="Arial"/>
      <family val="2"/>
    </font>
    <font>
      <b/>
      <sz val="9"/>
      <name val="Arial"/>
      <family val="2"/>
    </font>
    <font>
      <b/>
      <i/>
      <sz val="10"/>
      <color theme="6" tint="-0.249977111117893"/>
      <name val="Arial"/>
      <family val="2"/>
    </font>
    <font>
      <b/>
      <sz val="11"/>
      <color theme="1" tint="0.14999847407452621"/>
      <name val="Arial"/>
      <family val="2"/>
    </font>
    <font>
      <sz val="10"/>
      <name val="Arial"/>
      <family val="2"/>
    </font>
    <font>
      <b/>
      <i/>
      <sz val="9"/>
      <color rgb="FFFF0000"/>
      <name val="Arial"/>
      <family val="2"/>
    </font>
    <font>
      <b/>
      <sz val="9"/>
      <color theme="5" tint="-0.249977111117893"/>
      <name val="Arial"/>
      <family val="2"/>
    </font>
    <font>
      <sz val="10"/>
      <color rgb="FF000000"/>
      <name val="Arial"/>
      <family val="2"/>
    </font>
    <font>
      <i/>
      <sz val="9"/>
      <name val="Arial"/>
      <family val="2"/>
    </font>
    <font>
      <sz val="9"/>
      <name val="Arial"/>
      <family val="2"/>
    </font>
    <font>
      <b/>
      <sz val="14"/>
      <color theme="5" tint="-0.249977111117893"/>
      <name val="Arial"/>
      <family val="2"/>
    </font>
    <font>
      <b/>
      <sz val="14"/>
      <color theme="1"/>
      <name val="Calibri"/>
      <family val="2"/>
      <scheme val="minor"/>
    </font>
    <font>
      <sz val="10"/>
      <color indexed="8"/>
      <name val="Calibri"/>
      <family val="2"/>
      <scheme val="minor"/>
    </font>
    <font>
      <b/>
      <sz val="16"/>
      <name val="Arial"/>
      <family val="2"/>
    </font>
    <font>
      <b/>
      <sz val="10"/>
      <name val="Calibri"/>
      <family val="2"/>
      <scheme val="minor"/>
    </font>
    <font>
      <b/>
      <sz val="10"/>
      <color theme="0"/>
      <name val="Arial"/>
      <family val="2"/>
    </font>
    <font>
      <sz val="9"/>
      <color theme="0"/>
      <name val="Arial"/>
      <family val="2"/>
    </font>
    <font>
      <sz val="9"/>
      <name val="Cambria"/>
      <family val="1"/>
      <scheme val="major"/>
    </font>
    <font>
      <b/>
      <i/>
      <u/>
      <sz val="11"/>
      <color rgb="FFFF0000"/>
      <name val="Arial"/>
      <family val="2"/>
    </font>
    <font>
      <sz val="10"/>
      <color theme="4" tint="0.39997558519241921"/>
      <name val="Arial"/>
      <family val="2"/>
    </font>
    <font>
      <sz val="8"/>
      <color rgb="FFFF0000"/>
      <name val="Arial"/>
      <family val="2"/>
    </font>
    <font>
      <b/>
      <i/>
      <sz val="10"/>
      <color rgb="FFFF0000"/>
      <name val="Arial"/>
      <family val="2"/>
    </font>
    <font>
      <b/>
      <u/>
      <sz val="10"/>
      <color theme="5" tint="-0.249977111117893"/>
      <name val="Arial"/>
      <family val="2"/>
    </font>
    <font>
      <sz val="10"/>
      <color rgb="FFC00000"/>
      <name val="Arial"/>
      <family val="2"/>
    </font>
    <font>
      <sz val="10"/>
      <color theme="1"/>
      <name val="Arial"/>
      <family val="2"/>
    </font>
    <font>
      <b/>
      <sz val="10"/>
      <color theme="5" tint="-0.249977111117893"/>
      <name val="Arial"/>
      <family val="2"/>
    </font>
    <font>
      <sz val="10"/>
      <color theme="1"/>
      <name val="Calibri"/>
      <family val="2"/>
      <scheme val="minor"/>
    </font>
    <font>
      <sz val="11"/>
      <color rgb="FF000000"/>
      <name val="Arial"/>
      <family val="2"/>
    </font>
    <font>
      <sz val="11"/>
      <color theme="1"/>
      <name val="Arial"/>
      <family val="2"/>
    </font>
    <font>
      <sz val="10"/>
      <color indexed="8"/>
      <name val="Arial"/>
      <family val="2"/>
    </font>
    <font>
      <b/>
      <sz val="14"/>
      <color theme="1"/>
      <name val="Arial"/>
      <family val="2"/>
    </font>
    <font>
      <sz val="7"/>
      <color rgb="FFFFFFFF"/>
      <name val="Arial"/>
      <family val="2"/>
    </font>
    <font>
      <sz val="10"/>
      <color rgb="FFFFFFFF"/>
      <name val="Arial"/>
      <family val="2"/>
    </font>
    <font>
      <b/>
      <sz val="11"/>
      <color theme="1"/>
      <name val="Arial"/>
      <family val="2"/>
    </font>
    <font>
      <sz val="9"/>
      <color indexed="81"/>
      <name val="Tahoma"/>
      <family val="2"/>
    </font>
    <font>
      <b/>
      <sz val="16"/>
      <color indexed="8"/>
      <name val="Arial"/>
      <family val="2"/>
    </font>
    <font>
      <sz val="7"/>
      <color rgb="FF000000"/>
      <name val="Arial"/>
      <family val="2"/>
    </font>
    <font>
      <sz val="7"/>
      <color theme="1"/>
      <name val="Arial"/>
      <family val="2"/>
    </font>
    <font>
      <sz val="8.5"/>
      <color theme="1"/>
      <name val="Arial"/>
      <family val="2"/>
    </font>
    <font>
      <b/>
      <sz val="10"/>
      <color rgb="FF000000"/>
      <name val="Arial"/>
      <family val="2"/>
    </font>
    <font>
      <i/>
      <sz val="10"/>
      <color rgb="FFC00000"/>
      <name val="Arial"/>
      <family val="2"/>
    </font>
    <font>
      <sz val="10"/>
      <color theme="3" tint="0.59999389629810485"/>
      <name val="Arial"/>
      <family val="2"/>
    </font>
    <font>
      <sz val="8"/>
      <color rgb="FF000000"/>
      <name val="Arial"/>
      <family val="2"/>
    </font>
    <font>
      <sz val="8"/>
      <color theme="1"/>
      <name val="Arial"/>
      <family val="2"/>
    </font>
    <font>
      <b/>
      <sz val="10"/>
      <color theme="3" tint="0.59999389629810485"/>
      <name val="Arial"/>
      <family val="2"/>
    </font>
    <font>
      <sz val="9"/>
      <color theme="3" tint="0.59999389629810485"/>
      <name val="Arial"/>
      <family val="2"/>
    </font>
    <font>
      <sz val="11"/>
      <color theme="0"/>
      <name val="Arial"/>
      <family val="2"/>
    </font>
    <font>
      <b/>
      <sz val="12"/>
      <color theme="5" tint="-0.249977111117893"/>
      <name val="Arial"/>
      <family val="2"/>
    </font>
    <font>
      <b/>
      <sz val="14"/>
      <name val="Arial"/>
      <family val="2"/>
    </font>
    <font>
      <sz val="7"/>
      <color theme="0"/>
      <name val="Arial"/>
      <family val="2"/>
    </font>
    <font>
      <sz val="8.5"/>
      <color theme="0"/>
      <name val="Arial"/>
      <family val="2"/>
    </font>
    <font>
      <b/>
      <sz val="10"/>
      <color theme="4" tint="0.39997558519241921"/>
      <name val="Arial"/>
      <family val="2"/>
    </font>
    <font>
      <b/>
      <sz val="20"/>
      <color theme="1"/>
      <name val="Calibri"/>
      <family val="2"/>
      <scheme val="minor"/>
    </font>
    <font>
      <b/>
      <i/>
      <sz val="10"/>
      <color rgb="FF000000"/>
      <name val="Arial"/>
      <family val="2"/>
    </font>
    <font>
      <b/>
      <i/>
      <sz val="10"/>
      <color rgb="FFFFFFFF"/>
      <name val="Arial"/>
      <family val="2"/>
    </font>
    <font>
      <i/>
      <sz val="10"/>
      <color rgb="FFFFFFFF"/>
      <name val="Arial"/>
      <family val="2"/>
    </font>
    <font>
      <b/>
      <sz val="12"/>
      <color rgb="FF000000"/>
      <name val="Arial"/>
      <family val="2"/>
    </font>
    <font>
      <b/>
      <sz val="14"/>
      <color rgb="FFFF0000"/>
      <name val="Arial"/>
      <family val="2"/>
    </font>
    <font>
      <b/>
      <sz val="11"/>
      <color rgb="FFC00000"/>
      <name val="Arial"/>
      <family val="2"/>
    </font>
    <font>
      <b/>
      <sz val="8"/>
      <color rgb="FFC00000"/>
      <name val="Arial"/>
      <family val="2"/>
    </font>
    <font>
      <b/>
      <sz val="9"/>
      <color indexed="81"/>
      <name val="Tahoma"/>
      <family val="2"/>
    </font>
    <font>
      <b/>
      <sz val="10"/>
      <color theme="6" tint="-0.249977111117893"/>
      <name val="Arial"/>
      <family val="2"/>
    </font>
    <font>
      <b/>
      <sz val="11"/>
      <color rgb="FFFF0000"/>
      <name val="Arial"/>
      <family val="2"/>
    </font>
    <font>
      <b/>
      <sz val="11"/>
      <color theme="6" tint="-0.249977111117893"/>
      <name val="Arial"/>
      <family val="2"/>
    </font>
    <font>
      <b/>
      <sz val="11"/>
      <color theme="4" tint="0.39997558519241921"/>
      <name val="Arial"/>
      <family val="2"/>
    </font>
    <font>
      <b/>
      <sz val="16"/>
      <color theme="3" tint="0.59999389629810485"/>
      <name val="Arial"/>
      <family val="2"/>
    </font>
    <font>
      <b/>
      <sz val="20"/>
      <color theme="1"/>
      <name val="Arial"/>
      <family val="2"/>
    </font>
    <font>
      <b/>
      <sz val="10"/>
      <color rgb="FFC00000"/>
      <name val="Arial"/>
      <family val="2"/>
    </font>
    <font>
      <i/>
      <sz val="8"/>
      <name val="Arial"/>
      <family val="2"/>
    </font>
    <font>
      <b/>
      <sz val="18"/>
      <color theme="5" tint="-0.249977111117893"/>
      <name val="Arial"/>
      <family val="2"/>
    </font>
    <font>
      <b/>
      <sz val="16"/>
      <color theme="4" tint="0.39997558519241921"/>
      <name val="Arial"/>
      <family val="2"/>
    </font>
    <font>
      <b/>
      <sz val="10"/>
      <color rgb="FF808080"/>
      <name val="Arial"/>
      <family val="2"/>
    </font>
    <font>
      <sz val="1"/>
      <color theme="0"/>
      <name val="Arial"/>
      <family val="2"/>
    </font>
    <font>
      <sz val="8"/>
      <color rgb="FF000000"/>
      <name val="Segoe UI"/>
      <family val="2"/>
    </font>
    <font>
      <b/>
      <sz val="8"/>
      <color theme="5" tint="-0.249977111117893"/>
      <name val="Arial"/>
      <family val="2"/>
    </font>
    <font>
      <b/>
      <sz val="12"/>
      <color theme="3" tint="0.39997558519241921"/>
      <name val="Arial"/>
      <family val="2"/>
    </font>
    <font>
      <b/>
      <i/>
      <sz val="8"/>
      <color rgb="FFC00000"/>
      <name val="Arial"/>
      <family val="2"/>
    </font>
    <font>
      <sz val="8"/>
      <color rgb="FF000000"/>
      <name val="Tahoma"/>
      <family val="2"/>
    </font>
    <font>
      <b/>
      <u/>
      <sz val="20"/>
      <color theme="5" tint="-0.249977111117893"/>
      <name val="Calibri"/>
      <family val="2"/>
      <scheme val="minor"/>
    </font>
    <font>
      <u/>
      <sz val="9"/>
      <name val="Arial"/>
      <family val="2"/>
    </font>
    <font>
      <b/>
      <i/>
      <sz val="10"/>
      <color theme="0"/>
      <name val="Arial"/>
      <family val="2"/>
    </font>
    <font>
      <sz val="9"/>
      <color theme="1"/>
      <name val="Arial"/>
      <family val="2"/>
    </font>
    <font>
      <b/>
      <i/>
      <sz val="12"/>
      <color rgb="FFFF0000"/>
      <name val="Arial"/>
      <family val="2"/>
    </font>
    <font>
      <b/>
      <i/>
      <sz val="11"/>
      <color rgb="FFFF0000"/>
      <name val="Arial"/>
      <family val="2"/>
    </font>
    <font>
      <b/>
      <sz val="14"/>
      <color theme="3" tint="0.39997558519241921"/>
      <name val="Arial"/>
      <family val="2"/>
    </font>
    <font>
      <sz val="8"/>
      <color theme="4" tint="0.39997558519241921"/>
      <name val="Arial"/>
      <family val="2"/>
    </font>
    <font>
      <b/>
      <sz val="10"/>
      <color theme="9" tint="-0.249977111117893"/>
      <name val="Arial"/>
      <family val="2"/>
    </font>
    <font>
      <i/>
      <sz val="10"/>
      <color rgb="FFFF0000"/>
      <name val="Arial"/>
      <family val="2"/>
    </font>
    <font>
      <sz val="11"/>
      <name val="Arial"/>
      <family val="2"/>
    </font>
    <font>
      <b/>
      <sz val="9"/>
      <color indexed="81"/>
      <name val="Segoe UI Emoji"/>
      <family val="2"/>
    </font>
    <font>
      <sz val="9"/>
      <color indexed="81"/>
      <name val="Segoe UI Emoji"/>
      <family val="2"/>
    </font>
    <font>
      <sz val="11"/>
      <color theme="4" tint="0.39997558519241921"/>
      <name val="Arial"/>
      <family val="2"/>
    </font>
    <font>
      <sz val="10"/>
      <color theme="5" tint="-0.249977111117893"/>
      <name val="Arial"/>
      <family val="2"/>
    </font>
    <font>
      <sz val="9"/>
      <color rgb="FFFF0000"/>
      <name val="Arial"/>
      <family val="2"/>
    </font>
  </fonts>
  <fills count="19">
    <fill>
      <patternFill patternType="none"/>
    </fill>
    <fill>
      <patternFill patternType="gray125"/>
    </fill>
    <fill>
      <patternFill patternType="solid">
        <fgColor theme="0" tint="-0.249977111117893"/>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0"/>
        <bgColor indexed="64"/>
      </patternFill>
    </fill>
    <fill>
      <patternFill patternType="solid">
        <fgColor indexed="9"/>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6" tint="0.39997558519241921"/>
        <bgColor indexed="64"/>
      </patternFill>
    </fill>
    <fill>
      <patternFill patternType="solid">
        <fgColor rgb="FF073763"/>
        <bgColor indexed="64"/>
      </patternFill>
    </fill>
    <fill>
      <patternFill patternType="solid">
        <fgColor rgb="FFD9D9D9"/>
        <bgColor indexed="64"/>
      </patternFill>
    </fill>
    <fill>
      <patternFill patternType="solid">
        <fgColor theme="5" tint="0.59999389629810485"/>
        <bgColor indexed="64"/>
      </patternFill>
    </fill>
  </fills>
  <borders count="125">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right style="medium">
        <color indexed="64"/>
      </right>
      <top style="thin">
        <color indexed="64"/>
      </top>
      <bottom/>
      <diagonal/>
    </border>
    <border>
      <left/>
      <right/>
      <top/>
      <bottom style="hair">
        <color auto="1"/>
      </bottom>
      <diagonal/>
    </border>
    <border>
      <left style="medium">
        <color indexed="64"/>
      </left>
      <right/>
      <top style="medium">
        <color rgb="FF000000"/>
      </top>
      <bottom/>
      <diagonal/>
    </border>
    <border>
      <left/>
      <right/>
      <top style="medium">
        <color rgb="FF000000"/>
      </top>
      <bottom/>
      <diagonal/>
    </border>
    <border>
      <left/>
      <right style="medium">
        <color indexed="64"/>
      </right>
      <top style="medium">
        <color rgb="FF000000"/>
      </top>
      <bottom/>
      <diagonal/>
    </border>
    <border>
      <left style="thin">
        <color rgb="FF000000"/>
      </left>
      <right style="thin">
        <color rgb="FF000000"/>
      </right>
      <top style="medium">
        <color indexed="64"/>
      </top>
      <bottom style="thin">
        <color indexed="64"/>
      </bottom>
      <diagonal/>
    </border>
    <border>
      <left style="thin">
        <color rgb="FF000000"/>
      </left>
      <right style="thin">
        <color rgb="FF000000"/>
      </right>
      <top style="thin">
        <color indexed="64"/>
      </top>
      <bottom style="thin">
        <color indexed="64"/>
      </bottom>
      <diagonal/>
    </border>
    <border>
      <left style="medium">
        <color indexed="64"/>
      </left>
      <right/>
      <top style="thin">
        <color indexed="64"/>
      </top>
      <bottom style="medium">
        <color rgb="FF000000"/>
      </bottom>
      <diagonal/>
    </border>
    <border>
      <left style="thin">
        <color rgb="FF000000"/>
      </left>
      <right style="thin">
        <color rgb="FF000000"/>
      </right>
      <top style="thin">
        <color indexed="64"/>
      </top>
      <bottom style="medium">
        <color rgb="FF000000"/>
      </bottom>
      <diagonal/>
    </border>
    <border>
      <left/>
      <right style="medium">
        <color indexed="64"/>
      </right>
      <top style="thin">
        <color indexed="64"/>
      </top>
      <bottom style="medium">
        <color rgb="FF000000"/>
      </bottom>
      <diagonal/>
    </border>
    <border>
      <left style="thin">
        <color rgb="FF000000"/>
      </left>
      <right style="thin">
        <color rgb="FF000000"/>
      </right>
      <top style="medium">
        <color indexed="64"/>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indexed="64"/>
      </left>
      <right style="thin">
        <color indexed="64"/>
      </right>
      <top/>
      <bottom/>
      <diagonal/>
    </border>
    <border>
      <left/>
      <right style="thin">
        <color rgb="FF000000"/>
      </right>
      <top style="thin">
        <color rgb="FF000000"/>
      </top>
      <bottom style="thin">
        <color rgb="FF000000"/>
      </bottom>
      <diagonal/>
    </border>
    <border>
      <left/>
      <right style="thin">
        <color rgb="FF000000"/>
      </right>
      <top style="thin">
        <color rgb="FF000000"/>
      </top>
      <bottom style="medium">
        <color indexed="64"/>
      </bottom>
      <diagonal/>
    </border>
    <border>
      <left style="thin">
        <color rgb="FF000000"/>
      </left>
      <right style="thin">
        <color rgb="FF000000"/>
      </right>
      <top/>
      <bottom/>
      <diagonal/>
    </border>
    <border>
      <left style="thin">
        <color rgb="FF000000"/>
      </left>
      <right style="thin">
        <color rgb="FF000000"/>
      </right>
      <top style="medium">
        <color indexed="64"/>
      </top>
      <bottom/>
      <diagonal/>
    </border>
    <border>
      <left style="thin">
        <color rgb="FF000000"/>
      </left>
      <right style="thin">
        <color rgb="FF000000"/>
      </right>
      <top/>
      <bottom style="medium">
        <color indexed="64"/>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style="medium">
        <color rgb="FF000000"/>
      </bottom>
      <diagonal/>
    </border>
    <border>
      <left/>
      <right style="medium">
        <color rgb="FFCCCCCC"/>
      </right>
      <top/>
      <bottom style="medium">
        <color rgb="FFCCCCCC"/>
      </bottom>
      <diagonal/>
    </border>
    <border>
      <left/>
      <right style="medium">
        <color rgb="FFCCCCCC"/>
      </right>
      <top/>
      <bottom style="medium">
        <color rgb="FF000000"/>
      </bottom>
      <diagonal/>
    </border>
    <border>
      <left style="medium">
        <color rgb="FFCCCCCC"/>
      </left>
      <right style="medium">
        <color rgb="FF000000"/>
      </right>
      <top/>
      <bottom style="medium">
        <color rgb="FF000000"/>
      </bottom>
      <diagonal/>
    </border>
    <border>
      <left style="medium">
        <color rgb="FFCCCCCC"/>
      </left>
      <right style="medium">
        <color rgb="FFCCCCCC"/>
      </right>
      <top/>
      <bottom style="medium">
        <color rgb="FFCCCCCC"/>
      </bottom>
      <diagonal/>
    </border>
    <border>
      <left/>
      <right style="medium">
        <color rgb="FF000000"/>
      </right>
      <top/>
      <bottom style="medium">
        <color rgb="FFCCCCCC"/>
      </bottom>
      <diagonal/>
    </border>
    <border>
      <left/>
      <right style="medium">
        <color rgb="FF000000"/>
      </right>
      <top/>
      <bottom style="medium">
        <color rgb="FF000000"/>
      </bottom>
      <diagonal/>
    </border>
    <border>
      <left style="medium">
        <color rgb="FFCCCCCC"/>
      </left>
      <right style="medium">
        <color rgb="FFCCCCCC"/>
      </right>
      <top style="medium">
        <color rgb="FFCCCCCC"/>
      </top>
      <bottom/>
      <diagonal/>
    </border>
    <border>
      <left style="medium">
        <color rgb="FFCCCCCC"/>
      </left>
      <right style="medium">
        <color rgb="FF000000"/>
      </right>
      <top style="medium">
        <color rgb="FF000000"/>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CCCCCC"/>
      </left>
      <right style="medium">
        <color rgb="FF000000"/>
      </right>
      <top/>
      <bottom style="medium">
        <color rgb="FFCCCCCC"/>
      </bottom>
      <diagonal/>
    </border>
    <border>
      <left style="medium">
        <color rgb="FF000000"/>
      </left>
      <right/>
      <top/>
      <bottom style="medium">
        <color rgb="FF000000"/>
      </bottom>
      <diagonal/>
    </border>
    <border>
      <left/>
      <right/>
      <top/>
      <bottom style="medium">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right style="thin">
        <color rgb="FF000000"/>
      </right>
      <top style="medium">
        <color indexed="64"/>
      </top>
      <bottom style="thin">
        <color rgb="FF000000"/>
      </bottom>
      <diagonal/>
    </border>
    <border>
      <left style="medium">
        <color indexed="64"/>
      </left>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right/>
      <top/>
      <bottom style="double">
        <color indexed="64"/>
      </bottom>
      <diagonal/>
    </border>
    <border>
      <left style="hair">
        <color auto="1"/>
      </left>
      <right style="hair">
        <color auto="1"/>
      </right>
      <top style="hair">
        <color auto="1"/>
      </top>
      <bottom style="hair">
        <color auto="1"/>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rgb="FF000000"/>
      </right>
      <top style="medium">
        <color indexed="64"/>
      </top>
      <bottom style="thin">
        <color indexed="64"/>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thin">
        <color indexed="64"/>
      </top>
      <bottom style="medium">
        <color rgb="FF000000"/>
      </bottom>
      <diagonal/>
    </border>
    <border>
      <left/>
      <right/>
      <top/>
      <bottom style="medium">
        <color theme="4" tint="0.79998168889431442"/>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000000"/>
      </right>
      <top style="medium">
        <color indexed="64"/>
      </top>
      <bottom/>
      <diagonal/>
    </border>
    <border>
      <left style="medium">
        <color indexed="64"/>
      </left>
      <right style="thin">
        <color rgb="FF000000"/>
      </right>
      <top/>
      <bottom/>
      <diagonal/>
    </border>
    <border>
      <left style="medium">
        <color indexed="64"/>
      </left>
      <right style="thin">
        <color rgb="FF000000"/>
      </right>
      <top/>
      <bottom style="medium">
        <color indexed="64"/>
      </bottom>
      <diagonal/>
    </border>
    <border>
      <left style="medium">
        <color indexed="64"/>
      </left>
      <right/>
      <top style="medium">
        <color indexed="64"/>
      </top>
      <bottom style="thin">
        <color rgb="FF000000"/>
      </bottom>
      <diagonal/>
    </border>
    <border>
      <left style="medium">
        <color indexed="64"/>
      </left>
      <right/>
      <top style="thin">
        <color rgb="FF000000"/>
      </top>
      <bottom style="thin">
        <color rgb="FF000000"/>
      </bottom>
      <diagonal/>
    </border>
    <border>
      <left style="medium">
        <color indexed="64"/>
      </left>
      <right/>
      <top style="thin">
        <color rgb="FF000000"/>
      </top>
      <bottom/>
      <diagonal/>
    </border>
    <border>
      <left style="medium">
        <color indexed="64"/>
      </left>
      <right/>
      <top style="thin">
        <color rgb="FF000000"/>
      </top>
      <bottom style="medium">
        <color indexed="64"/>
      </bottom>
      <diagonal/>
    </border>
    <border>
      <left style="thin">
        <color indexed="64"/>
      </left>
      <right style="thin">
        <color rgb="FF000000"/>
      </right>
      <top style="medium">
        <color indexed="64"/>
      </top>
      <bottom style="thin">
        <color rgb="FF000000"/>
      </bottom>
      <diagonal/>
    </border>
    <border>
      <left style="thin">
        <color indexed="64"/>
      </left>
      <right style="thin">
        <color rgb="FF000000"/>
      </right>
      <top style="thin">
        <color rgb="FF000000"/>
      </top>
      <bottom style="thin">
        <color rgb="FF000000"/>
      </bottom>
      <diagonal/>
    </border>
    <border>
      <left style="thin">
        <color indexed="64"/>
      </left>
      <right style="thin">
        <color rgb="FF000000"/>
      </right>
      <top style="thin">
        <color rgb="FF000000"/>
      </top>
      <bottom style="thin">
        <color indexed="64"/>
      </bottom>
      <diagonal/>
    </border>
    <border>
      <left style="thin">
        <color indexed="64"/>
      </left>
      <right style="thin">
        <color rgb="FF000000"/>
      </right>
      <top/>
      <bottom style="thin">
        <color rgb="FF000000"/>
      </bottom>
      <diagonal/>
    </border>
    <border>
      <left style="thin">
        <color indexed="64"/>
      </left>
      <right style="thin">
        <color rgb="FF000000"/>
      </right>
      <top style="thin">
        <color rgb="FF000000"/>
      </top>
      <bottom style="medium">
        <color indexed="64"/>
      </bottom>
      <diagonal/>
    </border>
    <border>
      <left style="thin">
        <color rgb="FF000000"/>
      </left>
      <right style="thin">
        <color rgb="FF000000"/>
      </right>
      <top/>
      <bottom style="thin">
        <color rgb="FF000000"/>
      </bottom>
      <diagonal/>
    </border>
    <border>
      <left style="thin">
        <color rgb="FF000000"/>
      </left>
      <right style="medium">
        <color indexed="64"/>
      </right>
      <top/>
      <bottom style="thin">
        <color rgb="FF000000"/>
      </bottom>
      <diagonal/>
    </border>
    <border>
      <left style="thin">
        <color rgb="FF000000"/>
      </left>
      <right style="thin">
        <color rgb="FF000000"/>
      </right>
      <top style="thin">
        <color rgb="FF000000"/>
      </top>
      <bottom style="thin">
        <color indexed="64"/>
      </bottom>
      <diagonal/>
    </border>
    <border>
      <left style="thin">
        <color rgb="FF000000"/>
      </left>
      <right style="medium">
        <color indexed="64"/>
      </right>
      <top style="thin">
        <color rgb="FF000000"/>
      </top>
      <bottom style="thin">
        <color indexed="64"/>
      </bottom>
      <diagonal/>
    </border>
  </borders>
  <cellStyleXfs count="11">
    <xf numFmtId="0" fontId="0" fillId="0" borderId="0"/>
    <xf numFmtId="165" fontId="3" fillId="0" borderId="0" applyFont="0" applyFill="0" applyBorder="0" applyAlignment="0" applyProtection="0"/>
    <xf numFmtId="166" fontId="24" fillId="0" borderId="0" applyFont="0" applyFill="0" applyBorder="0" applyAlignment="0" applyProtection="0"/>
    <xf numFmtId="9" fontId="24" fillId="0" borderId="0" applyFont="0" applyFill="0" applyBorder="0" applyAlignment="0" applyProtection="0"/>
    <xf numFmtId="0" fontId="46" fillId="0" borderId="0"/>
    <xf numFmtId="0" fontId="3" fillId="0" borderId="0"/>
    <xf numFmtId="9" fontId="3" fillId="0" borderId="0" applyFont="0" applyFill="0" applyBorder="0" applyAlignment="0" applyProtection="0"/>
    <xf numFmtId="0" fontId="2" fillId="0" borderId="0"/>
    <xf numFmtId="165" fontId="2" fillId="0" borderId="0" applyFont="0" applyFill="0" applyBorder="0" applyAlignment="0" applyProtection="0"/>
    <xf numFmtId="0" fontId="1" fillId="0" borderId="0"/>
    <xf numFmtId="165" fontId="1" fillId="0" borderId="0" applyFont="0" applyFill="0" applyBorder="0" applyAlignment="0" applyProtection="0"/>
  </cellStyleXfs>
  <cellXfs count="1151">
    <xf numFmtId="0" fontId="0" fillId="0" borderId="0" xfId="0"/>
    <xf numFmtId="0" fontId="0" fillId="0" borderId="0" xfId="0" applyAlignment="1">
      <alignment horizontal="left"/>
    </xf>
    <xf numFmtId="0" fontId="0" fillId="0" borderId="0" xfId="0" applyAlignment="1">
      <alignment horizontal="center"/>
    </xf>
    <xf numFmtId="0" fontId="0" fillId="0" borderId="5" xfId="0" applyBorder="1" applyAlignment="1">
      <alignment horizontal="left"/>
    </xf>
    <xf numFmtId="167" fontId="0" fillId="0" borderId="6" xfId="0" applyNumberFormat="1" applyBorder="1"/>
    <xf numFmtId="0" fontId="0" fillId="0" borderId="9" xfId="0" applyBorder="1" applyAlignment="1">
      <alignment horizontal="left"/>
    </xf>
    <xf numFmtId="0" fontId="0" fillId="0" borderId="9" xfId="0" applyBorder="1"/>
    <xf numFmtId="0" fontId="0" fillId="0" borderId="9" xfId="0" applyBorder="1" applyAlignment="1">
      <alignment horizontal="center"/>
    </xf>
    <xf numFmtId="14" fontId="0" fillId="0" borderId="0" xfId="0" applyNumberFormat="1" applyAlignment="1">
      <alignment horizontal="left"/>
    </xf>
    <xf numFmtId="0" fontId="0" fillId="0" borderId="1" xfId="0" applyBorder="1" applyAlignment="1">
      <alignment horizontal="left" vertical="top"/>
    </xf>
    <xf numFmtId="0" fontId="0" fillId="0" borderId="3" xfId="0" applyBorder="1" applyAlignment="1">
      <alignment horizontal="left" vertical="top"/>
    </xf>
    <xf numFmtId="0" fontId="0" fillId="0" borderId="0" xfId="0" applyBorder="1" applyAlignment="1">
      <alignment horizontal="left" vertical="top"/>
    </xf>
    <xf numFmtId="0" fontId="0" fillId="0" borderId="0" xfId="0" applyBorder="1" applyAlignment="1">
      <alignment wrapText="1"/>
    </xf>
    <xf numFmtId="0" fontId="0" fillId="0" borderId="0" xfId="0" applyBorder="1" applyAlignment="1">
      <alignment horizontal="center"/>
    </xf>
    <xf numFmtId="167" fontId="0" fillId="0" borderId="0" xfId="0" applyNumberFormat="1" applyBorder="1"/>
    <xf numFmtId="167" fontId="0" fillId="0" borderId="12" xfId="0" applyNumberFormat="1" applyBorder="1"/>
    <xf numFmtId="0" fontId="7" fillId="0" borderId="0" xfId="0" applyFont="1" applyAlignment="1">
      <alignment horizontal="left"/>
    </xf>
    <xf numFmtId="0" fontId="5" fillId="0" borderId="0" xfId="0" applyFont="1" applyBorder="1"/>
    <xf numFmtId="167" fontId="5" fillId="0" borderId="0" xfId="0" applyNumberFormat="1" applyFont="1" applyBorder="1"/>
    <xf numFmtId="0" fontId="7" fillId="0" borderId="8" xfId="0" applyFont="1" applyBorder="1" applyAlignment="1">
      <alignment horizontal="left" vertical="top"/>
    </xf>
    <xf numFmtId="0" fontId="7" fillId="0" borderId="1" xfId="0" applyFont="1" applyBorder="1" applyAlignment="1">
      <alignment horizontal="left" vertical="top"/>
    </xf>
    <xf numFmtId="0" fontId="5" fillId="0" borderId="17" xfId="0" applyFont="1" applyBorder="1" applyAlignment="1">
      <alignment horizontal="center" vertical="center"/>
    </xf>
    <xf numFmtId="167" fontId="5" fillId="0" borderId="18" xfId="0" applyNumberFormat="1" applyFont="1" applyBorder="1" applyAlignment="1">
      <alignment horizontal="right" vertical="center"/>
    </xf>
    <xf numFmtId="0" fontId="5" fillId="0" borderId="0" xfId="0" applyFont="1" applyAlignment="1"/>
    <xf numFmtId="167" fontId="0" fillId="0" borderId="20" xfId="0" applyNumberFormat="1" applyBorder="1"/>
    <xf numFmtId="0" fontId="5" fillId="3" borderId="17" xfId="0" applyFont="1" applyFill="1" applyBorder="1"/>
    <xf numFmtId="0" fontId="0" fillId="0" borderId="22" xfId="0" applyBorder="1" applyAlignment="1">
      <alignment horizontal="left" vertical="top"/>
    </xf>
    <xf numFmtId="0" fontId="9" fillId="4" borderId="16" xfId="0" applyFont="1" applyFill="1" applyBorder="1" applyAlignment="1">
      <alignment horizontal="left"/>
    </xf>
    <xf numFmtId="0" fontId="0" fillId="4" borderId="14" xfId="0" applyFill="1" applyBorder="1" applyAlignment="1">
      <alignment horizontal="left"/>
    </xf>
    <xf numFmtId="0" fontId="0" fillId="4" borderId="14" xfId="0" applyFill="1" applyBorder="1"/>
    <xf numFmtId="0" fontId="0" fillId="4" borderId="14" xfId="0" applyFill="1" applyBorder="1" applyAlignment="1">
      <alignment horizontal="center"/>
    </xf>
    <xf numFmtId="0" fontId="0" fillId="4" borderId="15" xfId="0" applyFill="1" applyBorder="1"/>
    <xf numFmtId="0" fontId="5" fillId="0" borderId="0" xfId="0" applyFont="1"/>
    <xf numFmtId="0" fontId="5" fillId="3" borderId="17" xfId="0" applyFont="1" applyFill="1" applyBorder="1" applyAlignment="1">
      <alignment horizontal="right"/>
    </xf>
    <xf numFmtId="0" fontId="5" fillId="0" borderId="0" xfId="0" applyFont="1" applyAlignment="1">
      <alignment horizontal="left"/>
    </xf>
    <xf numFmtId="0" fontId="14" fillId="4" borderId="14" xfId="0" applyFont="1" applyFill="1" applyBorder="1"/>
    <xf numFmtId="0" fontId="0" fillId="0" borderId="0" xfId="0" applyBorder="1"/>
    <xf numFmtId="168" fontId="0" fillId="0" borderId="0" xfId="1" applyNumberFormat="1" applyFont="1" applyBorder="1" applyAlignment="1">
      <alignment horizontal="right"/>
    </xf>
    <xf numFmtId="0" fontId="14" fillId="0" borderId="0" xfId="0" applyFont="1"/>
    <xf numFmtId="0" fontId="0" fillId="5" borderId="0" xfId="0" applyFill="1"/>
    <xf numFmtId="0" fontId="0" fillId="5" borderId="0" xfId="0" applyFill="1" applyAlignment="1">
      <alignment horizontal="left"/>
    </xf>
    <xf numFmtId="0" fontId="6" fillId="0" borderId="0" xfId="0" applyFont="1" applyBorder="1" applyAlignment="1">
      <alignment horizontal="left"/>
    </xf>
    <xf numFmtId="0" fontId="0" fillId="0" borderId="0" xfId="0" applyBorder="1" applyAlignment="1">
      <alignment horizontal="left"/>
    </xf>
    <xf numFmtId="0" fontId="0" fillId="5" borderId="0" xfId="0" applyFill="1" applyAlignment="1">
      <alignment horizontal="center"/>
    </xf>
    <xf numFmtId="0" fontId="0" fillId="6" borderId="0" xfId="0" applyFill="1"/>
    <xf numFmtId="0" fontId="7" fillId="0" borderId="0" xfId="0" applyFont="1" applyBorder="1" applyAlignment="1">
      <alignment horizontal="center"/>
    </xf>
    <xf numFmtId="0" fontId="7" fillId="0" borderId="0" xfId="0" applyFont="1" applyBorder="1" applyAlignment="1">
      <alignment horizontal="right"/>
    </xf>
    <xf numFmtId="0" fontId="0" fillId="0" borderId="27" xfId="0" applyBorder="1"/>
    <xf numFmtId="0" fontId="0" fillId="0" borderId="28" xfId="0" applyBorder="1" applyAlignment="1">
      <alignment horizontal="left"/>
    </xf>
    <xf numFmtId="0" fontId="0" fillId="0" borderId="28" xfId="0" applyBorder="1"/>
    <xf numFmtId="0" fontId="0" fillId="0" borderId="28" xfId="0" applyBorder="1" applyAlignment="1">
      <alignment horizontal="center"/>
    </xf>
    <xf numFmtId="0" fontId="0" fillId="0" borderId="30" xfId="0" applyBorder="1"/>
    <xf numFmtId="0" fontId="8" fillId="0" borderId="0" xfId="0" applyFont="1" applyBorder="1" applyAlignment="1">
      <alignment horizontal="left"/>
    </xf>
    <xf numFmtId="0" fontId="7" fillId="0" borderId="0" xfId="0" applyFont="1" applyBorder="1" applyAlignment="1">
      <alignment horizontal="left"/>
    </xf>
    <xf numFmtId="0" fontId="8" fillId="0" borderId="0" xfId="0" applyFont="1" applyBorder="1"/>
    <xf numFmtId="0" fontId="8" fillId="0" borderId="0" xfId="0" applyFont="1" applyBorder="1" applyAlignment="1">
      <alignment horizontal="center"/>
    </xf>
    <xf numFmtId="0" fontId="0" fillId="0" borderId="32" xfId="0" applyBorder="1"/>
    <xf numFmtId="0" fontId="5" fillId="7" borderId="0" xfId="0" applyFont="1" applyFill="1"/>
    <xf numFmtId="49" fontId="5" fillId="7" borderId="1" xfId="0" applyNumberFormat="1" applyFont="1" applyFill="1" applyBorder="1" applyAlignment="1" applyProtection="1">
      <alignment horizontal="center" vertical="center" wrapText="1"/>
      <protection locked="0"/>
    </xf>
    <xf numFmtId="167" fontId="0" fillId="6" borderId="1" xfId="0" applyNumberFormat="1" applyFill="1" applyBorder="1" applyAlignment="1">
      <alignment horizontal="right"/>
    </xf>
    <xf numFmtId="167" fontId="0" fillId="6" borderId="19" xfId="0" applyNumberFormat="1" applyFill="1" applyBorder="1"/>
    <xf numFmtId="167" fontId="0" fillId="6" borderId="5" xfId="0" applyNumberFormat="1" applyFill="1" applyBorder="1"/>
    <xf numFmtId="0" fontId="7" fillId="0" borderId="1" xfId="0" applyFont="1" applyBorder="1" applyAlignment="1">
      <alignment horizontal="center"/>
    </xf>
    <xf numFmtId="0" fontId="0" fillId="0" borderId="19" xfId="0" applyBorder="1" applyAlignment="1" applyProtection="1">
      <alignment horizontal="center"/>
      <protection locked="0"/>
    </xf>
    <xf numFmtId="0" fontId="7" fillId="0" borderId="5" xfId="0" applyFont="1" applyBorder="1" applyAlignment="1" applyProtection="1">
      <alignment wrapText="1"/>
      <protection locked="0"/>
    </xf>
    <xf numFmtId="0" fontId="0" fillId="0" borderId="22" xfId="0" applyBorder="1" applyAlignment="1" applyProtection="1">
      <alignment horizontal="center" vertical="top"/>
      <protection locked="0"/>
    </xf>
    <xf numFmtId="0" fontId="0" fillId="0" borderId="3" xfId="0" applyBorder="1" applyAlignment="1" applyProtection="1">
      <alignment horizontal="center" vertical="top"/>
      <protection locked="0"/>
    </xf>
    <xf numFmtId="0" fontId="0" fillId="0" borderId="3" xfId="0" applyBorder="1" applyAlignment="1" applyProtection="1">
      <alignment horizontal="center"/>
      <protection locked="0"/>
    </xf>
    <xf numFmtId="0" fontId="0" fillId="0" borderId="5" xfId="0" applyBorder="1" applyAlignment="1" applyProtection="1">
      <alignment horizontal="center"/>
      <protection locked="0"/>
    </xf>
    <xf numFmtId="0" fontId="15" fillId="3" borderId="17" xfId="0" applyFont="1" applyFill="1" applyBorder="1" applyAlignment="1" applyProtection="1">
      <alignment horizontal="right"/>
      <protection locked="0"/>
    </xf>
    <xf numFmtId="9" fontId="0" fillId="3" borderId="18" xfId="0" applyNumberFormat="1" applyFill="1" applyBorder="1" applyAlignment="1" applyProtection="1">
      <alignment horizontal="center"/>
      <protection locked="0"/>
    </xf>
    <xf numFmtId="0" fontId="7" fillId="0" borderId="1" xfId="0" applyFont="1" applyBorder="1" applyAlignment="1" applyProtection="1">
      <alignment horizontal="left"/>
      <protection locked="0"/>
    </xf>
    <xf numFmtId="0" fontId="0" fillId="0" borderId="0" xfId="0" applyBorder="1" applyProtection="1">
      <protection locked="0"/>
    </xf>
    <xf numFmtId="169" fontId="0" fillId="0" borderId="2" xfId="0" applyNumberFormat="1" applyBorder="1" applyAlignment="1">
      <alignment vertical="top"/>
    </xf>
    <xf numFmtId="0" fontId="0" fillId="6" borderId="0" xfId="0" applyFill="1" applyBorder="1"/>
    <xf numFmtId="0" fontId="13" fillId="6" borderId="0" xfId="0" applyFont="1" applyFill="1" applyBorder="1" applyAlignment="1">
      <alignment horizontal="center"/>
    </xf>
    <xf numFmtId="0" fontId="20" fillId="0" borderId="0" xfId="0" applyFont="1"/>
    <xf numFmtId="14" fontId="5" fillId="7" borderId="0" xfId="0" applyNumberFormat="1" applyFont="1" applyFill="1"/>
    <xf numFmtId="0" fontId="5" fillId="7" borderId="0" xfId="0" applyFont="1" applyFill="1" applyProtection="1">
      <protection locked="0"/>
    </xf>
    <xf numFmtId="49" fontId="5" fillId="7" borderId="0" xfId="0" applyNumberFormat="1" applyFont="1" applyFill="1" applyBorder="1" applyAlignment="1" applyProtection="1">
      <alignment horizontal="center" vertical="center" wrapText="1"/>
      <protection locked="0"/>
    </xf>
    <xf numFmtId="0" fontId="0" fillId="0" borderId="24" xfId="0" applyBorder="1" applyProtection="1">
      <protection locked="0"/>
    </xf>
    <xf numFmtId="0" fontId="3" fillId="0" borderId="1" xfId="0" applyFont="1" applyBorder="1" applyAlignment="1" applyProtection="1">
      <alignment wrapText="1"/>
      <protection locked="0"/>
    </xf>
    <xf numFmtId="169" fontId="5" fillId="3" borderId="18" xfId="0" applyNumberFormat="1" applyFont="1" applyFill="1" applyBorder="1" applyProtection="1">
      <protection locked="0"/>
    </xf>
    <xf numFmtId="0" fontId="22" fillId="0" borderId="0" xfId="0" applyFont="1" applyAlignment="1">
      <alignment horizontal="right"/>
    </xf>
    <xf numFmtId="0" fontId="3" fillId="0" borderId="8" xfId="0" applyFont="1" applyBorder="1" applyAlignment="1" applyProtection="1">
      <alignment wrapText="1"/>
      <protection locked="0"/>
    </xf>
    <xf numFmtId="0" fontId="7" fillId="0" borderId="1" xfId="0" applyFont="1" applyBorder="1" applyAlignment="1">
      <alignment horizontal="center"/>
    </xf>
    <xf numFmtId="0" fontId="0" fillId="0" borderId="1" xfId="0" applyBorder="1" applyAlignment="1">
      <alignment horizontal="left"/>
    </xf>
    <xf numFmtId="0" fontId="3" fillId="0" borderId="1" xfId="0" applyFont="1" applyBorder="1" applyAlignment="1">
      <alignment horizontal="left"/>
    </xf>
    <xf numFmtId="0" fontId="0" fillId="0" borderId="0" xfId="0" applyFill="1" applyBorder="1" applyAlignment="1">
      <alignment horizontal="center"/>
    </xf>
    <xf numFmtId="0" fontId="3" fillId="5" borderId="0" xfId="0" applyFont="1" applyFill="1"/>
    <xf numFmtId="0" fontId="3" fillId="0" borderId="30" xfId="0" applyFont="1" applyBorder="1"/>
    <xf numFmtId="168" fontId="0" fillId="0" borderId="0" xfId="1" applyNumberFormat="1" applyFont="1" applyFill="1" applyBorder="1" applyAlignment="1" applyProtection="1">
      <alignment horizontal="right"/>
      <protection locked="0"/>
    </xf>
    <xf numFmtId="0" fontId="3" fillId="0" borderId="0" xfId="0" applyFont="1" applyBorder="1" applyAlignment="1">
      <alignment horizontal="left"/>
    </xf>
    <xf numFmtId="0" fontId="3" fillId="0" borderId="0" xfId="0" applyFont="1"/>
    <xf numFmtId="0" fontId="3" fillId="0" borderId="1" xfId="0" applyFont="1" applyBorder="1" applyAlignment="1">
      <alignment horizontal="center" vertical="top"/>
    </xf>
    <xf numFmtId="0" fontId="19" fillId="0" borderId="0" xfId="0" applyFont="1"/>
    <xf numFmtId="0" fontId="7" fillId="0" borderId="3" xfId="0" applyFont="1" applyBorder="1" applyAlignment="1" applyProtection="1">
      <alignment wrapText="1"/>
      <protection locked="0"/>
    </xf>
    <xf numFmtId="167" fontId="0" fillId="6" borderId="3" xfId="0" applyNumberFormat="1" applyFill="1" applyBorder="1" applyAlignment="1">
      <alignment horizontal="right"/>
    </xf>
    <xf numFmtId="0" fontId="5" fillId="0" borderId="13" xfId="0" applyFont="1" applyBorder="1" applyAlignment="1">
      <alignment horizontal="center" vertical="center"/>
    </xf>
    <xf numFmtId="0" fontId="0" fillId="0" borderId="3" xfId="0" applyBorder="1" applyProtection="1">
      <protection locked="0"/>
    </xf>
    <xf numFmtId="0" fontId="23" fillId="0" borderId="38" xfId="0" applyFont="1" applyBorder="1" applyAlignment="1">
      <alignment horizontal="left"/>
    </xf>
    <xf numFmtId="0" fontId="11" fillId="0" borderId="39" xfId="0" applyFont="1" applyBorder="1" applyAlignment="1">
      <alignment horizontal="center"/>
    </xf>
    <xf numFmtId="0" fontId="3" fillId="0" borderId="1" xfId="0" applyFont="1" applyBorder="1" applyProtection="1">
      <protection locked="0"/>
    </xf>
    <xf numFmtId="0" fontId="0" fillId="0" borderId="0" xfId="0" applyBorder="1" applyAlignment="1" applyProtection="1">
      <alignment horizontal="left" vertical="top" indent="1"/>
      <protection locked="0"/>
    </xf>
    <xf numFmtId="0" fontId="5" fillId="9" borderId="17" xfId="0" applyFont="1" applyFill="1" applyBorder="1" applyAlignment="1">
      <alignment horizontal="left"/>
    </xf>
    <xf numFmtId="0" fontId="12" fillId="0" borderId="0" xfId="0" applyFont="1" applyBorder="1" applyAlignment="1">
      <alignment horizontal="left"/>
    </xf>
    <xf numFmtId="0" fontId="9" fillId="7" borderId="9" xfId="0" applyFont="1" applyFill="1" applyBorder="1" applyProtection="1">
      <protection locked="0"/>
    </xf>
    <xf numFmtId="0" fontId="5" fillId="7" borderId="9" xfId="0" applyFont="1" applyFill="1" applyBorder="1" applyProtection="1">
      <protection locked="0"/>
    </xf>
    <xf numFmtId="0" fontId="21" fillId="9" borderId="33" xfId="0" applyFont="1" applyFill="1" applyBorder="1" applyAlignment="1" applyProtection="1">
      <alignment vertical="top" wrapText="1"/>
      <protection locked="0"/>
    </xf>
    <xf numFmtId="0" fontId="5" fillId="9" borderId="1" xfId="0" applyFont="1" applyFill="1" applyBorder="1" applyAlignment="1" applyProtection="1">
      <alignment horizontal="left" vertical="center"/>
      <protection locked="0"/>
    </xf>
    <xf numFmtId="0" fontId="5" fillId="7" borderId="1" xfId="0" applyFont="1" applyFill="1" applyBorder="1" applyAlignment="1" applyProtection="1">
      <alignment horizontal="center"/>
      <protection locked="0"/>
    </xf>
    <xf numFmtId="0" fontId="5" fillId="7" borderId="0" xfId="0" applyFont="1" applyFill="1" applyBorder="1" applyAlignment="1" applyProtection="1">
      <alignment horizontal="center"/>
      <protection locked="0"/>
    </xf>
    <xf numFmtId="0" fontId="5" fillId="0" borderId="0" xfId="0" applyFont="1" applyBorder="1" applyAlignment="1">
      <alignment horizontal="center" vertical="center"/>
    </xf>
    <xf numFmtId="167" fontId="5" fillId="0" borderId="0" xfId="0" applyNumberFormat="1" applyFont="1" applyBorder="1" applyAlignment="1">
      <alignment horizontal="right" vertical="center"/>
    </xf>
    <xf numFmtId="0" fontId="0" fillId="0" borderId="19" xfId="0" applyBorder="1" applyAlignment="1" applyProtection="1">
      <alignment horizontal="left"/>
      <protection locked="0"/>
    </xf>
    <xf numFmtId="0" fontId="5" fillId="6" borderId="0" xfId="0" applyFont="1" applyFill="1" applyBorder="1"/>
    <xf numFmtId="0" fontId="0" fillId="6" borderId="0" xfId="0" applyFill="1" applyProtection="1"/>
    <xf numFmtId="0" fontId="12" fillId="5" borderId="0" xfId="0" applyFont="1" applyFill="1"/>
    <xf numFmtId="0" fontId="20" fillId="7" borderId="0" xfId="0" applyFont="1" applyFill="1" applyProtection="1">
      <protection locked="0"/>
    </xf>
    <xf numFmtId="169" fontId="5" fillId="3" borderId="18" xfId="0" applyNumberFormat="1" applyFont="1" applyFill="1" applyBorder="1"/>
    <xf numFmtId="169" fontId="5" fillId="0" borderId="18" xfId="0" applyNumberFormat="1" applyFont="1" applyBorder="1" applyAlignment="1">
      <alignment horizontal="right" vertical="center"/>
    </xf>
    <xf numFmtId="169" fontId="5" fillId="0" borderId="18" xfId="0" applyNumberFormat="1" applyFont="1" applyBorder="1" applyAlignment="1">
      <alignment horizontal="right" vertical="top"/>
    </xf>
    <xf numFmtId="169" fontId="0" fillId="0" borderId="4" xfId="0" applyNumberFormat="1" applyBorder="1" applyAlignment="1">
      <alignment vertical="top"/>
    </xf>
    <xf numFmtId="169" fontId="0" fillId="0" borderId="4" xfId="0" applyNumberFormat="1" applyBorder="1" applyAlignment="1">
      <alignment horizontal="right" vertical="top"/>
    </xf>
    <xf numFmtId="169" fontId="0" fillId="0" borderId="12" xfId="0" applyNumberFormat="1" applyBorder="1"/>
    <xf numFmtId="169" fontId="0" fillId="0" borderId="2" xfId="0" applyNumberFormat="1" applyBorder="1"/>
    <xf numFmtId="0" fontId="0" fillId="0" borderId="49" xfId="0" applyBorder="1" applyAlignment="1" applyProtection="1">
      <alignment wrapText="1"/>
      <protection locked="0"/>
    </xf>
    <xf numFmtId="0" fontId="3" fillId="5" borderId="0" xfId="0" applyFont="1" applyFill="1" applyAlignment="1">
      <alignment horizontal="left"/>
    </xf>
    <xf numFmtId="0" fontId="0" fillId="0" borderId="22" xfId="0" applyBorder="1" applyAlignment="1" applyProtection="1">
      <alignment horizontal="left" vertical="top"/>
    </xf>
    <xf numFmtId="0" fontId="3" fillId="0" borderId="1" xfId="0" applyFont="1" applyBorder="1" applyAlignment="1" applyProtection="1">
      <alignment horizontal="left"/>
      <protection locked="0"/>
    </xf>
    <xf numFmtId="169" fontId="0" fillId="0" borderId="2" xfId="0" applyNumberFormat="1" applyBorder="1" applyAlignment="1" applyProtection="1">
      <alignment vertical="top"/>
    </xf>
    <xf numFmtId="0" fontId="16" fillId="0" borderId="0" xfId="0" applyFont="1" applyAlignment="1">
      <alignment horizontal="left"/>
    </xf>
    <xf numFmtId="0" fontId="0" fillId="0" borderId="46" xfId="0" applyBorder="1" applyAlignment="1" applyProtection="1">
      <alignment horizontal="center"/>
      <protection locked="0"/>
    </xf>
    <xf numFmtId="0" fontId="0" fillId="0" borderId="0" xfId="0" applyNumberFormat="1" applyBorder="1" applyAlignment="1" applyProtection="1">
      <alignment horizontal="left" vertical="top" indent="1"/>
      <protection locked="0"/>
    </xf>
    <xf numFmtId="0" fontId="7" fillId="0" borderId="22" xfId="0" applyFont="1" applyBorder="1" applyAlignment="1" applyProtection="1">
      <alignment horizontal="left" vertical="top"/>
      <protection locked="0"/>
    </xf>
    <xf numFmtId="0" fontId="7" fillId="0" borderId="3" xfId="0" applyFont="1" applyBorder="1" applyAlignment="1" applyProtection="1">
      <alignment horizontal="left" vertical="top"/>
      <protection locked="0"/>
    </xf>
    <xf numFmtId="0" fontId="21" fillId="5" borderId="0" xfId="0" applyFont="1" applyFill="1"/>
    <xf numFmtId="0" fontId="21" fillId="5" borderId="0" xfId="0" applyFont="1" applyFill="1" applyBorder="1"/>
    <xf numFmtId="0" fontId="13" fillId="6" borderId="0" xfId="0" applyFont="1" applyFill="1" applyProtection="1">
      <protection locked="0"/>
    </xf>
    <xf numFmtId="0" fontId="0" fillId="6" borderId="0" xfId="0" applyFill="1" applyProtection="1">
      <protection locked="0"/>
    </xf>
    <xf numFmtId="0" fontId="10" fillId="6" borderId="0" xfId="0" applyFont="1" applyFill="1" applyProtection="1">
      <protection locked="0"/>
    </xf>
    <xf numFmtId="0" fontId="28" fillId="6" borderId="0" xfId="0" applyFont="1" applyFill="1" applyProtection="1">
      <protection locked="0"/>
    </xf>
    <xf numFmtId="0" fontId="21" fillId="6" borderId="0" xfId="0" applyFont="1" applyFill="1" applyProtection="1">
      <protection locked="0"/>
    </xf>
    <xf numFmtId="0" fontId="21" fillId="6" borderId="0" xfId="0" applyFont="1" applyFill="1" applyBorder="1" applyProtection="1">
      <protection locked="0"/>
    </xf>
    <xf numFmtId="0" fontId="0" fillId="6" borderId="0" xfId="0" applyFill="1" applyBorder="1" applyProtection="1">
      <protection locked="0"/>
    </xf>
    <xf numFmtId="0" fontId="12" fillId="6" borderId="0" xfId="0" applyFont="1" applyFill="1" applyProtection="1">
      <protection locked="0"/>
    </xf>
    <xf numFmtId="0" fontId="0" fillId="0" borderId="0" xfId="0" applyFont="1"/>
    <xf numFmtId="0" fontId="0" fillId="0" borderId="0" xfId="0" applyFont="1" applyFill="1" applyBorder="1"/>
    <xf numFmtId="0" fontId="33" fillId="0" borderId="9" xfId="0" applyFont="1" applyBorder="1"/>
    <xf numFmtId="0" fontId="34" fillId="0" borderId="0" xfId="0" applyNumberFormat="1" applyFont="1" applyFill="1" applyBorder="1" applyAlignment="1" applyProtection="1">
      <alignment horizontal="left"/>
    </xf>
    <xf numFmtId="0" fontId="33" fillId="0" borderId="9" xfId="0" applyFont="1" applyBorder="1" applyAlignment="1">
      <alignment horizontal="center"/>
    </xf>
    <xf numFmtId="0" fontId="31" fillId="0" borderId="0" xfId="0" applyFont="1" applyAlignment="1">
      <alignment horizontal="center"/>
    </xf>
    <xf numFmtId="169" fontId="5" fillId="9" borderId="18" xfId="1" applyNumberFormat="1" applyFont="1" applyFill="1" applyBorder="1" applyProtection="1">
      <protection locked="0"/>
    </xf>
    <xf numFmtId="169" fontId="0" fillId="6" borderId="8" xfId="0" applyNumberFormat="1" applyFill="1" applyBorder="1"/>
    <xf numFmtId="169" fontId="0" fillId="6" borderId="1" xfId="0" applyNumberFormat="1" applyFill="1" applyBorder="1"/>
    <xf numFmtId="169" fontId="0" fillId="6" borderId="22" xfId="0" applyNumberFormat="1" applyFill="1" applyBorder="1" applyProtection="1">
      <protection locked="0"/>
    </xf>
    <xf numFmtId="169" fontId="0" fillId="6" borderId="3" xfId="0" applyNumberFormat="1" applyFill="1" applyBorder="1" applyProtection="1">
      <protection locked="0"/>
    </xf>
    <xf numFmtId="0" fontId="3" fillId="0" borderId="0" xfId="0" applyFont="1" applyBorder="1" applyAlignment="1" applyProtection="1">
      <alignment vertical="top" wrapText="1"/>
      <protection locked="0"/>
    </xf>
    <xf numFmtId="0" fontId="3" fillId="0" borderId="31" xfId="0" applyFont="1" applyBorder="1" applyAlignment="1" applyProtection="1">
      <alignment vertical="top" wrapText="1"/>
      <protection locked="0"/>
    </xf>
    <xf numFmtId="0" fontId="3" fillId="0" borderId="9" xfId="0" applyFont="1" applyBorder="1" applyAlignment="1" applyProtection="1">
      <alignment vertical="top" wrapText="1"/>
      <protection locked="0"/>
    </xf>
    <xf numFmtId="0" fontId="3" fillId="0" borderId="6" xfId="0" applyFont="1" applyBorder="1" applyAlignment="1" applyProtection="1">
      <alignment vertical="top" wrapText="1"/>
      <protection locked="0"/>
    </xf>
    <xf numFmtId="165" fontId="0" fillId="0" borderId="0" xfId="1" applyNumberFormat="1" applyFont="1" applyFill="1" applyBorder="1" applyAlignment="1">
      <alignment horizontal="right"/>
    </xf>
    <xf numFmtId="165" fontId="0" fillId="0" borderId="0" xfId="1" applyNumberFormat="1" applyFont="1" applyFill="1" applyBorder="1" applyAlignment="1" applyProtection="1">
      <alignment horizontal="right"/>
      <protection locked="0"/>
    </xf>
    <xf numFmtId="165" fontId="0" fillId="0" borderId="0" xfId="1" applyNumberFormat="1" applyFont="1" applyBorder="1" applyAlignment="1" applyProtection="1">
      <alignment horizontal="right"/>
      <protection locked="0"/>
    </xf>
    <xf numFmtId="165" fontId="0" fillId="0" borderId="0" xfId="1" applyNumberFormat="1" applyFont="1" applyBorder="1" applyAlignment="1">
      <alignment horizontal="right"/>
    </xf>
    <xf numFmtId="165" fontId="7" fillId="0" borderId="0" xfId="0" applyNumberFormat="1" applyFont="1" applyBorder="1" applyAlignment="1">
      <alignment horizontal="left"/>
    </xf>
    <xf numFmtId="0" fontId="32" fillId="0" borderId="0" xfId="0" quotePrefix="1" applyNumberFormat="1" applyFont="1" applyFill="1" applyBorder="1" applyAlignment="1" applyProtection="1">
      <alignment horizontal="center"/>
    </xf>
    <xf numFmtId="0" fontId="32" fillId="0" borderId="0" xfId="0" applyNumberFormat="1" applyFont="1" applyFill="1" applyBorder="1" applyAlignment="1" applyProtection="1"/>
    <xf numFmtId="41" fontId="32" fillId="0" borderId="0" xfId="0" applyNumberFormat="1" applyFont="1" applyFill="1" applyBorder="1" applyAlignment="1" applyProtection="1">
      <alignment horizontal="center"/>
    </xf>
    <xf numFmtId="9" fontId="0" fillId="0" borderId="0" xfId="3" applyFont="1" applyAlignment="1">
      <alignment horizontal="center"/>
    </xf>
    <xf numFmtId="9" fontId="7" fillId="0" borderId="0" xfId="0" applyNumberFormat="1" applyFont="1" applyBorder="1" applyAlignment="1">
      <alignment horizontal="center"/>
    </xf>
    <xf numFmtId="9" fontId="29" fillId="0" borderId="0" xfId="0" applyNumberFormat="1" applyFont="1" applyAlignment="1" applyProtection="1">
      <alignment horizontal="left"/>
    </xf>
    <xf numFmtId="14" fontId="29" fillId="0" borderId="0" xfId="0" applyNumberFormat="1" applyFont="1" applyAlignment="1" applyProtection="1">
      <alignment horizontal="left"/>
    </xf>
    <xf numFmtId="169" fontId="0" fillId="0" borderId="50" xfId="0" applyNumberFormat="1" applyBorder="1"/>
    <xf numFmtId="0" fontId="35" fillId="6" borderId="0" xfId="0" applyFont="1" applyFill="1" applyAlignment="1" applyProtection="1">
      <alignment horizontal="right"/>
    </xf>
    <xf numFmtId="9" fontId="36" fillId="6" borderId="0" xfId="0" applyNumberFormat="1" applyFont="1" applyFill="1" applyAlignment="1" applyProtection="1">
      <alignment horizontal="center"/>
    </xf>
    <xf numFmtId="0" fontId="35" fillId="6" borderId="0" xfId="0" applyFont="1" applyFill="1" applyAlignment="1">
      <alignment horizontal="right"/>
    </xf>
    <xf numFmtId="14" fontId="29" fillId="11" borderId="1" xfId="0" applyNumberFormat="1" applyFont="1" applyFill="1" applyBorder="1" applyAlignment="1" applyProtection="1">
      <alignment horizontal="center"/>
      <protection locked="0"/>
    </xf>
    <xf numFmtId="0" fontId="15" fillId="0" borderId="0" xfId="0" applyFont="1" applyBorder="1" applyAlignment="1" applyProtection="1">
      <alignment horizontal="left" vertical="top" indent="1"/>
    </xf>
    <xf numFmtId="171" fontId="15" fillId="0" borderId="0" xfId="0" applyNumberFormat="1" applyFont="1" applyBorder="1" applyAlignment="1" applyProtection="1">
      <alignment horizontal="left" vertical="top" indent="1"/>
    </xf>
    <xf numFmtId="169" fontId="0" fillId="0" borderId="0" xfId="0" applyNumberFormat="1" applyBorder="1" applyAlignment="1" applyProtection="1">
      <alignment horizontal="left" vertical="top" indent="1"/>
    </xf>
    <xf numFmtId="169" fontId="0" fillId="6" borderId="3" xfId="0" applyNumberFormat="1" applyFill="1" applyBorder="1" applyAlignment="1">
      <alignment horizontal="right"/>
    </xf>
    <xf numFmtId="9" fontId="37" fillId="11" borderId="0" xfId="0" applyNumberFormat="1" applyFont="1" applyFill="1" applyBorder="1" applyAlignment="1">
      <alignment horizontal="center"/>
    </xf>
    <xf numFmtId="9" fontId="37" fillId="10" borderId="0" xfId="0" applyNumberFormat="1" applyFont="1" applyFill="1" applyBorder="1" applyAlignment="1">
      <alignment horizontal="center"/>
    </xf>
    <xf numFmtId="9" fontId="37" fillId="0" borderId="0" xfId="0" applyNumberFormat="1" applyFont="1" applyBorder="1" applyAlignment="1">
      <alignment horizontal="center"/>
    </xf>
    <xf numFmtId="0" fontId="34" fillId="6" borderId="9" xfId="0" applyNumberFormat="1" applyFont="1" applyFill="1" applyBorder="1" applyAlignment="1" applyProtection="1">
      <alignment horizontal="center"/>
    </xf>
    <xf numFmtId="0" fontId="34" fillId="6" borderId="9" xfId="0" applyNumberFormat="1" applyFont="1" applyFill="1" applyBorder="1" applyAlignment="1" applyProtection="1">
      <alignment horizontal="left"/>
    </xf>
    <xf numFmtId="0" fontId="34" fillId="6" borderId="9" xfId="0" applyNumberFormat="1" applyFont="1" applyFill="1" applyBorder="1" applyAlignment="1" applyProtection="1">
      <alignment horizontal="center" wrapText="1"/>
    </xf>
    <xf numFmtId="0" fontId="5" fillId="6" borderId="0" xfId="0" applyFont="1" applyFill="1" applyBorder="1" applyAlignment="1">
      <alignment horizontal="center"/>
    </xf>
    <xf numFmtId="49" fontId="5" fillId="12" borderId="1" xfId="0" applyNumberFormat="1" applyFont="1" applyFill="1" applyBorder="1" applyAlignment="1" applyProtection="1">
      <alignment horizontal="left" vertical="center" wrapText="1"/>
      <protection locked="0"/>
    </xf>
    <xf numFmtId="0" fontId="5" fillId="12" borderId="33" xfId="0" applyFont="1" applyFill="1" applyBorder="1" applyAlignment="1" applyProtection="1">
      <alignment horizontal="left" vertical="center"/>
      <protection locked="0"/>
    </xf>
    <xf numFmtId="0" fontId="5" fillId="12" borderId="1" xfId="0" applyFont="1" applyFill="1" applyBorder="1" applyAlignment="1" applyProtection="1">
      <alignment horizontal="left" vertical="center"/>
      <protection locked="0"/>
    </xf>
    <xf numFmtId="0" fontId="25" fillId="12" borderId="33" xfId="0" applyFont="1" applyFill="1" applyBorder="1" applyAlignment="1" applyProtection="1">
      <alignment horizontal="left" vertical="top"/>
    </xf>
    <xf numFmtId="0" fontId="5" fillId="12" borderId="19" xfId="0" applyFont="1" applyFill="1" applyBorder="1" applyAlignment="1" applyProtection="1">
      <alignment horizontal="left" vertical="top"/>
    </xf>
    <xf numFmtId="0" fontId="5" fillId="12" borderId="1" xfId="0" applyFont="1" applyFill="1" applyBorder="1" applyAlignment="1" applyProtection="1">
      <protection locked="0"/>
    </xf>
    <xf numFmtId="0" fontId="18" fillId="11" borderId="1" xfId="0" applyFont="1" applyFill="1" applyBorder="1" applyAlignment="1" applyProtection="1">
      <alignment horizontal="center" vertical="center" wrapText="1"/>
      <protection locked="0"/>
    </xf>
    <xf numFmtId="165" fontId="5" fillId="13" borderId="1" xfId="1" applyFont="1" applyFill="1" applyBorder="1" applyAlignment="1" applyProtection="1">
      <alignment horizontal="left" vertical="center"/>
    </xf>
    <xf numFmtId="0" fontId="5" fillId="2" borderId="1" xfId="0" applyFont="1" applyFill="1" applyBorder="1" applyProtection="1"/>
    <xf numFmtId="0" fontId="0" fillId="11" borderId="1" xfId="0" applyFill="1" applyBorder="1" applyAlignment="1" applyProtection="1">
      <alignment horizontal="center"/>
      <protection locked="0"/>
    </xf>
    <xf numFmtId="168" fontId="3" fillId="13" borderId="1" xfId="1" applyNumberFormat="1" applyFont="1" applyFill="1" applyBorder="1" applyAlignment="1" applyProtection="1">
      <alignment horizontal="center" vertical="center"/>
    </xf>
    <xf numFmtId="170" fontId="0" fillId="13" borderId="1" xfId="2" applyNumberFormat="1" applyFont="1" applyFill="1" applyBorder="1" applyProtection="1"/>
    <xf numFmtId="0" fontId="0" fillId="13" borderId="1" xfId="0" applyFill="1" applyBorder="1" applyProtection="1"/>
    <xf numFmtId="168" fontId="0" fillId="13" borderId="1" xfId="1" applyNumberFormat="1" applyFont="1" applyFill="1" applyBorder="1" applyProtection="1"/>
    <xf numFmtId="9" fontId="0" fillId="13" borderId="1" xfId="3" applyFont="1" applyFill="1" applyBorder="1" applyProtection="1"/>
    <xf numFmtId="0" fontId="7" fillId="0" borderId="24" xfId="0" applyFont="1" applyBorder="1" applyAlignment="1" applyProtection="1">
      <alignment horizontal="left" vertical="top"/>
    </xf>
    <xf numFmtId="169" fontId="0" fillId="6" borderId="24" xfId="0" applyNumberFormat="1" applyFill="1" applyBorder="1" applyProtection="1"/>
    <xf numFmtId="169" fontId="0" fillId="0" borderId="2" xfId="0" applyNumberFormat="1" applyBorder="1" applyProtection="1"/>
    <xf numFmtId="0" fontId="0" fillId="13" borderId="1" xfId="0" applyFill="1" applyBorder="1" applyAlignment="1" applyProtection="1">
      <alignment horizontal="right"/>
    </xf>
    <xf numFmtId="0" fontId="4" fillId="13" borderId="1" xfId="0" applyNumberFormat="1" applyFont="1" applyFill="1" applyBorder="1" applyAlignment="1" applyProtection="1">
      <alignment horizontal="center"/>
    </xf>
    <xf numFmtId="168" fontId="0" fillId="13" borderId="1" xfId="0" applyNumberFormat="1" applyFill="1" applyBorder="1" applyProtection="1"/>
    <xf numFmtId="0" fontId="4" fillId="0" borderId="1" xfId="0" applyFont="1" applyBorder="1" applyAlignment="1">
      <alignment horizontal="left"/>
    </xf>
    <xf numFmtId="0" fontId="4" fillId="0" borderId="1" xfId="0" applyFont="1" applyBorder="1" applyAlignment="1">
      <alignment horizontal="center"/>
    </xf>
    <xf numFmtId="0" fontId="4" fillId="0" borderId="1" xfId="0" applyFont="1" applyFill="1" applyBorder="1" applyAlignment="1">
      <alignment horizontal="center"/>
    </xf>
    <xf numFmtId="165" fontId="4" fillId="0" borderId="1" xfId="1" applyNumberFormat="1" applyFont="1" applyFill="1" applyBorder="1" applyAlignment="1" applyProtection="1">
      <alignment horizontal="right"/>
      <protection locked="0"/>
    </xf>
    <xf numFmtId="0" fontId="4" fillId="0" borderId="1" xfId="0" quotePrefix="1" applyFont="1" applyFill="1" applyBorder="1" applyAlignment="1">
      <alignment horizontal="center"/>
    </xf>
    <xf numFmtId="0" fontId="4" fillId="0" borderId="1" xfId="0" applyFont="1" applyFill="1" applyBorder="1" applyAlignment="1">
      <alignment horizontal="center" wrapText="1"/>
    </xf>
    <xf numFmtId="49" fontId="4" fillId="0" borderId="1" xfId="0" applyNumberFormat="1" applyFont="1" applyFill="1" applyBorder="1" applyAlignment="1">
      <alignment horizontal="center"/>
    </xf>
    <xf numFmtId="0" fontId="40" fillId="0" borderId="1" xfId="0" applyFont="1" applyFill="1" applyBorder="1" applyAlignment="1">
      <alignment horizontal="center"/>
    </xf>
    <xf numFmtId="0" fontId="18" fillId="0" borderId="1" xfId="0" applyFont="1" applyBorder="1" applyAlignment="1">
      <alignment horizontal="left"/>
    </xf>
    <xf numFmtId="0" fontId="3" fillId="0" borderId="46" xfId="0" applyFont="1" applyBorder="1" applyAlignment="1" applyProtection="1">
      <alignment horizontal="left" vertical="top"/>
    </xf>
    <xf numFmtId="0" fontId="3" fillId="0" borderId="13" xfId="0" applyFont="1" applyBorder="1" applyAlignment="1" applyProtection="1">
      <alignment horizontal="left"/>
    </xf>
    <xf numFmtId="0" fontId="3" fillId="0" borderId="42" xfId="0" applyFont="1" applyBorder="1" applyAlignment="1">
      <alignment horizontal="left" vertical="top" wrapText="1"/>
    </xf>
    <xf numFmtId="0" fontId="3" fillId="0" borderId="42" xfId="0" applyFont="1" applyBorder="1" applyAlignment="1" applyProtection="1">
      <alignment horizontal="left" vertical="top" wrapText="1"/>
      <protection locked="0"/>
    </xf>
    <xf numFmtId="0" fontId="0" fillId="0" borderId="42" xfId="0" applyBorder="1" applyAlignment="1" applyProtection="1">
      <alignment horizontal="center" vertical="top"/>
      <protection locked="0"/>
    </xf>
    <xf numFmtId="167" fontId="0" fillId="6" borderId="42" xfId="0" applyNumberFormat="1" applyFill="1" applyBorder="1" applyAlignment="1">
      <alignment horizontal="right" vertical="top"/>
    </xf>
    <xf numFmtId="167" fontId="0" fillId="0" borderId="43" xfId="0" applyNumberFormat="1" applyBorder="1" applyAlignment="1">
      <alignment vertical="top"/>
    </xf>
    <xf numFmtId="0" fontId="17" fillId="0" borderId="30" xfId="0" applyNumberFormat="1" applyFont="1" applyBorder="1" applyAlignment="1">
      <alignment horizontal="left" vertical="top"/>
    </xf>
    <xf numFmtId="0" fontId="3" fillId="0" borderId="25" xfId="0" applyFont="1" applyBorder="1" applyAlignment="1">
      <alignment horizontal="left" vertical="top" wrapText="1"/>
    </xf>
    <xf numFmtId="0" fontId="0" fillId="0" borderId="25" xfId="0" applyBorder="1" applyAlignment="1" applyProtection="1">
      <alignment horizontal="center" vertical="top"/>
      <protection locked="0"/>
    </xf>
    <xf numFmtId="167" fontId="0" fillId="6" borderId="25" xfId="0" applyNumberFormat="1" applyFill="1" applyBorder="1" applyAlignment="1">
      <alignment horizontal="right" vertical="top"/>
    </xf>
    <xf numFmtId="167" fontId="0" fillId="0" borderId="39" xfId="0" applyNumberFormat="1" applyBorder="1" applyAlignment="1">
      <alignment vertical="top"/>
    </xf>
    <xf numFmtId="49" fontId="40" fillId="0" borderId="1" xfId="0" applyNumberFormat="1" applyFont="1" applyFill="1" applyBorder="1" applyAlignment="1">
      <alignment horizontal="center"/>
    </xf>
    <xf numFmtId="0" fontId="4" fillId="0" borderId="0" xfId="0" applyFont="1" applyBorder="1" applyAlignment="1">
      <alignment horizontal="left"/>
    </xf>
    <xf numFmtId="0" fontId="0" fillId="0" borderId="46" xfId="0" applyBorder="1" applyAlignment="1" applyProtection="1">
      <alignment vertical="top" wrapText="1"/>
      <protection locked="0"/>
    </xf>
    <xf numFmtId="0" fontId="0" fillId="0" borderId="46" xfId="0" applyBorder="1" applyAlignment="1" applyProtection="1">
      <alignment vertical="top"/>
      <protection locked="0"/>
    </xf>
    <xf numFmtId="0" fontId="3" fillId="0" borderId="5" xfId="0" applyFont="1" applyBorder="1" applyAlignment="1" applyProtection="1">
      <alignment vertical="top"/>
      <protection locked="0"/>
    </xf>
    <xf numFmtId="0" fontId="17" fillId="0" borderId="41" xfId="0" applyNumberFormat="1" applyFont="1" applyBorder="1" applyAlignment="1">
      <alignment horizontal="left" vertical="top"/>
    </xf>
    <xf numFmtId="169" fontId="0" fillId="6" borderId="25" xfId="0" applyNumberFormat="1" applyFill="1" applyBorder="1" applyAlignment="1">
      <alignment horizontal="right" vertical="top"/>
    </xf>
    <xf numFmtId="169" fontId="0" fillId="0" borderId="39" xfId="0" applyNumberFormat="1" applyBorder="1" applyAlignment="1">
      <alignment vertical="top"/>
    </xf>
    <xf numFmtId="169" fontId="0" fillId="6" borderId="5" xfId="0" applyNumberFormat="1" applyFill="1" applyBorder="1" applyProtection="1"/>
    <xf numFmtId="169" fontId="0" fillId="0" borderId="6" xfId="0" applyNumberFormat="1" applyBorder="1"/>
    <xf numFmtId="169" fontId="0" fillId="6" borderId="46" xfId="0" applyNumberFormat="1" applyFill="1" applyBorder="1" applyAlignment="1" applyProtection="1">
      <alignment vertical="top"/>
    </xf>
    <xf numFmtId="169" fontId="0" fillId="0" borderId="20" xfId="0" applyNumberFormat="1" applyBorder="1" applyAlignment="1">
      <alignment vertical="top"/>
    </xf>
    <xf numFmtId="0" fontId="17" fillId="0" borderId="38" xfId="0" applyNumberFormat="1" applyFont="1" applyBorder="1" applyAlignment="1">
      <alignment horizontal="left" vertical="top"/>
    </xf>
    <xf numFmtId="0" fontId="0" fillId="0" borderId="51" xfId="0" applyBorder="1" applyAlignment="1" applyProtection="1">
      <alignment horizontal="left" vertical="top"/>
    </xf>
    <xf numFmtId="0" fontId="3" fillId="0" borderId="34" xfId="0" applyFont="1" applyBorder="1" applyAlignment="1" applyProtection="1">
      <alignment horizontal="left" vertical="top"/>
    </xf>
    <xf numFmtId="0" fontId="0" fillId="0" borderId="34" xfId="0" applyBorder="1" applyAlignment="1" applyProtection="1">
      <alignment vertical="top" wrapText="1"/>
      <protection locked="0"/>
    </xf>
    <xf numFmtId="0" fontId="0" fillId="0" borderId="34" xfId="0" applyBorder="1" applyAlignment="1" applyProtection="1">
      <alignment horizontal="center" vertical="top"/>
      <protection locked="0"/>
    </xf>
    <xf numFmtId="169" fontId="0" fillId="6" borderId="34" xfId="0" applyNumberFormat="1" applyFill="1" applyBorder="1" applyAlignment="1" applyProtection="1">
      <alignment vertical="top"/>
    </xf>
    <xf numFmtId="169" fontId="0" fillId="0" borderId="53" xfId="0" applyNumberFormat="1" applyBorder="1" applyAlignment="1">
      <alignment vertical="top"/>
    </xf>
    <xf numFmtId="0" fontId="3" fillId="0" borderId="46" xfId="0" applyFont="1" applyBorder="1" applyAlignment="1" applyProtection="1">
      <alignment vertical="top"/>
      <protection locked="0"/>
    </xf>
    <xf numFmtId="0" fontId="4" fillId="0" borderId="0" xfId="0" applyFont="1" applyBorder="1" applyAlignment="1">
      <alignment horizontal="right" indent="1"/>
    </xf>
    <xf numFmtId="9" fontId="37" fillId="0" borderId="0" xfId="0" applyNumberFormat="1" applyFont="1" applyFill="1" applyBorder="1" applyAlignment="1">
      <alignment horizontal="center"/>
    </xf>
    <xf numFmtId="167" fontId="0" fillId="6" borderId="22" xfId="0" applyNumberFormat="1" applyFill="1" applyBorder="1" applyAlignment="1">
      <alignment horizontal="right"/>
    </xf>
    <xf numFmtId="0" fontId="10" fillId="7" borderId="0" xfId="0" applyFont="1" applyFill="1" applyProtection="1">
      <protection locked="0"/>
    </xf>
    <xf numFmtId="168" fontId="4" fillId="0" borderId="1" xfId="1" applyNumberFormat="1" applyFont="1" applyFill="1" applyBorder="1" applyAlignment="1" applyProtection="1">
      <alignment horizontal="right"/>
      <protection locked="0"/>
    </xf>
    <xf numFmtId="168" fontId="40" fillId="0" borderId="1" xfId="1" applyNumberFormat="1" applyFont="1" applyFill="1" applyBorder="1" applyAlignment="1" applyProtection="1">
      <alignment horizontal="right"/>
      <protection locked="0"/>
    </xf>
    <xf numFmtId="168" fontId="4" fillId="0" borderId="1" xfId="1" applyNumberFormat="1" applyFont="1" applyBorder="1" applyAlignment="1">
      <alignment horizontal="right"/>
    </xf>
    <xf numFmtId="0" fontId="4" fillId="0" borderId="22" xfId="0" applyFont="1" applyBorder="1" applyAlignment="1">
      <alignment horizontal="center"/>
    </xf>
    <xf numFmtId="165" fontId="4" fillId="0" borderId="1" xfId="0" applyNumberFormat="1" applyFont="1" applyFill="1" applyBorder="1" applyAlignment="1">
      <alignment horizontal="center"/>
    </xf>
    <xf numFmtId="0" fontId="5" fillId="0" borderId="1" xfId="0" applyFont="1" applyBorder="1" applyAlignment="1">
      <alignment horizontal="center"/>
    </xf>
    <xf numFmtId="165" fontId="5" fillId="0" borderId="1" xfId="1" applyNumberFormat="1" applyFont="1" applyBorder="1" applyAlignment="1">
      <alignment horizontal="center"/>
    </xf>
    <xf numFmtId="0" fontId="4" fillId="0" borderId="0" xfId="0" applyFont="1" applyBorder="1" applyAlignment="1">
      <alignment horizontal="center"/>
    </xf>
    <xf numFmtId="165" fontId="4" fillId="0" borderId="0" xfId="1" applyNumberFormat="1" applyFont="1" applyBorder="1" applyAlignment="1">
      <alignment horizontal="right"/>
    </xf>
    <xf numFmtId="0" fontId="11" fillId="0" borderId="25" xfId="0" applyFont="1" applyBorder="1" applyAlignment="1">
      <alignment horizontal="left"/>
    </xf>
    <xf numFmtId="0" fontId="11" fillId="0" borderId="25" xfId="0" applyFont="1" applyBorder="1"/>
    <xf numFmtId="0" fontId="11" fillId="0" borderId="25" xfId="0" applyFont="1" applyBorder="1" applyAlignment="1">
      <alignment horizontal="center"/>
    </xf>
    <xf numFmtId="0" fontId="11" fillId="0" borderId="51" xfId="0" applyFont="1" applyBorder="1" applyAlignment="1">
      <alignment horizontal="left"/>
    </xf>
    <xf numFmtId="0" fontId="11" fillId="0" borderId="34" xfId="0" applyFont="1" applyBorder="1" applyAlignment="1">
      <alignment horizontal="left"/>
    </xf>
    <xf numFmtId="0" fontId="11" fillId="0" borderId="34" xfId="0" applyFont="1" applyBorder="1"/>
    <xf numFmtId="0" fontId="11" fillId="0" borderId="34" xfId="0" applyFont="1" applyBorder="1" applyAlignment="1">
      <alignment horizontal="center"/>
    </xf>
    <xf numFmtId="0" fontId="11" fillId="0" borderId="53" xfId="0" applyFont="1" applyBorder="1" applyAlignment="1">
      <alignment horizontal="center"/>
    </xf>
    <xf numFmtId="0" fontId="5" fillId="0" borderId="1" xfId="0" applyFont="1" applyBorder="1"/>
    <xf numFmtId="0" fontId="42" fillId="2" borderId="0" xfId="0" applyFont="1" applyFill="1" applyBorder="1" applyAlignment="1">
      <alignment horizontal="left"/>
    </xf>
    <xf numFmtId="0" fontId="42" fillId="2" borderId="0" xfId="0" applyFont="1" applyFill="1" applyBorder="1"/>
    <xf numFmtId="0" fontId="42" fillId="2" borderId="0" xfId="0" applyFont="1" applyFill="1" applyBorder="1" applyAlignment="1">
      <alignment horizontal="center"/>
    </xf>
    <xf numFmtId="0" fontId="43" fillId="0" borderId="0" xfId="0" applyFont="1"/>
    <xf numFmtId="9" fontId="0" fillId="0" borderId="0" xfId="0" applyNumberFormat="1"/>
    <xf numFmtId="0" fontId="0" fillId="0" borderId="0" xfId="0" applyProtection="1">
      <protection locked="0"/>
    </xf>
    <xf numFmtId="0" fontId="3" fillId="11" borderId="0" xfId="0" applyFont="1" applyFill="1" applyAlignment="1" applyProtection="1">
      <alignment horizontal="center"/>
      <protection locked="0"/>
    </xf>
    <xf numFmtId="0" fontId="0" fillId="8" borderId="0" xfId="0" applyFill="1" applyProtection="1"/>
    <xf numFmtId="0" fontId="5" fillId="6" borderId="0" xfId="0" applyFont="1" applyFill="1" applyProtection="1"/>
    <xf numFmtId="0" fontId="45" fillId="6" borderId="0" xfId="0" applyFont="1" applyFill="1" applyAlignment="1" applyProtection="1">
      <alignment horizontal="center"/>
    </xf>
    <xf numFmtId="0" fontId="5" fillId="6" borderId="0" xfId="0" applyFont="1" applyFill="1" applyAlignment="1" applyProtection="1">
      <alignment vertical="center"/>
    </xf>
    <xf numFmtId="0" fontId="0" fillId="6" borderId="0" xfId="0" applyFill="1" applyAlignment="1" applyProtection="1">
      <alignment vertical="center"/>
    </xf>
    <xf numFmtId="0" fontId="0" fillId="11" borderId="0" xfId="0" applyFill="1" applyProtection="1">
      <protection locked="0"/>
    </xf>
    <xf numFmtId="14" fontId="10" fillId="6" borderId="0" xfId="0" applyNumberFormat="1" applyFont="1" applyFill="1" applyAlignment="1" applyProtection="1">
      <alignment horizontal="left"/>
    </xf>
    <xf numFmtId="14" fontId="10" fillId="6" borderId="0" xfId="0" applyNumberFormat="1" applyFont="1" applyFill="1" applyAlignment="1" applyProtection="1">
      <alignment horizontal="center"/>
    </xf>
    <xf numFmtId="0" fontId="10" fillId="6" borderId="0" xfId="0" applyFont="1" applyFill="1" applyAlignment="1" applyProtection="1">
      <alignment horizontal="left"/>
    </xf>
    <xf numFmtId="0" fontId="10" fillId="6" borderId="0" xfId="0" applyFont="1" applyFill="1" applyAlignment="1" applyProtection="1">
      <alignment horizontal="center"/>
    </xf>
    <xf numFmtId="0" fontId="3" fillId="11" borderId="0" xfId="0" applyFont="1" applyFill="1" applyProtection="1">
      <protection locked="0"/>
    </xf>
    <xf numFmtId="164" fontId="10" fillId="6" borderId="0" xfId="0" applyNumberFormat="1" applyFont="1" applyFill="1" applyAlignment="1" applyProtection="1">
      <alignment horizontal="left"/>
    </xf>
    <xf numFmtId="164" fontId="10" fillId="6" borderId="0" xfId="0" applyNumberFormat="1" applyFont="1" applyFill="1" applyAlignment="1" applyProtection="1">
      <alignment horizontal="center"/>
    </xf>
    <xf numFmtId="0" fontId="0" fillId="6" borderId="0" xfId="0" applyFill="1" applyAlignment="1" applyProtection="1">
      <alignment horizontal="center"/>
    </xf>
    <xf numFmtId="0" fontId="3" fillId="0" borderId="24" xfId="0" applyFont="1" applyBorder="1" applyAlignment="1" applyProtection="1">
      <alignment wrapText="1"/>
      <protection locked="0"/>
    </xf>
    <xf numFmtId="0" fontId="0" fillId="11" borderId="1" xfId="0" applyFill="1" applyBorder="1" applyAlignment="1" applyProtection="1">
      <alignment horizontal="center" vertical="top"/>
      <protection locked="0"/>
    </xf>
    <xf numFmtId="0" fontId="7" fillId="0" borderId="51" xfId="0" applyNumberFormat="1" applyFont="1" applyBorder="1" applyAlignment="1" applyProtection="1">
      <alignment horizontal="left" vertical="top"/>
    </xf>
    <xf numFmtId="0" fontId="0" fillId="0" borderId="34" xfId="0" applyBorder="1" applyAlignment="1" applyProtection="1">
      <alignment horizontal="left" vertical="top"/>
    </xf>
    <xf numFmtId="0" fontId="3" fillId="0" borderId="1" xfId="0" applyFont="1" applyBorder="1" applyAlignment="1" applyProtection="1">
      <alignment horizontal="left" wrapText="1"/>
      <protection locked="0"/>
    </xf>
    <xf numFmtId="0" fontId="0" fillId="0" borderId="25" xfId="0" applyBorder="1" applyAlignment="1" applyProtection="1">
      <alignment horizontal="left" vertical="top"/>
    </xf>
    <xf numFmtId="0" fontId="3" fillId="0" borderId="25" xfId="0" applyFont="1" applyBorder="1" applyAlignment="1" applyProtection="1">
      <alignment horizontal="left"/>
      <protection locked="0"/>
    </xf>
    <xf numFmtId="167" fontId="0" fillId="6" borderId="25" xfId="0" applyNumberFormat="1" applyFill="1" applyBorder="1" applyAlignment="1">
      <alignment horizontal="right"/>
    </xf>
    <xf numFmtId="169" fontId="0" fillId="0" borderId="39" xfId="0" applyNumberFormat="1" applyBorder="1" applyAlignment="1" applyProtection="1">
      <alignment vertical="top"/>
    </xf>
    <xf numFmtId="168" fontId="27" fillId="11" borderId="58" xfId="8" applyNumberFormat="1" applyFont="1" applyFill="1" applyBorder="1" applyAlignment="1" applyProtection="1">
      <alignment horizontal="center" vertical="center" wrapText="1"/>
      <protection locked="0"/>
    </xf>
    <xf numFmtId="168" fontId="27" fillId="11" borderId="59" xfId="8" applyNumberFormat="1" applyFont="1" applyFill="1" applyBorder="1" applyAlignment="1" applyProtection="1">
      <alignment horizontal="center" vertical="center" wrapText="1"/>
      <protection locked="0"/>
    </xf>
    <xf numFmtId="168" fontId="27" fillId="11" borderId="61" xfId="8" applyNumberFormat="1" applyFont="1" applyFill="1" applyBorder="1" applyAlignment="1" applyProtection="1">
      <alignment horizontal="center" vertical="center" wrapText="1"/>
      <protection locked="0"/>
    </xf>
    <xf numFmtId="0" fontId="44" fillId="11" borderId="8" xfId="7" applyFont="1" applyFill="1" applyBorder="1" applyProtection="1">
      <protection locked="0"/>
    </xf>
    <xf numFmtId="0" fontId="44" fillId="11" borderId="1" xfId="7" applyFont="1" applyFill="1" applyBorder="1" applyProtection="1">
      <protection locked="0"/>
    </xf>
    <xf numFmtId="0" fontId="44" fillId="11" borderId="3" xfId="7" applyFont="1" applyFill="1" applyBorder="1" applyProtection="1">
      <protection locked="0"/>
    </xf>
    <xf numFmtId="167" fontId="0" fillId="6" borderId="1" xfId="0" applyNumberFormat="1" applyFill="1" applyBorder="1" applyAlignment="1">
      <alignment horizontal="right" vertical="top"/>
    </xf>
    <xf numFmtId="0" fontId="27" fillId="0" borderId="1" xfId="0" applyFont="1" applyBorder="1" applyAlignment="1">
      <alignment vertical="center"/>
    </xf>
    <xf numFmtId="0" fontId="3" fillId="11" borderId="1" xfId="0" applyFont="1" applyFill="1" applyBorder="1" applyAlignment="1" applyProtection="1">
      <alignment horizontal="center" vertical="top"/>
      <protection locked="0"/>
    </xf>
    <xf numFmtId="0" fontId="27" fillId="11" borderId="1" xfId="2" applyNumberFormat="1" applyFont="1" applyFill="1" applyBorder="1" applyAlignment="1" applyProtection="1">
      <alignment horizontal="center" vertical="top" wrapText="1"/>
      <protection locked="0"/>
    </xf>
    <xf numFmtId="0" fontId="0" fillId="0" borderId="1" xfId="0" applyBorder="1" applyAlignment="1">
      <alignment horizontal="left" vertical="top" wrapText="1"/>
    </xf>
    <xf numFmtId="0" fontId="11" fillId="0" borderId="25" xfId="0" applyFont="1" applyBorder="1" applyAlignment="1">
      <alignment horizontal="left" wrapText="1"/>
    </xf>
    <xf numFmtId="0" fontId="0" fillId="0" borderId="33" xfId="0" applyBorder="1" applyAlignment="1">
      <alignment horizontal="left" vertical="top" wrapText="1"/>
    </xf>
    <xf numFmtId="0" fontId="11" fillId="0" borderId="0" xfId="0" applyFont="1" applyBorder="1" applyAlignment="1">
      <alignment vertical="top"/>
    </xf>
    <xf numFmtId="0" fontId="11" fillId="0" borderId="39" xfId="0" applyFont="1" applyBorder="1" applyAlignment="1">
      <alignment horizontal="center" vertical="top"/>
    </xf>
    <xf numFmtId="0" fontId="27" fillId="0" borderId="19" xfId="0" applyFont="1" applyBorder="1" applyAlignment="1">
      <alignment vertical="center" wrapText="1"/>
    </xf>
    <xf numFmtId="0" fontId="27" fillId="0" borderId="19" xfId="0" applyFont="1" applyBorder="1" applyAlignment="1">
      <alignment vertical="center"/>
    </xf>
    <xf numFmtId="0" fontId="0" fillId="11" borderId="22" xfId="0" applyFill="1" applyBorder="1" applyAlignment="1" applyProtection="1">
      <alignment horizontal="center" vertical="top"/>
      <protection locked="0"/>
    </xf>
    <xf numFmtId="0" fontId="3" fillId="0" borderId="1" xfId="0" applyFont="1" applyBorder="1" applyAlignment="1" applyProtection="1">
      <alignment horizontal="left" vertical="top" wrapText="1"/>
    </xf>
    <xf numFmtId="0" fontId="3" fillId="0" borderId="1" xfId="0" applyFont="1" applyBorder="1" applyAlignment="1" applyProtection="1">
      <alignment horizontal="left" vertical="top"/>
    </xf>
    <xf numFmtId="0" fontId="3" fillId="0" borderId="25" xfId="0" applyFont="1" applyBorder="1" applyAlignment="1" applyProtection="1">
      <alignment horizontal="left" vertical="top"/>
    </xf>
    <xf numFmtId="0" fontId="3" fillId="0" borderId="25" xfId="0" applyFont="1" applyBorder="1" applyAlignment="1" applyProtection="1">
      <alignment horizontal="left"/>
    </xf>
    <xf numFmtId="0" fontId="3" fillId="0" borderId="25" xfId="0" applyNumberFormat="1" applyFont="1" applyBorder="1" applyAlignment="1" applyProtection="1">
      <alignment horizontal="left" vertical="top"/>
    </xf>
    <xf numFmtId="0" fontId="7" fillId="0" borderId="38" xfId="0" applyNumberFormat="1" applyFont="1" applyBorder="1" applyAlignment="1" applyProtection="1">
      <alignment horizontal="left" vertical="top"/>
    </xf>
    <xf numFmtId="0" fontId="23" fillId="0" borderId="25" xfId="0" applyFont="1" applyBorder="1" applyAlignment="1">
      <alignment horizontal="left"/>
    </xf>
    <xf numFmtId="0" fontId="17" fillId="0" borderId="28" xfId="0" applyNumberFormat="1" applyFont="1" applyBorder="1" applyAlignment="1">
      <alignment horizontal="left" vertical="top"/>
    </xf>
    <xf numFmtId="0" fontId="7" fillId="0" borderId="51" xfId="0" applyNumberFormat="1" applyFont="1" applyBorder="1" applyAlignment="1">
      <alignment horizontal="left" vertical="top"/>
    </xf>
    <xf numFmtId="0" fontId="7" fillId="0" borderId="34" xfId="0" applyNumberFormat="1" applyFont="1" applyBorder="1" applyAlignment="1">
      <alignment horizontal="left" vertical="top" wrapText="1"/>
    </xf>
    <xf numFmtId="0" fontId="0" fillId="0" borderId="34" xfId="0" applyBorder="1" applyAlignment="1">
      <alignment horizontal="left" vertical="top" wrapText="1"/>
    </xf>
    <xf numFmtId="0" fontId="5" fillId="0" borderId="34" xfId="0" applyFont="1" applyBorder="1" applyAlignment="1" applyProtection="1">
      <alignment wrapText="1"/>
      <protection locked="0"/>
    </xf>
    <xf numFmtId="0" fontId="3" fillId="0" borderId="34" xfId="0" applyFont="1" applyBorder="1" applyAlignment="1" applyProtection="1">
      <alignment horizontal="center" vertical="top"/>
      <protection locked="0"/>
    </xf>
    <xf numFmtId="169" fontId="3" fillId="6" borderId="34" xfId="0" applyNumberFormat="1" applyFont="1" applyFill="1" applyBorder="1" applyAlignment="1">
      <alignment horizontal="right" vertical="top"/>
    </xf>
    <xf numFmtId="0" fontId="7" fillId="0" borderId="38" xfId="0" applyNumberFormat="1" applyFont="1" applyBorder="1" applyAlignment="1">
      <alignment horizontal="left" vertical="top"/>
    </xf>
    <xf numFmtId="0" fontId="7" fillId="0" borderId="25" xfId="0" applyNumberFormat="1" applyFont="1" applyBorder="1" applyAlignment="1">
      <alignment horizontal="left" vertical="top" wrapText="1"/>
    </xf>
    <xf numFmtId="0" fontId="0" fillId="0" borderId="25" xfId="0" applyBorder="1" applyAlignment="1">
      <alignment horizontal="left" vertical="top" wrapText="1"/>
    </xf>
    <xf numFmtId="0" fontId="5" fillId="0" borderId="25" xfId="0" applyFont="1" applyBorder="1" applyAlignment="1" applyProtection="1">
      <alignment wrapText="1"/>
      <protection locked="0"/>
    </xf>
    <xf numFmtId="0" fontId="3" fillId="0" borderId="25" xfId="0" applyFont="1" applyBorder="1" applyAlignment="1" applyProtection="1">
      <alignment horizontal="center" vertical="top"/>
      <protection locked="0"/>
    </xf>
    <xf numFmtId="169" fontId="3" fillId="6" borderId="25" xfId="0" applyNumberFormat="1" applyFont="1" applyFill="1" applyBorder="1" applyAlignment="1">
      <alignment horizontal="right" vertical="top"/>
    </xf>
    <xf numFmtId="0" fontId="23" fillId="0" borderId="25" xfId="0" applyFont="1" applyBorder="1" applyAlignment="1">
      <alignment horizontal="left" wrapText="1"/>
    </xf>
    <xf numFmtId="0" fontId="7" fillId="0" borderId="1" xfId="0" applyNumberFormat="1" applyFont="1" applyBorder="1" applyAlignment="1">
      <alignment horizontal="left" vertical="top" wrapText="1"/>
    </xf>
    <xf numFmtId="0" fontId="11" fillId="0" borderId="41" xfId="0" applyFont="1" applyBorder="1" applyAlignment="1">
      <alignment horizontal="left"/>
    </xf>
    <xf numFmtId="0" fontId="4" fillId="0" borderId="1" xfId="0" applyFont="1" applyBorder="1" applyAlignment="1">
      <alignment horizontal="left" wrapText="1"/>
    </xf>
    <xf numFmtId="0" fontId="49" fillId="5" borderId="0" xfId="9" applyNumberFormat="1" applyFont="1" applyFill="1"/>
    <xf numFmtId="0" fontId="3" fillId="5" borderId="0" xfId="9" applyFont="1" applyFill="1"/>
    <xf numFmtId="0" fontId="48" fillId="5" borderId="0" xfId="9" applyFont="1" applyFill="1"/>
    <xf numFmtId="0" fontId="55" fillId="6" borderId="0" xfId="9" applyNumberFormat="1" applyFont="1" applyFill="1"/>
    <xf numFmtId="15" fontId="49" fillId="6" borderId="0" xfId="9" applyNumberFormat="1" applyFont="1" applyFill="1" applyAlignment="1">
      <alignment horizontal="left"/>
    </xf>
    <xf numFmtId="0" fontId="3" fillId="6" borderId="0" xfId="9" applyFont="1" applyFill="1"/>
    <xf numFmtId="0" fontId="48" fillId="6" borderId="0" xfId="9" applyFont="1" applyFill="1"/>
    <xf numFmtId="0" fontId="58" fillId="6" borderId="0" xfId="9" applyFont="1" applyFill="1" applyAlignment="1">
      <alignment vertical="center"/>
    </xf>
    <xf numFmtId="0" fontId="55" fillId="6" borderId="0" xfId="9" applyNumberFormat="1" applyFont="1" applyFill="1" applyBorder="1"/>
    <xf numFmtId="0" fontId="48" fillId="6" borderId="0" xfId="9" applyFont="1" applyFill="1" applyBorder="1"/>
    <xf numFmtId="0" fontId="58" fillId="6" borderId="0" xfId="9" applyFont="1" applyFill="1" applyBorder="1" applyAlignment="1">
      <alignment vertical="center"/>
    </xf>
    <xf numFmtId="0" fontId="9" fillId="4" borderId="16" xfId="0" applyFont="1" applyFill="1" applyBorder="1" applyAlignment="1">
      <alignment horizontal="left" vertical="center"/>
    </xf>
    <xf numFmtId="0" fontId="26" fillId="0" borderId="8" xfId="0" applyFont="1" applyBorder="1" applyAlignment="1">
      <alignment horizontal="center" vertical="center" wrapText="1"/>
    </xf>
    <xf numFmtId="0" fontId="26" fillId="0" borderId="8" xfId="0" applyFont="1" applyBorder="1" applyAlignment="1">
      <alignment horizontal="left" vertical="center" wrapText="1"/>
    </xf>
    <xf numFmtId="0" fontId="26" fillId="0" borderId="12" xfId="0" applyFont="1" applyBorder="1" applyAlignment="1">
      <alignment horizontal="center" vertical="center" wrapText="1"/>
    </xf>
    <xf numFmtId="0" fontId="9" fillId="4" borderId="14" xfId="0" applyFont="1" applyFill="1" applyBorder="1" applyAlignment="1">
      <alignment horizontal="left"/>
    </xf>
    <xf numFmtId="0" fontId="17" fillId="0" borderId="42" xfId="0" applyNumberFormat="1" applyFont="1" applyBorder="1" applyAlignment="1">
      <alignment horizontal="left" vertical="top"/>
    </xf>
    <xf numFmtId="0" fontId="0" fillId="0" borderId="46" xfId="0" applyBorder="1" applyAlignment="1" applyProtection="1">
      <alignment horizontal="left" vertical="top"/>
    </xf>
    <xf numFmtId="0" fontId="17" fillId="0" borderId="25" xfId="0" applyNumberFormat="1" applyFont="1" applyBorder="1" applyAlignment="1">
      <alignment horizontal="left" vertical="top"/>
    </xf>
    <xf numFmtId="0" fontId="17" fillId="0" borderId="52" xfId="0" applyNumberFormat="1" applyFont="1" applyBorder="1" applyAlignment="1">
      <alignment horizontal="left" vertical="top"/>
    </xf>
    <xf numFmtId="0" fontId="7" fillId="0" borderId="48" xfId="0" applyNumberFormat="1" applyFont="1" applyBorder="1" applyAlignment="1">
      <alignment horizontal="left" vertical="top"/>
    </xf>
    <xf numFmtId="0" fontId="7" fillId="0" borderId="1" xfId="0" applyNumberFormat="1" applyFont="1" applyBorder="1" applyAlignment="1">
      <alignment horizontal="left" vertical="top"/>
    </xf>
    <xf numFmtId="0" fontId="7" fillId="0" borderId="3" xfId="0" applyNumberFormat="1" applyFont="1" applyBorder="1" applyAlignment="1">
      <alignment horizontal="left" vertical="top"/>
    </xf>
    <xf numFmtId="0" fontId="7" fillId="0" borderId="22" xfId="0" applyNumberFormat="1" applyFont="1" applyBorder="1" applyAlignment="1">
      <alignment horizontal="left" vertical="top"/>
    </xf>
    <xf numFmtId="0" fontId="7" fillId="0" borderId="22" xfId="0" applyNumberFormat="1" applyFont="1" applyBorder="1" applyAlignment="1" applyProtection="1">
      <alignment horizontal="left" vertical="top"/>
    </xf>
    <xf numFmtId="0" fontId="7" fillId="0" borderId="1" xfId="0" applyNumberFormat="1" applyFont="1" applyBorder="1" applyAlignment="1" applyProtection="1">
      <alignment horizontal="left" vertical="top"/>
    </xf>
    <xf numFmtId="0" fontId="17" fillId="0" borderId="47" xfId="0" applyNumberFormat="1" applyFont="1" applyBorder="1" applyAlignment="1">
      <alignment horizontal="left" vertical="top"/>
    </xf>
    <xf numFmtId="0" fontId="0" fillId="0" borderId="48" xfId="0" applyBorder="1" applyAlignment="1">
      <alignment horizontal="left" vertical="top"/>
    </xf>
    <xf numFmtId="0" fontId="20" fillId="0" borderId="8" xfId="0" applyFont="1" applyBorder="1" applyAlignment="1">
      <alignment horizontal="left" vertical="top"/>
    </xf>
    <xf numFmtId="0" fontId="0" fillId="0" borderId="24" xfId="0" applyBorder="1" applyAlignment="1" applyProtection="1">
      <alignment horizontal="left" vertical="top"/>
    </xf>
    <xf numFmtId="0" fontId="0" fillId="0" borderId="22" xfId="0" applyBorder="1" applyAlignment="1" applyProtection="1">
      <alignment horizontal="left" vertical="top"/>
      <protection locked="0"/>
    </xf>
    <xf numFmtId="0" fontId="0" fillId="0" borderId="3" xfId="0" applyBorder="1" applyAlignment="1" applyProtection="1">
      <alignment horizontal="left" vertical="top"/>
      <protection locked="0"/>
    </xf>
    <xf numFmtId="0" fontId="7" fillId="0" borderId="49" xfId="0" applyFont="1" applyBorder="1" applyAlignment="1">
      <alignment horizontal="left"/>
    </xf>
    <xf numFmtId="0" fontId="0" fillId="0" borderId="24" xfId="0" applyBorder="1" applyAlignment="1" applyProtection="1">
      <alignment horizontal="left" vertical="top"/>
      <protection locked="0"/>
    </xf>
    <xf numFmtId="0" fontId="0" fillId="0" borderId="1" xfId="0" applyBorder="1" applyAlignment="1" applyProtection="1">
      <alignment horizontal="left" vertical="top"/>
      <protection locked="0"/>
    </xf>
    <xf numFmtId="0" fontId="3" fillId="0" borderId="49" xfId="0" applyFont="1" applyBorder="1" applyAlignment="1" applyProtection="1">
      <alignment horizontal="left"/>
      <protection locked="0"/>
    </xf>
    <xf numFmtId="0" fontId="3" fillId="0" borderId="1" xfId="0" applyFont="1" applyBorder="1" applyAlignment="1" applyProtection="1">
      <alignment vertical="center" wrapText="1"/>
      <protection locked="0"/>
    </xf>
    <xf numFmtId="0" fontId="20" fillId="0" borderId="24" xfId="0" applyFont="1" applyBorder="1" applyAlignment="1">
      <alignment horizontal="left" vertical="top"/>
    </xf>
    <xf numFmtId="0" fontId="7" fillId="0" borderId="24" xfId="0" applyFont="1" applyBorder="1" applyAlignment="1">
      <alignment horizontal="left" vertical="top"/>
    </xf>
    <xf numFmtId="169" fontId="0" fillId="6" borderId="24" xfId="0" applyNumberFormat="1" applyFill="1" applyBorder="1"/>
    <xf numFmtId="0" fontId="0" fillId="0" borderId="8" xfId="0" applyBorder="1" applyAlignment="1">
      <alignment horizontal="left" vertical="top"/>
    </xf>
    <xf numFmtId="0" fontId="0" fillId="0" borderId="8" xfId="0" applyBorder="1" applyAlignment="1" applyProtection="1">
      <alignment horizontal="left" wrapText="1"/>
      <protection locked="0"/>
    </xf>
    <xf numFmtId="167" fontId="0" fillId="6" borderId="8" xfId="0" applyNumberFormat="1" applyFill="1" applyBorder="1"/>
    <xf numFmtId="0" fontId="0" fillId="11" borderId="22" xfId="0" applyFill="1" applyBorder="1" applyAlignment="1" applyProtection="1">
      <alignment horizontal="center"/>
      <protection locked="0"/>
    </xf>
    <xf numFmtId="0" fontId="0" fillId="11" borderId="8" xfId="0" applyFill="1" applyBorder="1" applyAlignment="1" applyProtection="1">
      <alignment horizontal="center"/>
      <protection locked="0"/>
    </xf>
    <xf numFmtId="0" fontId="0" fillId="11" borderId="19" xfId="0" applyFill="1" applyBorder="1" applyAlignment="1" applyProtection="1">
      <alignment horizontal="center"/>
      <protection locked="0"/>
    </xf>
    <xf numFmtId="0" fontId="0" fillId="11" borderId="46" xfId="0" applyFill="1" applyBorder="1" applyAlignment="1" applyProtection="1">
      <alignment horizontal="center" vertical="top"/>
      <protection locked="0"/>
    </xf>
    <xf numFmtId="167" fontId="0" fillId="11" borderId="46" xfId="0" applyNumberFormat="1" applyFill="1" applyBorder="1" applyProtection="1">
      <protection locked="0"/>
    </xf>
    <xf numFmtId="0" fontId="0" fillId="11" borderId="46" xfId="0" applyFill="1" applyBorder="1" applyAlignment="1" applyProtection="1">
      <alignment wrapText="1"/>
      <protection locked="0"/>
    </xf>
    <xf numFmtId="0" fontId="0" fillId="11" borderId="19" xfId="0" applyFill="1" applyBorder="1" applyAlignment="1" applyProtection="1">
      <alignment horizontal="left"/>
      <protection locked="0"/>
    </xf>
    <xf numFmtId="0" fontId="3" fillId="11" borderId="5" xfId="0" applyFont="1" applyFill="1" applyBorder="1" applyAlignment="1" applyProtection="1">
      <alignment wrapText="1"/>
      <protection locked="0"/>
    </xf>
    <xf numFmtId="167" fontId="0" fillId="6" borderId="22" xfId="0" applyNumberFormat="1" applyFill="1" applyBorder="1" applyAlignment="1">
      <alignment horizontal="right" vertical="top"/>
    </xf>
    <xf numFmtId="0" fontId="3" fillId="0" borderId="22" xfId="0" applyFont="1" applyBorder="1" applyAlignment="1" applyProtection="1">
      <alignment horizontal="left"/>
      <protection locked="0"/>
    </xf>
    <xf numFmtId="169" fontId="0" fillId="0" borderId="23" xfId="0" applyNumberFormat="1" applyBorder="1" applyAlignment="1" applyProtection="1">
      <alignment vertical="top"/>
    </xf>
    <xf numFmtId="0" fontId="7" fillId="0" borderId="30" xfId="0" applyNumberFormat="1" applyFont="1" applyBorder="1" applyAlignment="1" applyProtection="1">
      <alignment horizontal="left" vertical="top"/>
    </xf>
    <xf numFmtId="0" fontId="7" fillId="0" borderId="0" xfId="0" applyNumberFormat="1" applyFont="1" applyBorder="1" applyAlignment="1" applyProtection="1">
      <alignment horizontal="left" vertical="top"/>
    </xf>
    <xf numFmtId="0" fontId="0" fillId="0" borderId="0" xfId="0" applyBorder="1" applyAlignment="1" applyProtection="1">
      <alignment horizontal="left" vertical="top"/>
    </xf>
    <xf numFmtId="0" fontId="3" fillId="0" borderId="0" xfId="0" applyFont="1" applyBorder="1" applyAlignment="1" applyProtection="1">
      <alignment horizontal="left"/>
      <protection locked="0"/>
    </xf>
    <xf numFmtId="0" fontId="0" fillId="0" borderId="0" xfId="0" applyBorder="1" applyAlignment="1" applyProtection="1">
      <alignment horizontal="center" vertical="top"/>
      <protection locked="0"/>
    </xf>
    <xf numFmtId="167" fontId="0" fillId="6" borderId="0" xfId="0" applyNumberFormat="1" applyFill="1" applyBorder="1" applyAlignment="1">
      <alignment horizontal="right"/>
    </xf>
    <xf numFmtId="169" fontId="0" fillId="0" borderId="31" xfId="0" applyNumberFormat="1" applyBorder="1" applyAlignment="1" applyProtection="1">
      <alignment vertical="top"/>
    </xf>
    <xf numFmtId="0" fontId="5" fillId="0" borderId="1" xfId="0" applyFont="1" applyBorder="1" applyAlignment="1" applyProtection="1">
      <alignment horizontal="left"/>
      <protection locked="0"/>
    </xf>
    <xf numFmtId="0" fontId="3" fillId="0" borderId="1" xfId="0" applyFont="1" applyBorder="1" applyAlignment="1" applyProtection="1">
      <alignment vertical="top" wrapText="1"/>
      <protection locked="0"/>
    </xf>
    <xf numFmtId="167" fontId="0" fillId="0" borderId="22" xfId="0" applyNumberFormat="1" applyFill="1" applyBorder="1" applyAlignment="1">
      <alignment horizontal="right" vertical="top"/>
    </xf>
    <xf numFmtId="0" fontId="56" fillId="6" borderId="0" xfId="9" applyFont="1" applyFill="1" applyBorder="1" applyAlignment="1">
      <alignment vertical="center" wrapText="1"/>
    </xf>
    <xf numFmtId="0" fontId="48" fillId="6" borderId="0" xfId="9" applyFont="1" applyFill="1" applyProtection="1">
      <protection locked="0"/>
    </xf>
    <xf numFmtId="0" fontId="47" fillId="6" borderId="0" xfId="9" applyFont="1" applyFill="1" applyBorder="1" applyAlignment="1">
      <alignment horizontal="center" vertical="center" wrapText="1"/>
    </xf>
    <xf numFmtId="0" fontId="57" fillId="6" borderId="0" xfId="9" applyFont="1" applyFill="1" applyBorder="1" applyAlignment="1">
      <alignment vertical="center" wrapText="1"/>
    </xf>
    <xf numFmtId="168" fontId="47" fillId="6" borderId="0" xfId="10" applyNumberFormat="1" applyFont="1" applyFill="1" applyBorder="1" applyAlignment="1">
      <alignment horizontal="right" vertical="center" wrapText="1"/>
    </xf>
    <xf numFmtId="165" fontId="47" fillId="6" borderId="0" xfId="10" applyFont="1" applyFill="1" applyBorder="1" applyAlignment="1">
      <alignment horizontal="center" vertical="center" wrapText="1"/>
    </xf>
    <xf numFmtId="174" fontId="47" fillId="11" borderId="64" xfId="10" applyNumberFormat="1" applyFont="1" applyFill="1" applyBorder="1" applyAlignment="1" applyProtection="1">
      <alignment vertical="center"/>
      <protection locked="0"/>
    </xf>
    <xf numFmtId="0" fontId="9" fillId="4" borderId="14" xfId="0" applyFont="1" applyFill="1" applyBorder="1" applyAlignment="1">
      <alignment horizontal="left" vertical="center"/>
    </xf>
    <xf numFmtId="167" fontId="0" fillId="0" borderId="1" xfId="0" applyNumberFormat="1" applyFill="1" applyBorder="1" applyAlignment="1">
      <alignment horizontal="right"/>
    </xf>
    <xf numFmtId="167" fontId="0" fillId="0" borderId="22" xfId="0" applyNumberFormat="1" applyFill="1" applyBorder="1" applyAlignment="1">
      <alignment horizontal="right"/>
    </xf>
    <xf numFmtId="0" fontId="56" fillId="6" borderId="0" xfId="9" applyFont="1" applyFill="1" applyBorder="1" applyAlignment="1">
      <alignment vertical="center" wrapText="1"/>
    </xf>
    <xf numFmtId="0" fontId="7" fillId="0" borderId="51" xfId="0" applyNumberFormat="1" applyFont="1" applyBorder="1" applyAlignment="1">
      <alignment horizontal="center" vertical="top"/>
    </xf>
    <xf numFmtId="0" fontId="7" fillId="0" borderId="30" xfId="0" applyNumberFormat="1" applyFont="1" applyBorder="1" applyAlignment="1">
      <alignment horizontal="center" vertical="top"/>
    </xf>
    <xf numFmtId="0" fontId="12" fillId="0" borderId="0" xfId="0" applyFont="1" applyAlignment="1">
      <alignment horizontal="left"/>
    </xf>
    <xf numFmtId="0" fontId="3" fillId="0" borderId="1" xfId="0" applyFont="1" applyBorder="1" applyAlignment="1" applyProtection="1">
      <alignment wrapText="1"/>
    </xf>
    <xf numFmtId="0" fontId="48" fillId="5" borderId="0" xfId="9" applyFont="1" applyFill="1" applyBorder="1"/>
    <xf numFmtId="0" fontId="48" fillId="6" borderId="31" xfId="9" applyFont="1" applyFill="1" applyBorder="1"/>
    <xf numFmtId="174" fontId="47" fillId="11" borderId="63" xfId="10" applyNumberFormat="1" applyFont="1" applyFill="1" applyBorder="1" applyAlignment="1" applyProtection="1">
      <alignment vertical="center"/>
      <protection locked="0"/>
    </xf>
    <xf numFmtId="0" fontId="57" fillId="6" borderId="67" xfId="9" applyFont="1" applyFill="1" applyBorder="1" applyAlignment="1">
      <alignment vertical="center"/>
    </xf>
    <xf numFmtId="174" fontId="47" fillId="11" borderId="67" xfId="10" applyNumberFormat="1" applyFont="1" applyFill="1" applyBorder="1" applyAlignment="1" applyProtection="1">
      <alignment vertical="center"/>
      <protection locked="0"/>
    </xf>
    <xf numFmtId="0" fontId="43" fillId="0" borderId="0" xfId="0" applyFont="1" applyBorder="1" applyAlignment="1" applyProtection="1">
      <alignment horizontal="left" vertical="top" indent="1"/>
      <protection locked="0"/>
    </xf>
    <xf numFmtId="169" fontId="43" fillId="0" borderId="0" xfId="0" applyNumberFormat="1" applyFont="1" applyAlignment="1">
      <alignment horizontal="left"/>
    </xf>
    <xf numFmtId="0" fontId="43" fillId="0" borderId="0" xfId="0" applyFont="1" applyAlignment="1">
      <alignment horizontal="center"/>
    </xf>
    <xf numFmtId="0" fontId="7" fillId="0" borderId="34" xfId="0" applyNumberFormat="1" applyFont="1" applyBorder="1" applyAlignment="1">
      <alignment horizontal="left" vertical="top"/>
    </xf>
    <xf numFmtId="0" fontId="0" fillId="0" borderId="34" xfId="0" applyBorder="1" applyAlignment="1">
      <alignment horizontal="left" vertical="top"/>
    </xf>
    <xf numFmtId="0" fontId="3" fillId="0" borderId="34" xfId="0" applyFont="1" applyBorder="1" applyAlignment="1">
      <alignment horizontal="left"/>
    </xf>
    <xf numFmtId="167" fontId="0" fillId="0" borderId="34" xfId="0" applyNumberFormat="1" applyFill="1" applyBorder="1" applyAlignment="1">
      <alignment horizontal="right"/>
    </xf>
    <xf numFmtId="0" fontId="7" fillId="0" borderId="0" xfId="0" applyNumberFormat="1" applyFont="1" applyBorder="1" applyAlignment="1">
      <alignment horizontal="left" vertical="top"/>
    </xf>
    <xf numFmtId="167" fontId="0" fillId="0" borderId="0" xfId="0" applyNumberFormat="1" applyFill="1" applyBorder="1" applyAlignment="1">
      <alignment horizontal="right"/>
    </xf>
    <xf numFmtId="169" fontId="0" fillId="0" borderId="31" xfId="0" applyNumberFormat="1" applyBorder="1" applyAlignment="1">
      <alignment vertical="top"/>
    </xf>
    <xf numFmtId="0" fontId="0" fillId="6" borderId="34" xfId="0" applyFill="1" applyBorder="1" applyAlignment="1" applyProtection="1">
      <alignment horizontal="center" vertical="top"/>
      <protection locked="0"/>
    </xf>
    <xf numFmtId="0" fontId="0" fillId="6" borderId="0" xfId="0" applyFill="1" applyBorder="1" applyAlignment="1" applyProtection="1">
      <alignment horizontal="center" vertical="top"/>
      <protection locked="0"/>
    </xf>
    <xf numFmtId="0" fontId="62" fillId="6" borderId="63" xfId="9" applyFont="1" applyFill="1" applyBorder="1" applyAlignment="1">
      <alignment vertical="center"/>
    </xf>
    <xf numFmtId="0" fontId="63" fillId="6" borderId="64" xfId="9" applyFont="1" applyFill="1" applyBorder="1" applyAlignment="1">
      <alignment vertical="center"/>
    </xf>
    <xf numFmtId="0" fontId="48" fillId="6" borderId="0" xfId="9" applyFont="1" applyFill="1" applyBorder="1" applyAlignment="1">
      <alignment vertical="center" wrapText="1"/>
    </xf>
    <xf numFmtId="168" fontId="47" fillId="6" borderId="63" xfId="10" applyNumberFormat="1" applyFont="1" applyFill="1" applyBorder="1" applyAlignment="1">
      <alignment vertical="center" wrapText="1"/>
    </xf>
    <xf numFmtId="165" fontId="47" fillId="6" borderId="65" xfId="10" applyFont="1" applyFill="1" applyBorder="1" applyAlignment="1">
      <alignment vertical="center" wrapText="1"/>
    </xf>
    <xf numFmtId="168" fontId="47" fillId="6" borderId="64" xfId="10" applyNumberFormat="1" applyFont="1" applyFill="1" applyBorder="1" applyAlignment="1">
      <alignment vertical="center" wrapText="1"/>
    </xf>
    <xf numFmtId="165" fontId="47" fillId="6" borderId="66" xfId="10" applyFont="1" applyFill="1" applyBorder="1" applyAlignment="1">
      <alignment vertical="center" wrapText="1"/>
    </xf>
    <xf numFmtId="168" fontId="47" fillId="6" borderId="67" xfId="10" applyNumberFormat="1" applyFont="1" applyFill="1" applyBorder="1" applyAlignment="1">
      <alignment vertical="center" wrapText="1"/>
    </xf>
    <xf numFmtId="165" fontId="47" fillId="6" borderId="68" xfId="10" applyFont="1" applyFill="1" applyBorder="1" applyAlignment="1">
      <alignment vertical="center" wrapText="1"/>
    </xf>
    <xf numFmtId="169" fontId="47" fillId="6" borderId="0" xfId="9" applyNumberFormat="1" applyFont="1" applyFill="1" applyBorder="1" applyAlignment="1">
      <alignment horizontal="center" vertical="center" wrapText="1"/>
    </xf>
    <xf numFmtId="10" fontId="48" fillId="6" borderId="0" xfId="3" applyNumberFormat="1" applyFont="1" applyFill="1"/>
    <xf numFmtId="176" fontId="48" fillId="6" borderId="0" xfId="3" applyNumberFormat="1" applyFont="1" applyFill="1" applyBorder="1" applyAlignment="1">
      <alignment vertical="center" wrapText="1"/>
    </xf>
    <xf numFmtId="0" fontId="64" fillId="0" borderId="0" xfId="0" applyFont="1" applyAlignment="1"/>
    <xf numFmtId="9" fontId="65" fillId="0" borderId="0" xfId="3" applyFont="1" applyAlignment="1">
      <alignment horizontal="center"/>
    </xf>
    <xf numFmtId="9" fontId="61" fillId="0" borderId="0" xfId="3" applyFont="1" applyAlignment="1">
      <alignment horizontal="center"/>
    </xf>
    <xf numFmtId="0" fontId="66" fillId="6" borderId="0" xfId="9" applyFont="1" applyFill="1" applyBorder="1"/>
    <xf numFmtId="0" fontId="66" fillId="6" borderId="0" xfId="9" applyFont="1" applyFill="1"/>
    <xf numFmtId="9" fontId="66" fillId="6" borderId="0" xfId="9" applyNumberFormat="1" applyFont="1" applyFill="1"/>
    <xf numFmtId="175" fontId="66" fillId="6" borderId="0" xfId="3" applyNumberFormat="1" applyFont="1" applyFill="1"/>
    <xf numFmtId="10" fontId="10" fillId="0" borderId="0" xfId="3" applyNumberFormat="1" applyFont="1" applyBorder="1" applyAlignment="1" applyProtection="1">
      <alignment horizontal="left" vertical="top" indent="1"/>
    </xf>
    <xf numFmtId="173" fontId="20" fillId="0" borderId="0" xfId="3" applyNumberFormat="1" applyFont="1" applyBorder="1" applyAlignment="1" applyProtection="1">
      <alignment horizontal="left" vertical="top" indent="1"/>
    </xf>
    <xf numFmtId="172" fontId="20" fillId="0" borderId="0" xfId="3" applyNumberFormat="1" applyFont="1" applyBorder="1" applyAlignment="1" applyProtection="1">
      <alignment horizontal="left" vertical="top" indent="1"/>
    </xf>
    <xf numFmtId="169" fontId="20" fillId="0" borderId="0" xfId="0" applyNumberFormat="1" applyFont="1" applyAlignment="1">
      <alignment horizontal="left"/>
    </xf>
    <xf numFmtId="0" fontId="3" fillId="0" borderId="22" xfId="0" applyNumberFormat="1" applyFont="1" applyBorder="1" applyAlignment="1" applyProtection="1">
      <alignment horizontal="left" vertical="top"/>
    </xf>
    <xf numFmtId="0" fontId="4" fillId="0" borderId="1" xfId="0" quotePrefix="1" applyFont="1" applyBorder="1" applyAlignment="1">
      <alignment horizontal="center"/>
    </xf>
    <xf numFmtId="0" fontId="3" fillId="0" borderId="1" xfId="0" applyNumberFormat="1" applyFont="1" applyBorder="1" applyAlignment="1">
      <alignment horizontal="left" vertical="top"/>
    </xf>
    <xf numFmtId="0" fontId="5" fillId="6" borderId="0" xfId="0" applyFont="1" applyFill="1" applyAlignment="1">
      <alignment horizontal="left" indent="2"/>
    </xf>
    <xf numFmtId="0" fontId="21" fillId="0" borderId="0" xfId="0" applyFont="1" applyProtection="1">
      <protection locked="0"/>
    </xf>
    <xf numFmtId="0" fontId="29" fillId="0" borderId="0" xfId="0" applyFont="1" applyProtection="1">
      <protection locked="0"/>
    </xf>
    <xf numFmtId="0" fontId="4" fillId="0" borderId="0" xfId="0" applyFont="1" applyAlignment="1" applyProtection="1">
      <alignment horizontal="right"/>
      <protection locked="0"/>
    </xf>
    <xf numFmtId="0" fontId="4" fillId="0" borderId="0" xfId="0" applyFont="1" applyBorder="1" applyAlignment="1" applyProtection="1">
      <alignment horizontal="right"/>
      <protection locked="0"/>
    </xf>
    <xf numFmtId="0" fontId="29" fillId="0" borderId="0" xfId="0" applyFont="1" applyBorder="1" applyProtection="1">
      <protection locked="0"/>
    </xf>
    <xf numFmtId="0" fontId="21" fillId="0" borderId="0" xfId="0" applyFont="1" applyBorder="1" applyAlignment="1" applyProtection="1">
      <alignment horizontal="center" vertical="center"/>
      <protection locked="0"/>
    </xf>
    <xf numFmtId="0" fontId="4" fillId="0" borderId="0" xfId="0" applyFont="1"/>
    <xf numFmtId="0" fontId="4" fillId="0" borderId="1" xfId="0" applyFont="1" applyBorder="1" applyAlignment="1">
      <alignment horizontal="center" wrapText="1"/>
    </xf>
    <xf numFmtId="0" fontId="3" fillId="0" borderId="1" xfId="0" applyNumberFormat="1" applyFont="1" applyBorder="1" applyAlignment="1">
      <alignment horizontal="left" vertical="top" wrapText="1"/>
    </xf>
    <xf numFmtId="0" fontId="67" fillId="6" borderId="25" xfId="0" applyFont="1" applyFill="1" applyBorder="1" applyAlignment="1" applyProtection="1">
      <alignment horizontal="left" vertical="center"/>
      <protection locked="0"/>
    </xf>
    <xf numFmtId="0" fontId="9" fillId="6" borderId="25" xfId="0" applyFont="1" applyFill="1" applyBorder="1" applyAlignment="1" applyProtection="1">
      <alignment horizontal="left" vertical="center"/>
      <protection locked="0"/>
    </xf>
    <xf numFmtId="9" fontId="10" fillId="7" borderId="33" xfId="6" applyFont="1" applyFill="1" applyBorder="1" applyAlignment="1" applyProtection="1">
      <alignment horizontal="center" vertical="center"/>
      <protection locked="0"/>
    </xf>
    <xf numFmtId="0" fontId="7" fillId="0" borderId="51" xfId="0" applyNumberFormat="1" applyFont="1" applyBorder="1" applyAlignment="1">
      <alignment horizontal="center" vertical="top"/>
    </xf>
    <xf numFmtId="0" fontId="5" fillId="0" borderId="1" xfId="0" applyFont="1" applyBorder="1" applyAlignment="1">
      <alignment horizontal="left"/>
    </xf>
    <xf numFmtId="0" fontId="56" fillId="6" borderId="0" xfId="9" applyFont="1" applyFill="1" applyBorder="1" applyAlignment="1">
      <alignment vertical="center" wrapText="1"/>
    </xf>
    <xf numFmtId="0" fontId="0" fillId="11" borderId="24" xfId="0" applyFill="1" applyBorder="1" applyAlignment="1" applyProtection="1">
      <alignment horizontal="center"/>
      <protection locked="0"/>
    </xf>
    <xf numFmtId="0" fontId="3" fillId="0" borderId="1" xfId="0" applyFont="1" applyBorder="1" applyAlignment="1">
      <alignment horizontal="left" vertical="top"/>
    </xf>
    <xf numFmtId="0" fontId="56" fillId="6" borderId="0" xfId="9" applyFont="1" applyFill="1" applyBorder="1" applyAlignment="1">
      <alignment vertical="center" wrapText="1"/>
    </xf>
    <xf numFmtId="0" fontId="45" fillId="0" borderId="8" xfId="0" applyFont="1" applyBorder="1"/>
    <xf numFmtId="0" fontId="45" fillId="0" borderId="8" xfId="0" applyFont="1" applyBorder="1" applyAlignment="1">
      <alignment horizontal="center"/>
    </xf>
    <xf numFmtId="0" fontId="45" fillId="0" borderId="12" xfId="0" applyFont="1" applyBorder="1" applyAlignment="1">
      <alignment horizontal="center"/>
    </xf>
    <xf numFmtId="0" fontId="56" fillId="6" borderId="70" xfId="9" applyFont="1" applyFill="1" applyBorder="1" applyAlignment="1">
      <alignment horizontal="center" vertical="center" wrapText="1"/>
    </xf>
    <xf numFmtId="0" fontId="56" fillId="6" borderId="71" xfId="9" applyFont="1" applyFill="1" applyBorder="1" applyAlignment="1">
      <alignment horizontal="center" vertical="center" wrapText="1"/>
    </xf>
    <xf numFmtId="0" fontId="7" fillId="0" borderId="30" xfId="0" applyNumberFormat="1" applyFont="1" applyBorder="1" applyAlignment="1">
      <alignment horizontal="left" vertical="top"/>
    </xf>
    <xf numFmtId="0" fontId="7" fillId="0" borderId="0" xfId="0" applyNumberFormat="1" applyFont="1" applyBorder="1" applyAlignment="1">
      <alignment horizontal="left" vertical="top" wrapText="1"/>
    </xf>
    <xf numFmtId="0" fontId="0" fillId="0" borderId="0" xfId="0" applyBorder="1" applyAlignment="1">
      <alignment horizontal="left" vertical="top" wrapText="1"/>
    </xf>
    <xf numFmtId="0" fontId="5" fillId="0" borderId="0" xfId="0" applyFont="1" applyBorder="1" applyAlignment="1" applyProtection="1">
      <alignment wrapText="1"/>
      <protection locked="0"/>
    </xf>
    <xf numFmtId="0" fontId="3" fillId="0" borderId="0" xfId="0" applyFont="1" applyBorder="1" applyAlignment="1" applyProtection="1">
      <alignment horizontal="center" vertical="top"/>
      <protection locked="0"/>
    </xf>
    <xf numFmtId="169" fontId="3" fillId="6" borderId="0" xfId="0" applyNumberFormat="1" applyFont="1" applyFill="1" applyBorder="1" applyAlignment="1">
      <alignment horizontal="right" vertical="top"/>
    </xf>
    <xf numFmtId="0" fontId="11" fillId="0" borderId="30" xfId="0" applyFont="1" applyBorder="1" applyAlignment="1">
      <alignment horizontal="left"/>
    </xf>
    <xf numFmtId="0" fontId="11" fillId="0" borderId="0" xfId="0" applyFont="1" applyBorder="1" applyAlignment="1">
      <alignment horizontal="left" wrapText="1"/>
    </xf>
    <xf numFmtId="0" fontId="11" fillId="0" borderId="0" xfId="0" applyFont="1" applyBorder="1"/>
    <xf numFmtId="0" fontId="11" fillId="0" borderId="0" xfId="0" applyFont="1" applyBorder="1" applyAlignment="1">
      <alignment horizontal="center"/>
    </xf>
    <xf numFmtId="0" fontId="11" fillId="0" borderId="31" xfId="0" applyFont="1" applyBorder="1" applyAlignment="1">
      <alignment horizontal="center" vertical="top"/>
    </xf>
    <xf numFmtId="0" fontId="56" fillId="6" borderId="0" xfId="9" applyFont="1" applyFill="1" applyBorder="1" applyAlignment="1">
      <alignment vertical="center" wrapText="1"/>
    </xf>
    <xf numFmtId="0" fontId="3" fillId="11" borderId="46" xfId="0" applyFont="1" applyFill="1" applyBorder="1" applyAlignment="1" applyProtection="1">
      <alignment wrapText="1"/>
      <protection locked="0"/>
    </xf>
    <xf numFmtId="0" fontId="69" fillId="6" borderId="0" xfId="9" applyFont="1" applyFill="1" applyBorder="1" applyAlignment="1">
      <alignment vertical="center" wrapText="1"/>
    </xf>
    <xf numFmtId="0" fontId="66" fillId="6" borderId="0" xfId="9" applyFont="1" applyFill="1" applyBorder="1" applyAlignment="1">
      <alignment horizontal="center" vertical="center" wrapText="1"/>
    </xf>
    <xf numFmtId="0" fontId="70" fillId="6" borderId="0" xfId="9" applyFont="1" applyFill="1" applyAlignment="1">
      <alignment vertical="center"/>
    </xf>
    <xf numFmtId="174" fontId="66" fillId="6" borderId="0" xfId="9" applyNumberFormat="1" applyFont="1" applyFill="1"/>
    <xf numFmtId="0" fontId="72" fillId="0" borderId="0" xfId="0" applyFont="1"/>
    <xf numFmtId="0" fontId="0" fillId="0" borderId="0" xfId="0" applyFill="1" applyBorder="1"/>
    <xf numFmtId="0" fontId="47" fillId="0" borderId="75" xfId="0" applyFont="1" applyBorder="1" applyAlignment="1">
      <alignment vertical="center" wrapText="1"/>
    </xf>
    <xf numFmtId="0" fontId="59" fillId="0" borderId="76" xfId="0" applyFont="1" applyBorder="1" applyAlignment="1">
      <alignment vertical="center" wrapText="1"/>
    </xf>
    <xf numFmtId="0" fontId="73" fillId="0" borderId="76" xfId="0" applyFont="1" applyBorder="1" applyAlignment="1">
      <alignment horizontal="center" vertical="center" wrapText="1"/>
    </xf>
    <xf numFmtId="0" fontId="73" fillId="0" borderId="75" xfId="0" applyFont="1" applyBorder="1" applyAlignment="1">
      <alignment horizontal="center" vertical="center" wrapText="1"/>
    </xf>
    <xf numFmtId="0" fontId="59" fillId="0" borderId="77" xfId="0" applyFont="1" applyBorder="1" applyAlignment="1">
      <alignment horizontal="center" vertical="center" wrapText="1"/>
    </xf>
    <xf numFmtId="0" fontId="74" fillId="16" borderId="78" xfId="0" applyFont="1" applyFill="1" applyBorder="1" applyAlignment="1">
      <alignment horizontal="right" vertical="center" wrapText="1"/>
    </xf>
    <xf numFmtId="0" fontId="75" fillId="16" borderId="79" xfId="0" applyFont="1" applyFill="1" applyBorder="1" applyAlignment="1">
      <alignment horizontal="center" vertical="center" wrapText="1"/>
    </xf>
    <xf numFmtId="0" fontId="75" fillId="16" borderId="80" xfId="0" applyFont="1" applyFill="1" applyBorder="1" applyAlignment="1">
      <alignment horizontal="center" vertical="center" wrapText="1"/>
    </xf>
    <xf numFmtId="0" fontId="73" fillId="0" borderId="81" xfId="0" applyFont="1" applyBorder="1" applyAlignment="1">
      <alignment horizontal="center" vertical="center" wrapText="1"/>
    </xf>
    <xf numFmtId="0" fontId="75" fillId="16" borderId="82" xfId="0" applyFont="1" applyFill="1" applyBorder="1" applyAlignment="1">
      <alignment horizontal="right" vertical="center" wrapText="1"/>
    </xf>
    <xf numFmtId="0" fontId="27" fillId="0" borderId="83" xfId="0" applyFont="1" applyBorder="1" applyAlignment="1">
      <alignment horizontal="center" vertical="center" wrapText="1"/>
    </xf>
    <xf numFmtId="0" fontId="27" fillId="0" borderId="80" xfId="0" applyFont="1" applyBorder="1" applyAlignment="1">
      <alignment horizontal="center" vertical="center" wrapText="1"/>
    </xf>
    <xf numFmtId="0" fontId="75" fillId="16" borderId="83" xfId="0" applyFont="1" applyFill="1" applyBorder="1" applyAlignment="1">
      <alignment horizontal="right" vertical="center" wrapText="1"/>
    </xf>
    <xf numFmtId="174" fontId="47" fillId="11" borderId="94" xfId="10" applyNumberFormat="1" applyFont="1" applyFill="1" applyBorder="1" applyAlignment="1" applyProtection="1">
      <alignment vertical="center"/>
      <protection locked="0"/>
    </xf>
    <xf numFmtId="168" fontId="47" fillId="6" borderId="94" xfId="10" applyNumberFormat="1" applyFont="1" applyFill="1" applyBorder="1" applyAlignment="1">
      <alignment vertical="center" wrapText="1"/>
    </xf>
    <xf numFmtId="0" fontId="3" fillId="0" borderId="46" xfId="0" applyFont="1" applyBorder="1" applyAlignment="1" applyProtection="1">
      <alignment vertical="top" wrapText="1"/>
      <protection locked="0"/>
    </xf>
    <xf numFmtId="0" fontId="56" fillId="6" borderId="0" xfId="9" applyFont="1" applyFill="1" applyBorder="1" applyAlignment="1">
      <alignment vertical="center" wrapText="1"/>
    </xf>
    <xf numFmtId="168" fontId="0" fillId="0" borderId="0" xfId="1" applyNumberFormat="1" applyFont="1" applyFill="1" applyBorder="1" applyAlignment="1">
      <alignment horizontal="right"/>
    </xf>
    <xf numFmtId="168" fontId="3" fillId="0" borderId="1" xfId="1" applyNumberFormat="1" applyFont="1" applyFill="1" applyBorder="1" applyAlignment="1" applyProtection="1">
      <alignment horizontal="right"/>
      <protection locked="0"/>
    </xf>
    <xf numFmtId="0" fontId="7" fillId="0" borderId="0" xfId="0" applyFont="1" applyFill="1" applyBorder="1" applyAlignment="1">
      <alignment horizontal="left"/>
    </xf>
    <xf numFmtId="0" fontId="59" fillId="0" borderId="1" xfId="0" applyFont="1" applyBorder="1" applyAlignment="1">
      <alignment vertical="center" wrapText="1"/>
    </xf>
    <xf numFmtId="0" fontId="78" fillId="0" borderId="38" xfId="0" applyFont="1" applyBorder="1" applyAlignment="1">
      <alignment horizontal="left"/>
    </xf>
    <xf numFmtId="0" fontId="0" fillId="11" borderId="24" xfId="0" applyFill="1" applyBorder="1" applyAlignment="1" applyProtection="1">
      <alignment horizontal="center"/>
    </xf>
    <xf numFmtId="0" fontId="56" fillId="6" borderId="95" xfId="9" applyFont="1" applyFill="1" applyBorder="1" applyAlignment="1">
      <alignment horizontal="center" vertical="center" wrapText="1"/>
    </xf>
    <xf numFmtId="0" fontId="4" fillId="0" borderId="1" xfId="0" applyFont="1" applyFill="1" applyBorder="1" applyAlignment="1">
      <alignment horizontal="left"/>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0" borderId="1" xfId="0" applyFont="1" applyBorder="1" applyAlignment="1">
      <alignment horizontal="left" vertical="top" wrapText="1"/>
    </xf>
    <xf numFmtId="0" fontId="41" fillId="4" borderId="14" xfId="0" applyFont="1" applyFill="1" applyBorder="1" applyAlignment="1">
      <alignment vertical="center"/>
    </xf>
    <xf numFmtId="0" fontId="3" fillId="0" borderId="25" xfId="0" applyFont="1" applyBorder="1" applyAlignment="1">
      <alignment horizontal="left" vertical="center" wrapText="1"/>
    </xf>
    <xf numFmtId="0" fontId="4" fillId="0" borderId="1" xfId="0" applyFont="1" applyBorder="1" applyAlignment="1">
      <alignment horizontal="center" vertical="top" wrapText="1"/>
    </xf>
    <xf numFmtId="0" fontId="56" fillId="6" borderId="0" xfId="9" applyFont="1" applyFill="1" applyBorder="1" applyAlignment="1">
      <alignment horizontal="center" vertical="center" wrapText="1"/>
    </xf>
    <xf numFmtId="0" fontId="3" fillId="0" borderId="1" xfId="0" applyFont="1" applyBorder="1" applyAlignment="1" applyProtection="1">
      <alignment horizontal="left" vertical="top"/>
      <protection locked="0"/>
    </xf>
    <xf numFmtId="0" fontId="0" fillId="0" borderId="69" xfId="0" applyBorder="1" applyAlignment="1" applyProtection="1">
      <alignment horizontal="center" vertical="top"/>
    </xf>
    <xf numFmtId="0" fontId="0" fillId="0" borderId="52" xfId="0" applyBorder="1" applyAlignment="1" applyProtection="1">
      <alignment horizontal="center" vertical="top"/>
    </xf>
    <xf numFmtId="0" fontId="17" fillId="0" borderId="69" xfId="0" applyNumberFormat="1" applyFont="1" applyBorder="1" applyAlignment="1">
      <alignment horizontal="center" vertical="top"/>
    </xf>
    <xf numFmtId="0" fontId="17" fillId="0" borderId="52" xfId="0" applyNumberFormat="1" applyFont="1" applyBorder="1" applyAlignment="1">
      <alignment horizontal="center" vertical="top"/>
    </xf>
    <xf numFmtId="0" fontId="7" fillId="0" borderId="30" xfId="0" applyNumberFormat="1" applyFont="1" applyBorder="1" applyAlignment="1">
      <alignment horizontal="center" vertical="top"/>
    </xf>
    <xf numFmtId="0" fontId="7" fillId="0" borderId="24" xfId="0" applyNumberFormat="1" applyFont="1" applyBorder="1" applyAlignment="1">
      <alignment horizontal="left" vertical="top"/>
    </xf>
    <xf numFmtId="0" fontId="0" fillId="0" borderId="24" xfId="0" applyBorder="1" applyAlignment="1">
      <alignment horizontal="left" vertical="top" wrapText="1"/>
    </xf>
    <xf numFmtId="0" fontId="3" fillId="0" borderId="24" xfId="0" applyFont="1" applyBorder="1" applyAlignment="1" applyProtection="1">
      <alignment horizontal="left" vertical="top" wrapText="1"/>
    </xf>
    <xf numFmtId="0" fontId="17" fillId="0" borderId="51" xfId="0" applyNumberFormat="1" applyFont="1" applyBorder="1" applyAlignment="1">
      <alignment horizontal="center" vertical="top"/>
    </xf>
    <xf numFmtId="167" fontId="0" fillId="6" borderId="0" xfId="0" applyNumberFormat="1" applyFill="1" applyBorder="1" applyAlignment="1">
      <alignment horizontal="right" vertical="top"/>
    </xf>
    <xf numFmtId="0" fontId="17" fillId="0" borderId="41" xfId="0" applyNumberFormat="1" applyFont="1" applyBorder="1" applyAlignment="1">
      <alignment horizontal="left"/>
    </xf>
    <xf numFmtId="0" fontId="3" fillId="0" borderId="22" xfId="0" applyFont="1" applyBorder="1" applyAlignment="1" applyProtection="1">
      <alignment wrapText="1"/>
      <protection locked="0"/>
    </xf>
    <xf numFmtId="0" fontId="3" fillId="0" borderId="34" xfId="0" applyFont="1" applyBorder="1" applyAlignment="1" applyProtection="1">
      <alignment horizontal="left" vertical="top" wrapText="1"/>
    </xf>
    <xf numFmtId="167" fontId="0" fillId="6" borderId="34" xfId="0" applyNumberFormat="1" applyFill="1" applyBorder="1" applyAlignment="1">
      <alignment horizontal="right" vertical="top"/>
    </xf>
    <xf numFmtId="0" fontId="0" fillId="0" borderId="30" xfId="0" applyBorder="1" applyAlignment="1" applyProtection="1">
      <alignment horizontal="left" vertical="top"/>
    </xf>
    <xf numFmtId="0" fontId="3" fillId="0" borderId="0" xfId="0" applyFont="1" applyBorder="1" applyAlignment="1" applyProtection="1">
      <alignment horizontal="left" vertical="top"/>
    </xf>
    <xf numFmtId="169" fontId="0" fillId="6" borderId="0" xfId="0" applyNumberFormat="1" applyFill="1" applyBorder="1" applyAlignment="1" applyProtection="1">
      <alignment vertical="top"/>
    </xf>
    <xf numFmtId="0" fontId="14" fillId="0" borderId="0" xfId="0" applyFont="1" applyBorder="1" applyAlignment="1" applyProtection="1">
      <alignment horizontal="left" vertical="top"/>
      <protection locked="0"/>
    </xf>
    <xf numFmtId="0" fontId="81" fillId="0" borderId="0" xfId="0" applyFont="1" applyBorder="1" applyAlignment="1" applyProtection="1">
      <alignment horizontal="right" vertical="top"/>
      <protection locked="0"/>
    </xf>
    <xf numFmtId="0" fontId="77" fillId="0" borderId="0" xfId="0" applyFont="1" applyBorder="1" applyAlignment="1" applyProtection="1">
      <alignment horizontal="left" vertical="top"/>
    </xf>
    <xf numFmtId="0" fontId="77" fillId="0" borderId="0" xfId="0" applyNumberFormat="1" applyFont="1" applyBorder="1" applyAlignment="1">
      <alignment horizontal="left" vertical="top"/>
    </xf>
    <xf numFmtId="0" fontId="12" fillId="0" borderId="0" xfId="0" applyFont="1"/>
    <xf numFmtId="0" fontId="12" fillId="6" borderId="0" xfId="0" applyFont="1" applyFill="1"/>
    <xf numFmtId="0" fontId="12" fillId="6" borderId="0" xfId="0" applyFont="1" applyFill="1" applyAlignment="1">
      <alignment horizontal="center"/>
    </xf>
    <xf numFmtId="0" fontId="12" fillId="6" borderId="29" xfId="0" applyFont="1" applyFill="1" applyBorder="1"/>
    <xf numFmtId="0" fontId="12" fillId="6" borderId="31" xfId="0" applyFont="1" applyFill="1" applyBorder="1"/>
    <xf numFmtId="0" fontId="12" fillId="6" borderId="6" xfId="0" applyFont="1" applyFill="1" applyBorder="1"/>
    <xf numFmtId="170" fontId="7" fillId="0" borderId="0" xfId="2" applyNumberFormat="1" applyFont="1" applyBorder="1" applyAlignment="1">
      <alignment horizontal="left"/>
    </xf>
    <xf numFmtId="167" fontId="0" fillId="11" borderId="46" xfId="0" applyNumberFormat="1" applyFill="1" applyBorder="1" applyAlignment="1" applyProtection="1">
      <alignment horizontal="center"/>
      <protection locked="0"/>
    </xf>
    <xf numFmtId="167" fontId="0" fillId="11" borderId="19" xfId="0" applyNumberFormat="1" applyFill="1" applyBorder="1" applyAlignment="1" applyProtection="1">
      <alignment horizontal="center"/>
      <protection locked="0"/>
    </xf>
    <xf numFmtId="167" fontId="0" fillId="11" borderId="5" xfId="0" applyNumberFormat="1" applyFill="1" applyBorder="1" applyAlignment="1" applyProtection="1">
      <alignment horizontal="center"/>
      <protection locked="0"/>
    </xf>
    <xf numFmtId="167" fontId="0" fillId="0" borderId="39" xfId="0" applyNumberFormat="1" applyBorder="1"/>
    <xf numFmtId="0" fontId="0" fillId="0" borderId="96" xfId="0" applyBorder="1" applyAlignment="1" applyProtection="1">
      <alignment horizontal="left" vertical="top"/>
      <protection locked="0"/>
    </xf>
    <xf numFmtId="0" fontId="45" fillId="0" borderId="97" xfId="0" applyFont="1" applyBorder="1" applyAlignment="1" applyProtection="1">
      <alignment horizontal="left" vertical="top"/>
      <protection locked="0"/>
    </xf>
    <xf numFmtId="0" fontId="45" fillId="0" borderId="97" xfId="0" applyFont="1" applyFill="1" applyBorder="1" applyAlignment="1" applyProtection="1">
      <alignment wrapText="1"/>
      <protection locked="0"/>
    </xf>
    <xf numFmtId="0" fontId="45" fillId="0" borderId="97" xfId="0" applyFont="1" applyFill="1" applyBorder="1" applyAlignment="1" applyProtection="1">
      <alignment horizontal="center"/>
      <protection locked="0"/>
    </xf>
    <xf numFmtId="167" fontId="45" fillId="0" borderId="97" xfId="0" applyNumberFormat="1" applyFont="1" applyFill="1" applyBorder="1" applyAlignment="1" applyProtection="1">
      <alignment horizontal="center"/>
      <protection locked="0"/>
    </xf>
    <xf numFmtId="167" fontId="45" fillId="0" borderId="98" xfId="0" applyNumberFormat="1" applyFont="1" applyFill="1" applyBorder="1" applyAlignment="1">
      <alignment horizontal="right"/>
    </xf>
    <xf numFmtId="0" fontId="3" fillId="11" borderId="46" xfId="0" applyFont="1" applyFill="1" applyBorder="1" applyAlignment="1" applyProtection="1">
      <alignment horizontal="left" vertical="top"/>
      <protection locked="0"/>
    </xf>
    <xf numFmtId="0" fontId="3" fillId="11" borderId="19" xfId="0" applyFont="1" applyFill="1" applyBorder="1" applyAlignment="1" applyProtection="1">
      <alignment horizontal="left" vertical="top"/>
      <protection locked="0"/>
    </xf>
    <xf numFmtId="0" fontId="0" fillId="11" borderId="5" xfId="0" applyFill="1" applyBorder="1" applyAlignment="1" applyProtection="1">
      <alignment horizontal="left"/>
      <protection locked="0"/>
    </xf>
    <xf numFmtId="0" fontId="39" fillId="0" borderId="0" xfId="0" applyFont="1"/>
    <xf numFmtId="0" fontId="3" fillId="0" borderId="0" xfId="0" applyFont="1" applyAlignment="1">
      <alignment horizontal="left"/>
    </xf>
    <xf numFmtId="168" fontId="3" fillId="0" borderId="0" xfId="1" applyNumberFormat="1" applyFont="1"/>
    <xf numFmtId="0" fontId="45" fillId="0" borderId="99" xfId="0" applyFont="1" applyBorder="1" applyAlignment="1">
      <alignment horizontal="left"/>
    </xf>
    <xf numFmtId="168" fontId="71" fillId="0" borderId="0" xfId="0" applyNumberFormat="1" applyFont="1"/>
    <xf numFmtId="0" fontId="3" fillId="0" borderId="0" xfId="0" applyFont="1" applyBorder="1" applyAlignment="1">
      <alignment horizontal="right"/>
    </xf>
    <xf numFmtId="37" fontId="7" fillId="0" borderId="0" xfId="2" applyNumberFormat="1" applyFont="1" applyBorder="1" applyAlignment="1">
      <alignment horizontal="center"/>
    </xf>
    <xf numFmtId="0" fontId="5" fillId="0" borderId="0" xfId="0" applyFont="1" applyBorder="1" applyAlignment="1">
      <alignment horizontal="right"/>
    </xf>
    <xf numFmtId="0" fontId="5" fillId="0" borderId="25" xfId="0" applyFont="1" applyBorder="1" applyAlignment="1">
      <alignment horizontal="right"/>
    </xf>
    <xf numFmtId="0" fontId="5" fillId="0" borderId="25" xfId="0" applyNumberFormat="1" applyFont="1" applyBorder="1" applyAlignment="1">
      <alignment horizontal="left"/>
    </xf>
    <xf numFmtId="37" fontId="5" fillId="0" borderId="0" xfId="2" applyNumberFormat="1" applyFont="1" applyBorder="1" applyAlignment="1">
      <alignment horizontal="center"/>
    </xf>
    <xf numFmtId="0" fontId="7" fillId="0" borderId="25" xfId="0" applyFont="1" applyBorder="1" applyAlignment="1">
      <alignment horizontal="right"/>
    </xf>
    <xf numFmtId="37" fontId="7" fillId="0" borderId="25" xfId="2" applyNumberFormat="1" applyFont="1" applyBorder="1" applyAlignment="1">
      <alignment horizontal="center"/>
    </xf>
    <xf numFmtId="0" fontId="3" fillId="0" borderId="46" xfId="0" applyFont="1" applyBorder="1" applyAlignment="1" applyProtection="1">
      <alignment horizontal="left" vertical="top" wrapText="1"/>
    </xf>
    <xf numFmtId="0" fontId="0" fillId="0" borderId="24" xfId="0" applyBorder="1" applyAlignment="1" applyProtection="1">
      <alignment horizontal="left" vertical="top" wrapText="1"/>
    </xf>
    <xf numFmtId="0" fontId="0" fillId="0" borderId="1" xfId="0" applyBorder="1" applyAlignment="1" applyProtection="1">
      <alignment horizontal="left" vertical="top" wrapText="1"/>
    </xf>
    <xf numFmtId="0" fontId="0" fillId="0" borderId="46" xfId="0" applyBorder="1" applyAlignment="1" applyProtection="1">
      <alignment horizontal="left" vertical="top" wrapText="1"/>
    </xf>
    <xf numFmtId="0" fontId="3" fillId="0" borderId="5" xfId="0" applyFont="1" applyBorder="1" applyAlignment="1" applyProtection="1">
      <alignment horizontal="left" wrapText="1"/>
    </xf>
    <xf numFmtId="0" fontId="0" fillId="0" borderId="5" xfId="0" applyBorder="1" applyAlignment="1" applyProtection="1">
      <alignment horizontal="left" wrapText="1"/>
    </xf>
    <xf numFmtId="0" fontId="3" fillId="0" borderId="0" xfId="0" applyFont="1" applyBorder="1" applyAlignment="1">
      <alignment horizontal="center"/>
    </xf>
    <xf numFmtId="0" fontId="41" fillId="0" borderId="38" xfId="0" applyFont="1" applyBorder="1" applyAlignment="1" applyProtection="1">
      <alignment horizontal="right" vertical="top"/>
      <protection locked="0"/>
    </xf>
    <xf numFmtId="0" fontId="41" fillId="0" borderId="32" xfId="0" applyFont="1" applyBorder="1" applyAlignment="1" applyProtection="1">
      <alignment horizontal="right"/>
      <protection locked="0"/>
    </xf>
    <xf numFmtId="0" fontId="12" fillId="0" borderId="0" xfId="0" applyFont="1" applyAlignment="1">
      <alignment horizontal="center"/>
    </xf>
    <xf numFmtId="0" fontId="12" fillId="0" borderId="0" xfId="0" applyFont="1" applyBorder="1"/>
    <xf numFmtId="0" fontId="12" fillId="0" borderId="0" xfId="0" applyFont="1" applyBorder="1" applyAlignment="1">
      <alignment horizontal="center"/>
    </xf>
    <xf numFmtId="37" fontId="43" fillId="0" borderId="0" xfId="0" applyNumberFormat="1" applyFont="1" applyBorder="1" applyAlignment="1" applyProtection="1">
      <alignment horizontal="center" vertical="top"/>
      <protection locked="0"/>
    </xf>
    <xf numFmtId="0" fontId="60" fillId="0" borderId="0" xfId="0" applyFont="1" applyBorder="1" applyAlignment="1" applyProtection="1">
      <alignment horizontal="left" vertical="top" wrapText="1" indent="1"/>
      <protection locked="0"/>
    </xf>
    <xf numFmtId="0" fontId="12" fillId="0" borderId="0" xfId="0" applyFont="1" applyBorder="1" applyAlignment="1">
      <alignment horizontal="right"/>
    </xf>
    <xf numFmtId="37" fontId="12" fillId="0" borderId="0" xfId="2" applyNumberFormat="1" applyFont="1" applyBorder="1" applyAlignment="1">
      <alignment horizontal="center"/>
    </xf>
    <xf numFmtId="0" fontId="20" fillId="0" borderId="0" xfId="0" applyFont="1" applyAlignment="1">
      <alignment horizontal="left"/>
    </xf>
    <xf numFmtId="169" fontId="20" fillId="0" borderId="0" xfId="0" applyNumberFormat="1" applyFont="1" applyAlignment="1">
      <alignment horizontal="left" vertical="top"/>
    </xf>
    <xf numFmtId="0" fontId="20" fillId="0" borderId="0" xfId="0" applyFont="1" applyBorder="1"/>
    <xf numFmtId="0" fontId="20" fillId="0" borderId="0" xfId="0" applyFont="1" applyFill="1" applyBorder="1"/>
    <xf numFmtId="175" fontId="20" fillId="0" borderId="0" xfId="3" applyNumberFormat="1" applyFont="1" applyBorder="1" applyAlignment="1">
      <alignment horizontal="left"/>
    </xf>
    <xf numFmtId="0" fontId="5" fillId="0" borderId="9" xfId="0" applyFont="1" applyBorder="1" applyAlignment="1" applyProtection="1">
      <alignment horizontal="left" vertical="top" indent="1"/>
      <protection locked="0"/>
    </xf>
    <xf numFmtId="37" fontId="5" fillId="0" borderId="9" xfId="0" applyNumberFormat="1" applyFont="1" applyBorder="1" applyAlignment="1" applyProtection="1">
      <alignment horizontal="center" vertical="center"/>
      <protection locked="0"/>
    </xf>
    <xf numFmtId="0" fontId="5" fillId="0" borderId="0" xfId="0" applyFont="1" applyBorder="1" applyAlignment="1" applyProtection="1">
      <alignment horizontal="left" vertical="top"/>
      <protection locked="0"/>
    </xf>
    <xf numFmtId="169" fontId="3" fillId="0" borderId="0" xfId="0" applyNumberFormat="1" applyFont="1" applyBorder="1" applyAlignment="1" applyProtection="1">
      <alignment horizontal="center" vertical="top"/>
      <protection locked="0"/>
    </xf>
    <xf numFmtId="9" fontId="0" fillId="0" borderId="0" xfId="3" applyFont="1" applyBorder="1" applyAlignment="1" applyProtection="1">
      <alignment horizontal="left" vertical="top" indent="1"/>
    </xf>
    <xf numFmtId="0" fontId="43" fillId="0" borderId="25" xfId="0" applyFont="1" applyBorder="1" applyAlignment="1" applyProtection="1">
      <alignment horizontal="left" vertical="top" indent="1"/>
      <protection locked="0"/>
    </xf>
    <xf numFmtId="9" fontId="5" fillId="0" borderId="25" xfId="3" applyFont="1" applyBorder="1" applyAlignment="1" applyProtection="1">
      <alignment horizontal="left" vertical="top" indent="1"/>
    </xf>
    <xf numFmtId="169" fontId="5" fillId="0" borderId="25" xfId="0" applyNumberFormat="1" applyFont="1" applyBorder="1" applyAlignment="1" applyProtection="1">
      <alignment horizontal="center" vertical="top"/>
      <protection locked="0"/>
    </xf>
    <xf numFmtId="0" fontId="5" fillId="0" borderId="25" xfId="0" applyFont="1" applyBorder="1" applyAlignment="1" applyProtection="1">
      <alignment horizontal="left" vertical="top" indent="1"/>
      <protection locked="0"/>
    </xf>
    <xf numFmtId="0" fontId="7" fillId="10" borderId="0" xfId="0" applyFont="1" applyFill="1" applyBorder="1" applyAlignment="1">
      <alignment horizontal="right"/>
    </xf>
    <xf numFmtId="169" fontId="7" fillId="0" borderId="0" xfId="0" applyNumberFormat="1" applyFont="1" applyBorder="1" applyAlignment="1">
      <alignment horizontal="center"/>
    </xf>
    <xf numFmtId="0" fontId="0" fillId="0" borderId="0" xfId="0" applyAlignment="1">
      <alignment horizontal="right"/>
    </xf>
    <xf numFmtId="0" fontId="3" fillId="0" borderId="100" xfId="0" applyFont="1" applyBorder="1"/>
    <xf numFmtId="0" fontId="0" fillId="0" borderId="100" xfId="0" applyBorder="1" applyAlignment="1">
      <alignment horizontal="center"/>
    </xf>
    <xf numFmtId="170" fontId="0" fillId="0" borderId="100" xfId="2" applyNumberFormat="1" applyFont="1" applyBorder="1"/>
    <xf numFmtId="0" fontId="5" fillId="2" borderId="17" xfId="0" applyFont="1" applyFill="1" applyBorder="1" applyProtection="1"/>
    <xf numFmtId="0" fontId="3" fillId="0" borderId="100" xfId="0" quotePrefix="1" applyFont="1" applyBorder="1" applyAlignment="1">
      <alignment horizontal="center"/>
    </xf>
    <xf numFmtId="0" fontId="17" fillId="0" borderId="38" xfId="0" applyNumberFormat="1" applyFont="1" applyBorder="1" applyAlignment="1">
      <alignment horizontal="left" vertical="top"/>
    </xf>
    <xf numFmtId="0" fontId="17" fillId="0" borderId="25" xfId="0" applyNumberFormat="1" applyFont="1" applyBorder="1" applyAlignment="1">
      <alignment horizontal="left" vertical="top"/>
    </xf>
    <xf numFmtId="0" fontId="21" fillId="0" borderId="0" xfId="0" applyFont="1" applyAlignment="1">
      <alignment horizontal="center"/>
    </xf>
    <xf numFmtId="0" fontId="17" fillId="0" borderId="38" xfId="0" applyNumberFormat="1" applyFont="1" applyBorder="1" applyAlignment="1">
      <alignment horizontal="left"/>
    </xf>
    <xf numFmtId="0" fontId="3" fillId="0" borderId="25" xfId="0" applyFont="1" applyBorder="1" applyAlignment="1" applyProtection="1">
      <alignment horizontal="left" vertical="top" wrapText="1"/>
      <protection locked="0"/>
    </xf>
    <xf numFmtId="0" fontId="5" fillId="0" borderId="46" xfId="0" applyFont="1" applyBorder="1" applyAlignment="1" applyProtection="1">
      <alignment vertical="top" wrapText="1"/>
      <protection locked="0"/>
    </xf>
    <xf numFmtId="0" fontId="39" fillId="5" borderId="0" xfId="0" applyFont="1" applyFill="1"/>
    <xf numFmtId="0" fontId="39" fillId="5" borderId="0" xfId="0" applyFont="1" applyFill="1" applyAlignment="1">
      <alignment horizontal="center"/>
    </xf>
    <xf numFmtId="0" fontId="39" fillId="5" borderId="0" xfId="0" applyFont="1" applyFill="1" applyAlignment="1">
      <alignment horizontal="center" vertical="center"/>
    </xf>
    <xf numFmtId="0" fontId="45" fillId="0" borderId="25" xfId="0" applyFont="1" applyBorder="1"/>
    <xf numFmtId="0" fontId="45" fillId="0" borderId="25" xfId="0" applyFont="1" applyBorder="1" applyAlignment="1">
      <alignment horizontal="center"/>
    </xf>
    <xf numFmtId="0" fontId="45" fillId="0" borderId="25" xfId="0" applyFont="1" applyBorder="1" applyAlignment="1">
      <alignment horizontal="right"/>
    </xf>
    <xf numFmtId="169" fontId="0" fillId="6" borderId="1" xfId="0" applyNumberFormat="1" applyFill="1" applyBorder="1" applyProtection="1">
      <protection locked="0"/>
    </xf>
    <xf numFmtId="0" fontId="0" fillId="0" borderId="0" xfId="0" pivotButton="1"/>
    <xf numFmtId="0" fontId="0" fillId="6" borderId="0" xfId="0" applyFill="1" applyAlignment="1">
      <alignment horizontal="center"/>
    </xf>
    <xf numFmtId="0" fontId="3" fillId="0" borderId="24" xfId="0" applyFont="1" applyBorder="1" applyAlignment="1" applyProtection="1">
      <alignment horizontal="left" vertical="top"/>
      <protection locked="0"/>
    </xf>
    <xf numFmtId="3" fontId="0" fillId="0" borderId="0" xfId="0" applyNumberFormat="1" applyAlignment="1">
      <alignment horizontal="center"/>
    </xf>
    <xf numFmtId="168" fontId="39" fillId="12" borderId="0" xfId="1" applyNumberFormat="1" applyFont="1" applyFill="1"/>
    <xf numFmtId="0" fontId="3" fillId="0" borderId="100" xfId="0" applyFont="1" applyBorder="1" applyAlignment="1">
      <alignment horizontal="left"/>
    </xf>
    <xf numFmtId="168" fontId="5" fillId="0" borderId="18" xfId="1" applyNumberFormat="1" applyFont="1" applyFill="1" applyBorder="1" applyAlignment="1" applyProtection="1">
      <alignment horizontal="left" vertical="center"/>
    </xf>
    <xf numFmtId="0" fontId="0" fillId="6" borderId="0" xfId="0" applyFill="1" applyAlignment="1" applyProtection="1">
      <alignment horizontal="center"/>
      <protection locked="0"/>
    </xf>
    <xf numFmtId="0" fontId="0" fillId="0" borderId="0" xfId="0" pivotButton="1" applyAlignment="1" applyProtection="1">
      <alignment vertical="center"/>
      <protection locked="0"/>
    </xf>
    <xf numFmtId="0" fontId="3" fillId="0" borderId="0" xfId="0" applyFont="1" applyProtection="1">
      <protection locked="0"/>
    </xf>
    <xf numFmtId="0" fontId="0" fillId="0" borderId="0" xfId="0" applyNumberFormat="1" applyAlignment="1" applyProtection="1">
      <alignment horizontal="center"/>
      <protection locked="0"/>
    </xf>
    <xf numFmtId="0" fontId="0" fillId="5" borderId="0" xfId="0" applyFill="1" applyProtection="1">
      <protection locked="0"/>
    </xf>
    <xf numFmtId="169" fontId="0" fillId="11" borderId="1" xfId="0" applyNumberFormat="1" applyFill="1" applyBorder="1" applyProtection="1">
      <protection locked="0"/>
    </xf>
    <xf numFmtId="169" fontId="12" fillId="0" borderId="0" xfId="0" applyNumberFormat="1" applyFont="1" applyBorder="1" applyAlignment="1" applyProtection="1">
      <alignment horizontal="left" vertical="top" indent="1"/>
    </xf>
    <xf numFmtId="170" fontId="12" fillId="0" borderId="0" xfId="2" applyNumberFormat="1" applyFont="1" applyBorder="1" applyAlignment="1" applyProtection="1">
      <alignment horizontal="left" vertical="top" indent="1"/>
    </xf>
    <xf numFmtId="169" fontId="0" fillId="6" borderId="1" xfId="0" applyNumberFormat="1" applyFill="1" applyBorder="1" applyAlignment="1">
      <alignment horizontal="right" vertical="top"/>
    </xf>
    <xf numFmtId="0" fontId="48" fillId="5" borderId="0" xfId="7" applyFont="1" applyFill="1"/>
    <xf numFmtId="0" fontId="48" fillId="5" borderId="0" xfId="7" applyFont="1" applyFill="1" applyAlignment="1">
      <alignment horizontal="center"/>
    </xf>
    <xf numFmtId="0" fontId="44" fillId="5" borderId="0" xfId="7" applyFont="1" applyFill="1" applyAlignment="1">
      <alignment horizontal="center" vertical="center"/>
    </xf>
    <xf numFmtId="0" fontId="49" fillId="5" borderId="0" xfId="7" applyNumberFormat="1" applyFont="1" applyFill="1"/>
    <xf numFmtId="0" fontId="49" fillId="5" borderId="0" xfId="7" applyNumberFormat="1" applyFont="1" applyFill="1" applyAlignment="1">
      <alignment horizontal="center"/>
    </xf>
    <xf numFmtId="15" fontId="49" fillId="5" borderId="0" xfId="7" applyNumberFormat="1" applyFont="1" applyFill="1" applyAlignment="1">
      <alignment horizontal="center" vertical="center"/>
    </xf>
    <xf numFmtId="0" fontId="3" fillId="5" borderId="0" xfId="7" applyFont="1" applyFill="1"/>
    <xf numFmtId="0" fontId="44" fillId="5" borderId="0" xfId="7" applyFont="1" applyFill="1"/>
    <xf numFmtId="0" fontId="50" fillId="6" borderId="0" xfId="7" applyFont="1" applyFill="1" applyAlignment="1">
      <alignment horizontal="center" vertical="center"/>
    </xf>
    <xf numFmtId="15" fontId="49" fillId="6" borderId="0" xfId="7" applyNumberFormat="1" applyFont="1" applyFill="1" applyAlignment="1">
      <alignment horizontal="center" vertical="center"/>
    </xf>
    <xf numFmtId="0" fontId="3" fillId="6" borderId="0" xfId="7" applyFont="1" applyFill="1"/>
    <xf numFmtId="0" fontId="48" fillId="6" borderId="0" xfId="7" applyFont="1" applyFill="1"/>
    <xf numFmtId="0" fontId="48" fillId="6" borderId="0" xfId="7" applyFont="1" applyFill="1" applyAlignment="1">
      <alignment horizontal="center"/>
    </xf>
    <xf numFmtId="0" fontId="44" fillId="6" borderId="0" xfId="7" applyFont="1" applyFill="1" applyAlignment="1">
      <alignment horizontal="center" vertical="center"/>
    </xf>
    <xf numFmtId="0" fontId="44" fillId="6" borderId="0" xfId="7" applyFont="1" applyFill="1"/>
    <xf numFmtId="0" fontId="51" fillId="6" borderId="55" xfId="7" applyFont="1" applyFill="1" applyBorder="1" applyAlignment="1">
      <alignment vertical="center" wrapText="1"/>
    </xf>
    <xf numFmtId="0" fontId="51" fillId="6" borderId="56" xfId="7" applyFont="1" applyFill="1" applyBorder="1" applyAlignment="1">
      <alignment horizontal="center" vertical="center" wrapText="1"/>
    </xf>
    <xf numFmtId="0" fontId="52" fillId="6" borderId="56" xfId="7" applyFont="1" applyFill="1" applyBorder="1" applyAlignment="1">
      <alignment horizontal="center" vertical="center" wrapText="1"/>
    </xf>
    <xf numFmtId="0" fontId="52" fillId="6" borderId="56" xfId="7" applyFont="1" applyFill="1" applyBorder="1" applyAlignment="1">
      <alignment vertical="center" wrapText="1"/>
    </xf>
    <xf numFmtId="0" fontId="52" fillId="6" borderId="57" xfId="7" applyFont="1" applyFill="1" applyBorder="1" applyAlignment="1">
      <alignment vertical="center" wrapText="1"/>
    </xf>
    <xf numFmtId="0" fontId="78" fillId="6" borderId="32" xfId="7" applyFont="1" applyFill="1" applyBorder="1" applyAlignment="1">
      <alignment vertical="center"/>
    </xf>
    <xf numFmtId="0" fontId="17" fillId="6" borderId="9" xfId="7" applyFont="1" applyFill="1" applyBorder="1" applyAlignment="1">
      <alignment horizontal="center" vertical="center"/>
    </xf>
    <xf numFmtId="0" fontId="52" fillId="6" borderId="9" xfId="7" applyFont="1" applyFill="1" applyBorder="1" applyAlignment="1">
      <alignment horizontal="center" vertical="center"/>
    </xf>
    <xf numFmtId="0" fontId="52" fillId="6" borderId="9" xfId="7" applyFont="1" applyFill="1" applyBorder="1" applyAlignment="1">
      <alignment vertical="center"/>
    </xf>
    <xf numFmtId="0" fontId="52" fillId="6" borderId="9" xfId="7" applyFont="1" applyFill="1" applyBorder="1" applyAlignment="1">
      <alignment vertical="center" wrapText="1"/>
    </xf>
    <xf numFmtId="0" fontId="52" fillId="6" borderId="6" xfId="7" applyFont="1" applyFill="1" applyBorder="1" applyAlignment="1">
      <alignment vertical="center" wrapText="1"/>
    </xf>
    <xf numFmtId="0" fontId="27" fillId="6" borderId="41" xfId="7" applyFont="1" applyFill="1" applyBorder="1" applyAlignment="1">
      <alignment vertical="center" wrapText="1"/>
    </xf>
    <xf numFmtId="0" fontId="27" fillId="6" borderId="103" xfId="7" applyFont="1" applyFill="1" applyBorder="1" applyAlignment="1">
      <alignment horizontal="center" vertical="center" wrapText="1"/>
    </xf>
    <xf numFmtId="0" fontId="27" fillId="6" borderId="58" xfId="7" applyFont="1" applyFill="1" applyBorder="1" applyAlignment="1">
      <alignment horizontal="center" vertical="center" wrapText="1"/>
    </xf>
    <xf numFmtId="0" fontId="27" fillId="6" borderId="58" xfId="7" applyFont="1" applyFill="1" applyBorder="1" applyAlignment="1">
      <alignment vertical="center" wrapText="1"/>
    </xf>
    <xf numFmtId="168" fontId="27" fillId="6" borderId="58" xfId="8" applyNumberFormat="1" applyFont="1" applyFill="1" applyBorder="1" applyAlignment="1">
      <alignment horizontal="center" vertical="center" wrapText="1"/>
    </xf>
    <xf numFmtId="168" fontId="27" fillId="6" borderId="43" xfId="8" applyNumberFormat="1" applyFont="1" applyFill="1" applyBorder="1" applyAlignment="1">
      <alignment horizontal="center" vertical="center" wrapText="1"/>
    </xf>
    <xf numFmtId="0" fontId="27" fillId="6" borderId="47" xfId="7" applyFont="1" applyFill="1" applyBorder="1" applyAlignment="1">
      <alignment vertical="center" wrapText="1"/>
    </xf>
    <xf numFmtId="0" fontId="27" fillId="6" borderId="104" xfId="7" applyFont="1" applyFill="1" applyBorder="1" applyAlignment="1">
      <alignment horizontal="center" vertical="center" wrapText="1"/>
    </xf>
    <xf numFmtId="0" fontId="27" fillId="6" borderId="59" xfId="7" applyFont="1" applyFill="1" applyBorder="1" applyAlignment="1">
      <alignment horizontal="center" vertical="center" wrapText="1"/>
    </xf>
    <xf numFmtId="0" fontId="27" fillId="6" borderId="59" xfId="7" applyFont="1" applyFill="1" applyBorder="1" applyAlignment="1">
      <alignment vertical="center" wrapText="1"/>
    </xf>
    <xf numFmtId="168" fontId="27" fillId="6" borderId="59" xfId="8" applyNumberFormat="1" applyFont="1" applyFill="1" applyBorder="1" applyAlignment="1">
      <alignment horizontal="center" vertical="center" wrapText="1"/>
    </xf>
    <xf numFmtId="168" fontId="27" fillId="6" borderId="20" xfId="8" applyNumberFormat="1" applyFont="1" applyFill="1" applyBorder="1" applyAlignment="1">
      <alignment horizontal="center" vertical="center" wrapText="1"/>
    </xf>
    <xf numFmtId="0" fontId="27" fillId="6" borderId="60" xfId="7" applyFont="1" applyFill="1" applyBorder="1" applyAlignment="1">
      <alignment vertical="center" wrapText="1"/>
    </xf>
    <xf numFmtId="0" fontId="27" fillId="6" borderId="105" xfId="7" applyFont="1" applyFill="1" applyBorder="1" applyAlignment="1">
      <alignment horizontal="center" vertical="center" wrapText="1"/>
    </xf>
    <xf numFmtId="0" fontId="27" fillId="6" borderId="61" xfId="7" applyFont="1" applyFill="1" applyBorder="1" applyAlignment="1">
      <alignment horizontal="center" vertical="center" wrapText="1"/>
    </xf>
    <xf numFmtId="0" fontId="27" fillId="6" borderId="61" xfId="7" applyFont="1" applyFill="1" applyBorder="1" applyAlignment="1">
      <alignment vertical="center" wrapText="1"/>
    </xf>
    <xf numFmtId="168" fontId="27" fillId="6" borderId="61" xfId="8" applyNumberFormat="1" applyFont="1" applyFill="1" applyBorder="1" applyAlignment="1">
      <alignment horizontal="center" vertical="center" wrapText="1"/>
    </xf>
    <xf numFmtId="168" fontId="27" fillId="6" borderId="62" xfId="8" applyNumberFormat="1" applyFont="1" applyFill="1" applyBorder="1" applyAlignment="1">
      <alignment horizontal="center" vertical="center" wrapText="1"/>
    </xf>
    <xf numFmtId="0" fontId="17" fillId="6" borderId="32" xfId="7" applyFont="1" applyFill="1" applyBorder="1" applyAlignment="1">
      <alignment vertical="center"/>
    </xf>
    <xf numFmtId="0" fontId="44" fillId="6" borderId="7" xfId="7" applyFont="1" applyFill="1" applyBorder="1" applyAlignment="1">
      <alignment vertical="center"/>
    </xf>
    <xf numFmtId="0" fontId="44" fillId="6" borderId="101" xfId="7" applyFont="1" applyFill="1" applyBorder="1" applyAlignment="1">
      <alignment horizontal="center" vertical="center"/>
    </xf>
    <xf numFmtId="0" fontId="44" fillId="6" borderId="8" xfId="7" applyFont="1" applyFill="1" applyBorder="1" applyAlignment="1">
      <alignment horizontal="center" vertical="center" wrapText="1"/>
    </xf>
    <xf numFmtId="168" fontId="44" fillId="6" borderId="8" xfId="8" applyNumberFormat="1" applyFont="1" applyFill="1" applyBorder="1"/>
    <xf numFmtId="168" fontId="44" fillId="6" borderId="12" xfId="8" applyNumberFormat="1" applyFont="1" applyFill="1" applyBorder="1"/>
    <xf numFmtId="0" fontId="44" fillId="6" borderId="10" xfId="7" applyFont="1" applyFill="1" applyBorder="1" applyAlignment="1">
      <alignment vertical="center"/>
    </xf>
    <xf numFmtId="0" fontId="44" fillId="6" borderId="19" xfId="7" applyFont="1" applyFill="1" applyBorder="1" applyAlignment="1">
      <alignment horizontal="center" vertical="center"/>
    </xf>
    <xf numFmtId="0" fontId="44" fillId="6" borderId="1" xfId="7" applyFont="1" applyFill="1" applyBorder="1" applyAlignment="1">
      <alignment horizontal="center" vertical="center" wrapText="1"/>
    </xf>
    <xf numFmtId="168" fontId="44" fillId="6" borderId="1" xfId="8" applyNumberFormat="1" applyFont="1" applyFill="1" applyBorder="1"/>
    <xf numFmtId="168" fontId="44" fillId="6" borderId="2" xfId="8" applyNumberFormat="1" applyFont="1" applyFill="1" applyBorder="1"/>
    <xf numFmtId="0" fontId="44" fillId="6" borderId="11" xfId="7" applyFont="1" applyFill="1" applyBorder="1" applyAlignment="1">
      <alignment vertical="center"/>
    </xf>
    <xf numFmtId="0" fontId="44" fillId="6" borderId="102" xfId="7" applyFont="1" applyFill="1" applyBorder="1" applyAlignment="1">
      <alignment horizontal="center" vertical="center"/>
    </xf>
    <xf numFmtId="0" fontId="44" fillId="6" borderId="3" xfId="7" applyFont="1" applyFill="1" applyBorder="1" applyAlignment="1">
      <alignment horizontal="center" vertical="center" wrapText="1"/>
    </xf>
    <xf numFmtId="168" fontId="44" fillId="6" borderId="3" xfId="8" applyNumberFormat="1" applyFont="1" applyFill="1" applyBorder="1"/>
    <xf numFmtId="168" fontId="44" fillId="6" borderId="4" xfId="8" applyNumberFormat="1" applyFont="1" applyFill="1" applyBorder="1"/>
    <xf numFmtId="0" fontId="48" fillId="6" borderId="0" xfId="7" applyFont="1" applyFill="1" applyProtection="1">
      <protection locked="0"/>
    </xf>
    <xf numFmtId="0" fontId="53" fillId="6" borderId="25" xfId="7" applyFont="1" applyFill="1" applyBorder="1"/>
    <xf numFmtId="0" fontId="48" fillId="6" borderId="25" xfId="7" applyFont="1" applyFill="1" applyBorder="1"/>
    <xf numFmtId="165" fontId="53" fillId="6" borderId="25" xfId="7" applyNumberFormat="1" applyFont="1" applyFill="1" applyBorder="1"/>
    <xf numFmtId="0" fontId="86" fillId="6" borderId="0" xfId="7" applyFont="1" applyFill="1" applyAlignment="1">
      <alignment vertical="center"/>
    </xf>
    <xf numFmtId="0" fontId="87" fillId="6" borderId="16" xfId="7" applyFont="1" applyFill="1" applyBorder="1" applyAlignment="1">
      <alignment horizontal="center" vertical="center" wrapText="1"/>
    </xf>
    <xf numFmtId="0" fontId="87" fillId="6" borderId="14" xfId="7" applyFont="1" applyFill="1" applyBorder="1" applyAlignment="1">
      <alignment horizontal="center" vertical="center" wrapText="1"/>
    </xf>
    <xf numFmtId="0" fontId="49" fillId="6" borderId="0" xfId="7" applyNumberFormat="1" applyFont="1" applyFill="1"/>
    <xf numFmtId="0" fontId="49" fillId="6" borderId="0" xfId="7" applyNumberFormat="1" applyFont="1" applyFill="1" applyAlignment="1">
      <alignment horizontal="center"/>
    </xf>
    <xf numFmtId="0" fontId="0" fillId="0" borderId="0" xfId="0" applyFill="1" applyBorder="1" applyAlignment="1">
      <alignment horizontal="left"/>
    </xf>
    <xf numFmtId="0" fontId="88" fillId="0" borderId="0" xfId="0" applyFont="1"/>
    <xf numFmtId="0" fontId="89" fillId="0" borderId="9" xfId="0" applyFont="1" applyBorder="1"/>
    <xf numFmtId="0" fontId="5" fillId="12" borderId="33" xfId="0" applyFont="1" applyFill="1" applyBorder="1" applyAlignment="1" applyProtection="1">
      <protection locked="0"/>
    </xf>
    <xf numFmtId="0" fontId="5" fillId="12" borderId="19" xfId="0" applyFont="1" applyFill="1" applyBorder="1" applyAlignment="1" applyProtection="1">
      <protection locked="0"/>
    </xf>
    <xf numFmtId="0" fontId="9" fillId="7" borderId="25" xfId="0" applyFont="1" applyFill="1" applyBorder="1" applyProtection="1">
      <protection locked="0"/>
    </xf>
    <xf numFmtId="168" fontId="0" fillId="0" borderId="0" xfId="0" applyNumberFormat="1"/>
    <xf numFmtId="0" fontId="10" fillId="7" borderId="0" xfId="0" applyFont="1" applyFill="1" applyAlignment="1" applyProtection="1">
      <alignment horizontal="left" indent="1"/>
      <protection locked="0"/>
    </xf>
    <xf numFmtId="0" fontId="3" fillId="0" borderId="1" xfId="0" applyFont="1" applyBorder="1" applyAlignment="1" applyProtection="1">
      <alignment horizontal="left" vertical="top" wrapText="1"/>
      <protection locked="0"/>
    </xf>
    <xf numFmtId="0" fontId="7" fillId="0" borderId="51" xfId="0" applyNumberFormat="1" applyFont="1" applyBorder="1" applyAlignment="1">
      <alignment vertical="top"/>
    </xf>
    <xf numFmtId="0" fontId="7" fillId="0" borderId="30" xfId="0" applyNumberFormat="1" applyFont="1" applyBorder="1" applyAlignment="1">
      <alignment vertical="top"/>
    </xf>
    <xf numFmtId="0" fontId="7" fillId="0" borderId="38" xfId="0" applyNumberFormat="1" applyFont="1" applyBorder="1" applyAlignment="1">
      <alignment vertical="top"/>
    </xf>
    <xf numFmtId="0" fontId="7" fillId="0" borderId="21" xfId="0" applyNumberFormat="1" applyFont="1" applyBorder="1" applyAlignment="1">
      <alignment vertical="top"/>
    </xf>
    <xf numFmtId="0" fontId="7" fillId="0" borderId="69" xfId="0" applyNumberFormat="1" applyFont="1" applyBorder="1" applyAlignment="1">
      <alignment vertical="top"/>
    </xf>
    <xf numFmtId="0" fontId="7" fillId="0" borderId="52" xfId="0" applyNumberFormat="1" applyFont="1" applyBorder="1" applyAlignment="1">
      <alignment vertical="top"/>
    </xf>
    <xf numFmtId="0" fontId="7" fillId="0" borderId="1" xfId="0" applyNumberFormat="1" applyFont="1" applyBorder="1" applyAlignment="1">
      <alignment horizontal="left" vertical="center" wrapText="1"/>
    </xf>
    <xf numFmtId="0" fontId="0" fillId="0" borderId="1" xfId="0" applyBorder="1" applyAlignment="1">
      <alignment horizontal="left" vertical="center" wrapText="1"/>
    </xf>
    <xf numFmtId="0" fontId="5" fillId="0" borderId="1" xfId="0" applyFont="1" applyBorder="1" applyAlignment="1" applyProtection="1">
      <alignment horizontal="left" vertical="center" wrapText="1"/>
      <protection locked="0"/>
    </xf>
    <xf numFmtId="0" fontId="59" fillId="0" borderId="1" xfId="0" applyFont="1" applyBorder="1" applyAlignment="1">
      <alignment horizontal="left" vertical="center" wrapText="1"/>
    </xf>
    <xf numFmtId="0" fontId="5" fillId="0" borderId="1" xfId="0" applyFont="1" applyBorder="1" applyAlignment="1" applyProtection="1">
      <alignment vertical="center" wrapText="1"/>
      <protection locked="0"/>
    </xf>
    <xf numFmtId="0" fontId="3" fillId="11" borderId="1" xfId="0" applyFont="1" applyFill="1" applyBorder="1" applyAlignment="1" applyProtection="1">
      <alignment horizontal="center" vertical="center"/>
      <protection locked="0"/>
    </xf>
    <xf numFmtId="0" fontId="27" fillId="11" borderId="1" xfId="2" applyNumberFormat="1" applyFont="1" applyFill="1" applyBorder="1" applyAlignment="1" applyProtection="1">
      <alignment horizontal="center" vertical="center" wrapText="1"/>
      <protection locked="0"/>
    </xf>
    <xf numFmtId="0" fontId="5" fillId="0" borderId="21" xfId="0" applyFont="1" applyBorder="1" applyAlignment="1" applyProtection="1">
      <alignment vertical="top"/>
    </xf>
    <xf numFmtId="0" fontId="5" fillId="0" borderId="69" xfId="0" applyFont="1" applyBorder="1" applyAlignment="1" applyProtection="1">
      <alignment vertical="top"/>
    </xf>
    <xf numFmtId="0" fontId="0" fillId="0" borderId="21" xfId="0" applyBorder="1" applyAlignment="1" applyProtection="1">
      <alignment vertical="top"/>
    </xf>
    <xf numFmtId="0" fontId="0" fillId="0" borderId="69" xfId="0" applyBorder="1" applyAlignment="1" applyProtection="1">
      <alignment vertical="top"/>
    </xf>
    <xf numFmtId="0" fontId="0" fillId="0" borderId="52" xfId="0" applyBorder="1" applyAlignment="1" applyProtection="1">
      <alignment vertical="top"/>
    </xf>
    <xf numFmtId="0" fontId="0" fillId="0" borderId="31" xfId="0" applyBorder="1"/>
    <xf numFmtId="0" fontId="92" fillId="0" borderId="31" xfId="0" applyFont="1" applyBorder="1" applyAlignment="1">
      <alignment horizontal="right"/>
    </xf>
    <xf numFmtId="0" fontId="0" fillId="0" borderId="40" xfId="0" applyBorder="1" applyAlignment="1">
      <alignment vertical="top"/>
    </xf>
    <xf numFmtId="0" fontId="0" fillId="0" borderId="69" xfId="0" applyBorder="1" applyAlignment="1">
      <alignment vertical="top"/>
    </xf>
    <xf numFmtId="0" fontId="0" fillId="0" borderId="13" xfId="0" applyBorder="1" applyAlignment="1">
      <alignment vertical="top"/>
    </xf>
    <xf numFmtId="0" fontId="20" fillId="0" borderId="40" xfId="0" applyFont="1" applyBorder="1" applyAlignment="1">
      <alignment vertical="top"/>
    </xf>
    <xf numFmtId="0" fontId="20" fillId="0" borderId="69" xfId="0" applyFont="1" applyBorder="1" applyAlignment="1">
      <alignment vertical="top"/>
    </xf>
    <xf numFmtId="0" fontId="20" fillId="0" borderId="13" xfId="0" applyFont="1" applyBorder="1" applyAlignment="1">
      <alignment vertical="top"/>
    </xf>
    <xf numFmtId="0" fontId="17" fillId="0" borderId="21" xfId="0" applyNumberFormat="1" applyFont="1" applyBorder="1" applyAlignment="1">
      <alignment vertical="top"/>
    </xf>
    <xf numFmtId="0" fontId="17" fillId="0" borderId="69" xfId="0" applyNumberFormat="1" applyFont="1" applyBorder="1" applyAlignment="1">
      <alignment vertical="top"/>
    </xf>
    <xf numFmtId="0" fontId="17" fillId="0" borderId="52" xfId="0" applyNumberFormat="1" applyFont="1" applyBorder="1" applyAlignment="1">
      <alignment vertical="top"/>
    </xf>
    <xf numFmtId="0" fontId="7" fillId="0" borderId="21" xfId="0" applyNumberFormat="1" applyFont="1" applyBorder="1" applyAlignment="1" applyProtection="1">
      <alignment vertical="top"/>
    </xf>
    <xf numFmtId="0" fontId="7" fillId="0" borderId="69" xfId="0" applyNumberFormat="1" applyFont="1" applyBorder="1" applyAlignment="1" applyProtection="1">
      <alignment vertical="top"/>
    </xf>
    <xf numFmtId="0" fontId="7" fillId="0" borderId="52" xfId="0" applyNumberFormat="1" applyFont="1" applyBorder="1" applyAlignment="1" applyProtection="1">
      <alignment vertical="top"/>
    </xf>
    <xf numFmtId="0" fontId="92" fillId="0" borderId="0" xfId="0" applyFont="1" applyAlignment="1">
      <alignment horizontal="right"/>
    </xf>
    <xf numFmtId="0" fontId="45" fillId="0" borderId="97" xfId="0" applyFont="1" applyBorder="1" applyAlignment="1" applyProtection="1">
      <alignment horizontal="center" vertical="top"/>
      <protection locked="0"/>
    </xf>
    <xf numFmtId="0" fontId="0" fillId="0" borderId="33" xfId="0" applyBorder="1" applyAlignment="1" applyProtection="1">
      <alignment horizontal="left" vertical="top"/>
    </xf>
    <xf numFmtId="0" fontId="7" fillId="0" borderId="26" xfId="0" applyFont="1" applyBorder="1" applyAlignment="1" applyProtection="1">
      <alignment horizontal="left" vertical="top"/>
    </xf>
    <xf numFmtId="0" fontId="3" fillId="0" borderId="26" xfId="0" applyFont="1" applyBorder="1" applyAlignment="1" applyProtection="1">
      <alignment wrapText="1"/>
      <protection locked="0"/>
    </xf>
    <xf numFmtId="0" fontId="0" fillId="0" borderId="26" xfId="0" applyBorder="1" applyAlignment="1" applyProtection="1">
      <alignment horizontal="center"/>
    </xf>
    <xf numFmtId="169" fontId="0" fillId="6" borderId="26" xfId="0" applyNumberFormat="1" applyFill="1" applyBorder="1" applyProtection="1"/>
    <xf numFmtId="169" fontId="0" fillId="0" borderId="20" xfId="0" applyNumberFormat="1" applyBorder="1" applyProtection="1"/>
    <xf numFmtId="0" fontId="0" fillId="0" borderId="33" xfId="0" applyBorder="1" applyAlignment="1" applyProtection="1">
      <alignment horizontal="left" vertical="top"/>
      <protection locked="0"/>
    </xf>
    <xf numFmtId="0" fontId="7" fillId="0" borderId="26" xfId="0" applyFont="1" applyBorder="1" applyAlignment="1" applyProtection="1">
      <alignment horizontal="left" vertical="top"/>
      <protection locked="0"/>
    </xf>
    <xf numFmtId="169" fontId="0" fillId="6" borderId="26" xfId="0" applyNumberFormat="1" applyFill="1" applyBorder="1" applyProtection="1">
      <protection locked="0"/>
    </xf>
    <xf numFmtId="169" fontId="0" fillId="0" borderId="20" xfId="0" applyNumberFormat="1" applyBorder="1"/>
    <xf numFmtId="0" fontId="0" fillId="0" borderId="19" xfId="0" applyFill="1" applyBorder="1" applyAlignment="1" applyProtection="1">
      <alignment horizontal="center"/>
      <protection locked="0"/>
    </xf>
    <xf numFmtId="0" fontId="0" fillId="0" borderId="0" xfId="0" applyBorder="1" applyAlignment="1" applyProtection="1">
      <alignment vertical="top" wrapText="1"/>
      <protection locked="0"/>
    </xf>
    <xf numFmtId="0" fontId="0" fillId="0" borderId="51" xfId="0" applyFill="1" applyBorder="1" applyAlignment="1" applyProtection="1">
      <alignment vertical="top"/>
    </xf>
    <xf numFmtId="0" fontId="0" fillId="0" borderId="34" xfId="0" applyFill="1" applyBorder="1" applyAlignment="1" applyProtection="1">
      <alignment horizontal="left" vertical="top"/>
    </xf>
    <xf numFmtId="0" fontId="3" fillId="0" borderId="34" xfId="0" applyFont="1" applyFill="1" applyBorder="1" applyAlignment="1" applyProtection="1">
      <alignment horizontal="left" vertical="top"/>
    </xf>
    <xf numFmtId="0" fontId="0" fillId="0" borderId="34" xfId="0" applyFill="1" applyBorder="1" applyAlignment="1" applyProtection="1">
      <alignment vertical="top" wrapText="1"/>
      <protection locked="0"/>
    </xf>
    <xf numFmtId="0" fontId="0" fillId="0" borderId="34" xfId="0" applyFill="1" applyBorder="1" applyAlignment="1" applyProtection="1">
      <alignment horizontal="center" vertical="top"/>
      <protection locked="0"/>
    </xf>
    <xf numFmtId="169" fontId="0" fillId="0" borderId="34" xfId="0" applyNumberFormat="1" applyFill="1" applyBorder="1" applyAlignment="1" applyProtection="1">
      <alignment vertical="top"/>
    </xf>
    <xf numFmtId="169" fontId="0" fillId="0" borderId="53" xfId="0" applyNumberFormat="1" applyFill="1" applyBorder="1" applyAlignment="1">
      <alignment vertical="top"/>
    </xf>
    <xf numFmtId="0" fontId="0" fillId="0" borderId="51" xfId="0" applyBorder="1" applyAlignment="1" applyProtection="1">
      <alignment vertical="top"/>
    </xf>
    <xf numFmtId="0" fontId="21" fillId="0" borderId="0" xfId="0" applyFont="1" applyAlignment="1"/>
    <xf numFmtId="0" fontId="0" fillId="0" borderId="24" xfId="0" applyBorder="1" applyAlignment="1">
      <alignment horizontal="left" vertical="top"/>
    </xf>
    <xf numFmtId="0" fontId="0" fillId="0" borderId="24" xfId="0" applyBorder="1" applyAlignment="1" applyProtection="1">
      <alignment horizontal="left" wrapText="1"/>
      <protection locked="0"/>
    </xf>
    <xf numFmtId="167" fontId="0" fillId="6" borderId="24" xfId="0" applyNumberFormat="1" applyFill="1" applyBorder="1"/>
    <xf numFmtId="167" fontId="0" fillId="0" borderId="107" xfId="0" applyNumberFormat="1" applyBorder="1"/>
    <xf numFmtId="0" fontId="45" fillId="0" borderId="8" xfId="0" applyFont="1" applyBorder="1" applyAlignment="1">
      <alignment horizontal="left" vertical="center"/>
    </xf>
    <xf numFmtId="0" fontId="45" fillId="0" borderId="8" xfId="0" applyFont="1" applyBorder="1" applyAlignment="1">
      <alignment vertical="center"/>
    </xf>
    <xf numFmtId="0" fontId="45" fillId="0" borderId="8" xfId="0" applyFont="1" applyBorder="1" applyAlignment="1">
      <alignment horizontal="center" vertical="center"/>
    </xf>
    <xf numFmtId="0" fontId="45" fillId="0" borderId="12" xfId="0" applyFont="1" applyBorder="1" applyAlignment="1">
      <alignment horizontal="center" vertical="center"/>
    </xf>
    <xf numFmtId="0" fontId="5" fillId="6" borderId="0" xfId="0" applyFont="1" applyFill="1" applyBorder="1" applyAlignment="1">
      <alignment horizontal="left" indent="5"/>
    </xf>
    <xf numFmtId="0" fontId="5" fillId="6" borderId="0" xfId="0" applyFont="1" applyFill="1" applyBorder="1" applyAlignment="1">
      <alignment horizontal="left" indent="2"/>
    </xf>
    <xf numFmtId="0" fontId="5" fillId="6" borderId="0" xfId="0" applyFont="1" applyFill="1" applyBorder="1" applyAlignment="1">
      <alignment horizontal="left" indent="3"/>
    </xf>
    <xf numFmtId="0" fontId="9" fillId="7" borderId="0" xfId="0" applyFont="1" applyFill="1" applyBorder="1" applyProtection="1">
      <protection locked="0"/>
    </xf>
    <xf numFmtId="0" fontId="3" fillId="6" borderId="0" xfId="0" applyFont="1" applyFill="1" applyProtection="1">
      <protection locked="0"/>
    </xf>
    <xf numFmtId="0" fontId="29" fillId="10" borderId="1" xfId="0" applyFont="1" applyFill="1" applyBorder="1" applyAlignment="1" applyProtection="1">
      <alignment horizontal="center" vertical="center"/>
      <protection locked="0"/>
    </xf>
    <xf numFmtId="0" fontId="0" fillId="6" borderId="25" xfId="0" applyFill="1" applyBorder="1" applyProtection="1">
      <protection locked="0"/>
    </xf>
    <xf numFmtId="0" fontId="28" fillId="0" borderId="0" xfId="0" applyFont="1" applyAlignment="1"/>
    <xf numFmtId="0" fontId="17" fillId="6" borderId="25" xfId="0" applyFont="1" applyFill="1" applyBorder="1" applyProtection="1">
      <protection locked="0"/>
    </xf>
    <xf numFmtId="0" fontId="0" fillId="0" borderId="25" xfId="0" applyBorder="1" applyProtection="1">
      <protection locked="0"/>
    </xf>
    <xf numFmtId="0" fontId="21" fillId="6" borderId="25" xfId="0" applyFont="1" applyFill="1" applyBorder="1" applyProtection="1">
      <protection locked="0"/>
    </xf>
    <xf numFmtId="0" fontId="12" fillId="6" borderId="25" xfId="0" applyFont="1" applyFill="1" applyBorder="1" applyProtection="1">
      <protection locked="0"/>
    </xf>
    <xf numFmtId="0" fontId="21" fillId="6" borderId="1" xfId="0" applyFont="1" applyFill="1" applyBorder="1" applyAlignment="1" applyProtection="1">
      <alignment horizontal="center"/>
      <protection locked="0"/>
    </xf>
    <xf numFmtId="0" fontId="68" fillId="7" borderId="0" xfId="0" applyFont="1" applyFill="1" applyBorder="1" applyProtection="1">
      <protection locked="0"/>
    </xf>
    <xf numFmtId="0" fontId="5" fillId="7" borderId="0" xfId="0" applyFont="1" applyFill="1" applyBorder="1" applyProtection="1">
      <protection locked="0"/>
    </xf>
    <xf numFmtId="0" fontId="95" fillId="7" borderId="25" xfId="0" applyFont="1" applyFill="1" applyBorder="1" applyProtection="1">
      <protection locked="0"/>
    </xf>
    <xf numFmtId="0" fontId="84" fillId="0" borderId="25" xfId="0" applyFont="1" applyFill="1" applyBorder="1"/>
    <xf numFmtId="0" fontId="39" fillId="7" borderId="0" xfId="0" applyFont="1" applyFill="1" applyAlignment="1" applyProtection="1">
      <alignment vertical="center"/>
    </xf>
    <xf numFmtId="0" fontId="71" fillId="7" borderId="0" xfId="0" applyFont="1" applyFill="1" applyAlignment="1" applyProtection="1">
      <alignment vertical="center"/>
      <protection locked="0"/>
    </xf>
    <xf numFmtId="0" fontId="39" fillId="7" borderId="0" xfId="0" applyFont="1" applyFill="1" applyAlignment="1" applyProtection="1">
      <alignment vertical="center"/>
      <protection locked="0"/>
    </xf>
    <xf numFmtId="0" fontId="39" fillId="7" borderId="0" xfId="0" applyFont="1" applyFill="1" applyAlignment="1" applyProtection="1">
      <alignment horizontal="left" vertical="center"/>
    </xf>
    <xf numFmtId="0" fontId="10" fillId="7" borderId="0" xfId="0" applyFont="1" applyFill="1" applyAlignment="1" applyProtection="1">
      <alignment horizontal="left" vertical="center" indent="1"/>
      <protection locked="0"/>
    </xf>
    <xf numFmtId="0" fontId="95" fillId="7" borderId="9" xfId="0" applyFont="1" applyFill="1" applyBorder="1" applyProtection="1">
      <protection locked="0"/>
    </xf>
    <xf numFmtId="0" fontId="28" fillId="0" borderId="0" xfId="0" applyFont="1" applyProtection="1">
      <protection locked="0"/>
    </xf>
    <xf numFmtId="0" fontId="29" fillId="0" borderId="25" xfId="0" applyFont="1" applyBorder="1" applyAlignment="1" applyProtection="1">
      <alignment horizontal="left"/>
      <protection locked="0"/>
    </xf>
    <xf numFmtId="0" fontId="0" fillId="6" borderId="30" xfId="0" applyFill="1" applyBorder="1" applyProtection="1">
      <protection locked="0"/>
    </xf>
    <xf numFmtId="0" fontId="0" fillId="6" borderId="31" xfId="0" applyFill="1" applyBorder="1" applyProtection="1">
      <protection locked="0"/>
    </xf>
    <xf numFmtId="0" fontId="0" fillId="6" borderId="32" xfId="0" applyFill="1" applyBorder="1" applyProtection="1">
      <protection locked="0"/>
    </xf>
    <xf numFmtId="0" fontId="0" fillId="6" borderId="9" xfId="0" applyFill="1" applyBorder="1" applyProtection="1">
      <protection locked="0"/>
    </xf>
    <xf numFmtId="0" fontId="21" fillId="6" borderId="9" xfId="0" applyFont="1" applyFill="1" applyBorder="1" applyProtection="1">
      <protection locked="0"/>
    </xf>
    <xf numFmtId="0" fontId="0" fillId="6" borderId="6" xfId="0" applyFill="1" applyBorder="1" applyProtection="1">
      <protection locked="0"/>
    </xf>
    <xf numFmtId="0" fontId="0" fillId="6" borderId="14" xfId="0" applyFill="1" applyBorder="1" applyProtection="1">
      <protection locked="0"/>
    </xf>
    <xf numFmtId="0" fontId="0" fillId="6" borderId="15" xfId="0" applyFill="1" applyBorder="1" applyProtection="1">
      <protection locked="0"/>
    </xf>
    <xf numFmtId="0" fontId="21" fillId="6" borderId="31" xfId="0" applyFont="1" applyFill="1" applyBorder="1" applyProtection="1">
      <protection locked="0"/>
    </xf>
    <xf numFmtId="0" fontId="21" fillId="6" borderId="30" xfId="0" applyFont="1" applyFill="1" applyBorder="1" applyProtection="1">
      <protection locked="0"/>
    </xf>
    <xf numFmtId="0" fontId="3" fillId="6" borderId="16" xfId="0" applyFont="1" applyFill="1" applyBorder="1" applyProtection="1">
      <protection locked="0"/>
    </xf>
    <xf numFmtId="0" fontId="17" fillId="6" borderId="0" xfId="0" applyFont="1" applyFill="1" applyBorder="1" applyProtection="1">
      <protection locked="0"/>
    </xf>
    <xf numFmtId="0" fontId="12" fillId="6" borderId="0" xfId="0" applyFont="1" applyFill="1" applyBorder="1" applyProtection="1">
      <protection locked="0"/>
    </xf>
    <xf numFmtId="0" fontId="3" fillId="6" borderId="14" xfId="0" applyFont="1" applyFill="1" applyBorder="1" applyProtection="1">
      <protection locked="0"/>
    </xf>
    <xf numFmtId="0" fontId="3" fillId="6" borderId="15" xfId="0" applyFont="1" applyFill="1" applyBorder="1" applyProtection="1">
      <protection locked="0"/>
    </xf>
    <xf numFmtId="0" fontId="98" fillId="0" borderId="0" xfId="0" applyFont="1"/>
    <xf numFmtId="0" fontId="10" fillId="0" borderId="1" xfId="0" applyFont="1" applyFill="1" applyBorder="1" applyAlignment="1" applyProtection="1">
      <alignment vertical="center"/>
      <protection locked="0"/>
    </xf>
    <xf numFmtId="0" fontId="5" fillId="6" borderId="25" xfId="0" applyFont="1" applyFill="1" applyBorder="1" applyProtection="1">
      <protection locked="0"/>
    </xf>
    <xf numFmtId="0" fontId="90" fillId="7" borderId="0" xfId="0" applyFont="1" applyFill="1" applyBorder="1" applyAlignment="1">
      <alignment horizontal="center" vertical="center"/>
    </xf>
    <xf numFmtId="0" fontId="5" fillId="6" borderId="0" xfId="0" applyFont="1" applyFill="1" applyProtection="1">
      <protection locked="0"/>
    </xf>
    <xf numFmtId="0" fontId="29" fillId="0" borderId="0" xfId="0" applyFont="1" applyBorder="1" applyAlignment="1" applyProtection="1">
      <alignment horizontal="left"/>
      <protection locked="0"/>
    </xf>
    <xf numFmtId="0" fontId="20" fillId="0" borderId="0" xfId="0" applyFont="1" applyAlignment="1">
      <alignment horizontal="center"/>
    </xf>
    <xf numFmtId="9" fontId="39" fillId="5" borderId="0" xfId="0" applyNumberFormat="1" applyFont="1" applyFill="1"/>
    <xf numFmtId="9" fontId="39" fillId="5" borderId="0" xfId="0" applyNumberFormat="1" applyFont="1" applyFill="1" applyAlignment="1">
      <alignment horizontal="center"/>
    </xf>
    <xf numFmtId="9" fontId="39" fillId="5" borderId="0" xfId="0" applyNumberFormat="1" applyFont="1" applyFill="1" applyAlignment="1">
      <alignment horizontal="right"/>
    </xf>
    <xf numFmtId="170" fontId="39" fillId="5" borderId="0" xfId="2" applyNumberFormat="1" applyFont="1" applyFill="1" applyAlignment="1">
      <alignment horizontal="center"/>
    </xf>
    <xf numFmtId="10" fontId="39" fillId="5" borderId="0" xfId="0" applyNumberFormat="1" applyFont="1" applyFill="1" applyAlignment="1">
      <alignment horizontal="center"/>
    </xf>
    <xf numFmtId="14" fontId="39" fillId="5" borderId="0" xfId="0" applyNumberFormat="1" applyFont="1" applyFill="1" applyAlignment="1">
      <alignment horizontal="center"/>
    </xf>
    <xf numFmtId="168" fontId="39" fillId="5" borderId="0" xfId="1" applyNumberFormat="1" applyFont="1" applyFill="1"/>
    <xf numFmtId="168" fontId="39" fillId="5" borderId="0" xfId="0" applyNumberFormat="1" applyFont="1" applyFill="1"/>
    <xf numFmtId="168" fontId="39" fillId="5" borderId="0" xfId="0" applyNumberFormat="1" applyFont="1" applyFill="1" applyAlignment="1">
      <alignment horizontal="center"/>
    </xf>
    <xf numFmtId="165" fontId="39" fillId="5" borderId="0" xfId="0" applyNumberFormat="1" applyFont="1" applyFill="1"/>
    <xf numFmtId="170" fontId="39" fillId="5" borderId="0" xfId="0" applyNumberFormat="1" applyFont="1" applyFill="1" applyAlignment="1">
      <alignment horizontal="center"/>
    </xf>
    <xf numFmtId="3" fontId="21" fillId="0" borderId="0" xfId="0" applyNumberFormat="1" applyFont="1" applyBorder="1" applyAlignment="1" applyProtection="1">
      <alignment horizontal="center" vertical="center"/>
      <protection locked="0"/>
    </xf>
    <xf numFmtId="171" fontId="100" fillId="0" borderId="0" xfId="0" applyNumberFormat="1" applyFont="1" applyBorder="1" applyAlignment="1" applyProtection="1">
      <alignment horizontal="left" vertical="top" indent="1"/>
    </xf>
    <xf numFmtId="0" fontId="5" fillId="0" borderId="24" xfId="0" applyFont="1" applyBorder="1" applyAlignment="1" applyProtection="1">
      <alignment wrapText="1"/>
      <protection locked="0"/>
    </xf>
    <xf numFmtId="0" fontId="56" fillId="6" borderId="0" xfId="9" applyFont="1" applyFill="1" applyBorder="1" applyAlignment="1">
      <alignment vertical="center" wrapText="1"/>
    </xf>
    <xf numFmtId="0" fontId="62" fillId="6" borderId="70" xfId="9" applyFont="1" applyFill="1" applyBorder="1" applyAlignment="1">
      <alignment horizontal="center" vertical="center" wrapText="1"/>
    </xf>
    <xf numFmtId="0" fontId="62" fillId="6" borderId="70" xfId="9" quotePrefix="1" applyFont="1" applyFill="1" applyBorder="1" applyAlignment="1">
      <alignment horizontal="center" wrapText="1"/>
    </xf>
    <xf numFmtId="0" fontId="62" fillId="6" borderId="70" xfId="9" quotePrefix="1" applyFont="1" applyFill="1" applyBorder="1" applyAlignment="1">
      <alignment horizontal="center" vertical="center" wrapText="1"/>
    </xf>
    <xf numFmtId="0" fontId="62" fillId="6" borderId="93" xfId="9" quotePrefix="1" applyFont="1" applyFill="1" applyBorder="1" applyAlignment="1">
      <alignment horizontal="center" vertical="center" wrapText="1"/>
    </xf>
    <xf numFmtId="0" fontId="62" fillId="6" borderId="93" xfId="9" applyFont="1" applyFill="1" applyBorder="1" applyAlignment="1">
      <alignment horizontal="center" vertical="center" wrapText="1"/>
    </xf>
    <xf numFmtId="0" fontId="101" fillId="6" borderId="64" xfId="9" applyFont="1" applyFill="1" applyBorder="1" applyAlignment="1">
      <alignment vertical="center"/>
    </xf>
    <xf numFmtId="0" fontId="101" fillId="6" borderId="94" xfId="9" applyFont="1" applyFill="1" applyBorder="1" applyAlignment="1">
      <alignment vertical="center"/>
    </xf>
    <xf numFmtId="0" fontId="0" fillId="6" borderId="25" xfId="0" applyFill="1" applyBorder="1" applyAlignment="1" applyProtection="1">
      <alignment horizontal="center" vertical="top"/>
      <protection locked="0"/>
    </xf>
    <xf numFmtId="167" fontId="0" fillId="0" borderId="25" xfId="0" applyNumberFormat="1" applyFill="1" applyBorder="1" applyAlignment="1">
      <alignment horizontal="right"/>
    </xf>
    <xf numFmtId="49" fontId="4" fillId="0" borderId="1" xfId="0" applyNumberFormat="1" applyFont="1" applyFill="1" applyBorder="1" applyAlignment="1">
      <alignment horizontal="left"/>
    </xf>
    <xf numFmtId="0" fontId="3" fillId="7" borderId="0" xfId="0" applyFont="1" applyFill="1" applyBorder="1" applyAlignment="1" applyProtection="1">
      <alignment horizontal="left" vertical="top" wrapText="1" indent="1"/>
      <protection locked="0"/>
    </xf>
    <xf numFmtId="168" fontId="40" fillId="6" borderId="31" xfId="0" applyNumberFormat="1" applyFont="1" applyFill="1" applyBorder="1"/>
    <xf numFmtId="0" fontId="5" fillId="12" borderId="1" xfId="0" applyFont="1" applyFill="1" applyBorder="1" applyAlignment="1" applyProtection="1">
      <alignment vertical="center"/>
      <protection locked="0"/>
    </xf>
    <xf numFmtId="0" fontId="3" fillId="7" borderId="0" xfId="0" applyFont="1" applyFill="1" applyBorder="1" applyAlignment="1" applyProtection="1">
      <alignment horizontal="center" vertical="top" wrapText="1"/>
      <protection locked="0"/>
    </xf>
    <xf numFmtId="0" fontId="3" fillId="7" borderId="1" xfId="0" applyFont="1" applyFill="1" applyBorder="1" applyAlignment="1" applyProtection="1">
      <alignment horizontal="center" vertical="top" wrapText="1"/>
      <protection locked="0"/>
    </xf>
    <xf numFmtId="0" fontId="3" fillId="7" borderId="10" xfId="0" applyFont="1" applyFill="1" applyBorder="1" applyAlignment="1" applyProtection="1">
      <alignment horizontal="center" vertical="top" wrapText="1"/>
      <protection locked="0"/>
    </xf>
    <xf numFmtId="0" fontId="3" fillId="7" borderId="2" xfId="0" applyFont="1" applyFill="1" applyBorder="1" applyAlignment="1" applyProtection="1">
      <alignment horizontal="left" vertical="top" wrapText="1" indent="1"/>
      <protection locked="0"/>
    </xf>
    <xf numFmtId="0" fontId="3" fillId="7" borderId="11" xfId="0" applyFont="1" applyFill="1" applyBorder="1" applyAlignment="1" applyProtection="1">
      <alignment horizontal="center" vertical="top" wrapText="1"/>
      <protection locked="0"/>
    </xf>
    <xf numFmtId="0" fontId="3" fillId="7" borderId="3" xfId="0" applyFont="1" applyFill="1" applyBorder="1" applyAlignment="1" applyProtection="1">
      <alignment horizontal="center" vertical="top" wrapText="1"/>
      <protection locked="0"/>
    </xf>
    <xf numFmtId="0" fontId="3" fillId="7" borderId="4" xfId="0" applyFont="1" applyFill="1" applyBorder="1" applyAlignment="1" applyProtection="1">
      <alignment horizontal="left" vertical="top" wrapText="1" indent="1"/>
      <protection locked="0"/>
    </xf>
    <xf numFmtId="0" fontId="3" fillId="7" borderId="52" xfId="0" applyFont="1" applyFill="1" applyBorder="1" applyAlignment="1" applyProtection="1">
      <alignment horizontal="center" vertical="top" wrapText="1"/>
      <protection locked="0"/>
    </xf>
    <xf numFmtId="0" fontId="3" fillId="7" borderId="24" xfId="0" applyFont="1" applyFill="1" applyBorder="1" applyAlignment="1" applyProtection="1">
      <alignment horizontal="center" vertical="top" wrapText="1"/>
      <protection locked="0"/>
    </xf>
    <xf numFmtId="0" fontId="3" fillId="7" borderId="107" xfId="0" applyFont="1" applyFill="1" applyBorder="1" applyAlignment="1" applyProtection="1">
      <alignment horizontal="left" vertical="top" wrapText="1" indent="1"/>
      <protection locked="0"/>
    </xf>
    <xf numFmtId="0" fontId="45" fillId="7" borderId="17" xfId="0" applyFont="1" applyFill="1" applyBorder="1" applyAlignment="1" applyProtection="1">
      <alignment horizontal="center" vertical="center" wrapText="1"/>
      <protection locked="0"/>
    </xf>
    <xf numFmtId="0" fontId="45" fillId="7" borderId="108" xfId="0" applyFont="1" applyFill="1" applyBorder="1" applyAlignment="1" applyProtection="1">
      <alignment horizontal="center" vertical="center" wrapText="1"/>
      <protection locked="0"/>
    </xf>
    <xf numFmtId="0" fontId="45" fillId="7" borderId="18" xfId="0" applyFont="1" applyFill="1" applyBorder="1" applyAlignment="1" applyProtection="1">
      <alignment horizontal="left" vertical="center" wrapText="1"/>
      <protection locked="0"/>
    </xf>
    <xf numFmtId="0" fontId="3" fillId="7" borderId="11" xfId="0" applyFont="1" applyFill="1" applyBorder="1" applyAlignment="1" applyProtection="1">
      <alignment horizontal="left" vertical="top" wrapText="1" indent="1"/>
      <protection locked="0"/>
    </xf>
    <xf numFmtId="0" fontId="3" fillId="7" borderId="20" xfId="0" applyFont="1" applyFill="1" applyBorder="1" applyAlignment="1" applyProtection="1">
      <alignment horizontal="left" vertical="top" wrapText="1"/>
      <protection locked="0"/>
    </xf>
    <xf numFmtId="9" fontId="20" fillId="0" borderId="0" xfId="3" applyFont="1"/>
    <xf numFmtId="0" fontId="12" fillId="7" borderId="0" xfId="0" applyFont="1" applyFill="1" applyBorder="1" applyAlignment="1" applyProtection="1">
      <alignment horizontal="center" vertical="top" wrapText="1"/>
      <protection locked="0"/>
    </xf>
    <xf numFmtId="0" fontId="102" fillId="7" borderId="9" xfId="0" applyFont="1" applyFill="1" applyBorder="1" applyAlignment="1" applyProtection="1">
      <alignment horizontal="center" vertical="center"/>
      <protection locked="0"/>
    </xf>
    <xf numFmtId="9" fontId="3" fillId="7" borderId="1" xfId="3" applyFont="1" applyFill="1" applyBorder="1" applyAlignment="1" applyProtection="1">
      <alignment horizontal="center" vertical="top" wrapText="1"/>
      <protection locked="0"/>
    </xf>
    <xf numFmtId="9" fontId="3" fillId="7" borderId="3" xfId="0" applyNumberFormat="1" applyFont="1" applyFill="1" applyBorder="1" applyAlignment="1" applyProtection="1">
      <alignment horizontal="center" vertical="top" wrapText="1"/>
    </xf>
    <xf numFmtId="0" fontId="28" fillId="6" borderId="0" xfId="0" applyFont="1" applyFill="1" applyBorder="1" applyAlignment="1" applyProtection="1">
      <protection locked="0"/>
    </xf>
    <xf numFmtId="0" fontId="103" fillId="0" borderId="25" xfId="0" applyFont="1" applyBorder="1" applyAlignment="1">
      <alignment horizontal="left" vertical="top" wrapText="1"/>
    </xf>
    <xf numFmtId="0" fontId="0" fillId="5" borderId="0" xfId="0" applyFill="1" applyAlignment="1">
      <alignment horizontal="center" wrapText="1"/>
    </xf>
    <xf numFmtId="0" fontId="0" fillId="5" borderId="0" xfId="0" applyFill="1" applyAlignment="1">
      <alignment horizontal="left" wrapText="1"/>
    </xf>
    <xf numFmtId="0" fontId="0" fillId="6" borderId="0" xfId="0" applyFill="1" applyAlignment="1">
      <alignment horizontal="center" wrapText="1"/>
    </xf>
    <xf numFmtId="0" fontId="0" fillId="6" borderId="0" xfId="0" applyFill="1" applyAlignment="1">
      <alignment horizontal="left" wrapText="1"/>
    </xf>
    <xf numFmtId="0" fontId="90" fillId="7" borderId="0" xfId="0" applyFont="1" applyFill="1" applyBorder="1" applyAlignment="1">
      <alignment horizontal="center" vertical="center" wrapText="1"/>
    </xf>
    <xf numFmtId="0" fontId="0" fillId="6" borderId="0" xfId="0" applyFill="1" applyAlignment="1" applyProtection="1">
      <alignment horizontal="left" wrapText="1"/>
      <protection locked="0"/>
    </xf>
    <xf numFmtId="0" fontId="0" fillId="6" borderId="0" xfId="0" applyFill="1" applyAlignment="1" applyProtection="1">
      <alignment horizontal="center" wrapText="1"/>
      <protection locked="0"/>
    </xf>
    <xf numFmtId="0" fontId="17" fillId="0" borderId="25" xfId="0" applyNumberFormat="1" applyFont="1" applyBorder="1" applyAlignment="1">
      <alignment horizontal="left" vertical="top"/>
    </xf>
    <xf numFmtId="0" fontId="3" fillId="7" borderId="21" xfId="0" applyFont="1" applyFill="1" applyBorder="1" applyAlignment="1" applyProtection="1">
      <alignment horizontal="center" vertical="top" wrapText="1"/>
      <protection locked="0"/>
    </xf>
    <xf numFmtId="9" fontId="3" fillId="7" borderId="22" xfId="3" applyFont="1" applyFill="1" applyBorder="1" applyAlignment="1" applyProtection="1">
      <alignment horizontal="center" vertical="top" wrapText="1"/>
      <protection locked="0"/>
    </xf>
    <xf numFmtId="0" fontId="3" fillId="7" borderId="53" xfId="0" applyFont="1" applyFill="1" applyBorder="1" applyAlignment="1" applyProtection="1">
      <alignment horizontal="left" vertical="top" wrapText="1"/>
      <protection locked="0"/>
    </xf>
    <xf numFmtId="0" fontId="7" fillId="11" borderId="22" xfId="0" applyNumberFormat="1" applyFont="1" applyFill="1" applyBorder="1" applyAlignment="1" applyProtection="1">
      <alignment horizontal="left" vertical="top" wrapText="1"/>
      <protection locked="0"/>
    </xf>
    <xf numFmtId="0" fontId="0" fillId="11" borderId="22" xfId="0" applyFill="1" applyBorder="1" applyAlignment="1" applyProtection="1">
      <alignment horizontal="left" vertical="top" wrapText="1"/>
      <protection locked="0"/>
    </xf>
    <xf numFmtId="0" fontId="3" fillId="11" borderId="22" xfId="0" applyFont="1" applyFill="1" applyBorder="1" applyAlignment="1" applyProtection="1">
      <alignment horizontal="left" vertical="top" wrapText="1"/>
      <protection locked="0"/>
    </xf>
    <xf numFmtId="167" fontId="0" fillId="11" borderId="22" xfId="0" applyNumberFormat="1" applyFill="1" applyBorder="1" applyAlignment="1" applyProtection="1">
      <alignment horizontal="right" vertical="top"/>
      <protection locked="0"/>
    </xf>
    <xf numFmtId="0" fontId="27" fillId="11" borderId="22" xfId="0" applyFont="1" applyFill="1" applyBorder="1" applyAlignment="1" applyProtection="1">
      <alignment vertical="center"/>
      <protection locked="0"/>
    </xf>
    <xf numFmtId="0" fontId="3" fillId="0" borderId="100" xfId="0" applyFont="1" applyBorder="1" applyAlignment="1">
      <alignment horizontal="center"/>
    </xf>
    <xf numFmtId="0" fontId="104" fillId="7" borderId="25" xfId="0" applyFont="1" applyFill="1" applyBorder="1" applyProtection="1">
      <protection locked="0"/>
    </xf>
    <xf numFmtId="0" fontId="33" fillId="7" borderId="9" xfId="0" applyFont="1" applyFill="1" applyBorder="1" applyProtection="1">
      <protection locked="0"/>
    </xf>
    <xf numFmtId="0" fontId="5" fillId="0" borderId="25" xfId="0" applyFont="1" applyBorder="1"/>
    <xf numFmtId="0" fontId="0" fillId="0" borderId="25" xfId="0" applyBorder="1"/>
    <xf numFmtId="0" fontId="17" fillId="0" borderId="25" xfId="0" applyNumberFormat="1" applyFont="1" applyBorder="1" applyAlignment="1">
      <alignment horizontal="center" vertical="top"/>
    </xf>
    <xf numFmtId="0" fontId="103" fillId="0" borderId="34" xfId="0" applyFont="1" applyBorder="1" applyAlignment="1" applyProtection="1">
      <alignment vertical="top" wrapText="1"/>
    </xf>
    <xf numFmtId="0" fontId="3" fillId="11" borderId="46" xfId="0" applyFont="1" applyFill="1" applyBorder="1" applyAlignment="1" applyProtection="1">
      <alignment horizontal="center" vertical="top"/>
      <protection locked="0"/>
    </xf>
    <xf numFmtId="0" fontId="3" fillId="0" borderId="100" xfId="0" applyFont="1" applyFill="1" applyBorder="1"/>
    <xf numFmtId="0" fontId="0" fillId="0" borderId="100" xfId="0" applyFill="1" applyBorder="1" applyAlignment="1">
      <alignment horizontal="center"/>
    </xf>
    <xf numFmtId="0" fontId="3" fillId="0" borderId="46" xfId="0" applyFont="1" applyFill="1" applyBorder="1" applyAlignment="1" applyProtection="1">
      <alignment horizontal="left" vertical="top"/>
    </xf>
    <xf numFmtId="0" fontId="39" fillId="5" borderId="0" xfId="0" applyFont="1" applyFill="1" applyAlignment="1">
      <alignment horizontal="left"/>
    </xf>
    <xf numFmtId="0" fontId="39" fillId="5" borderId="0" xfId="0" applyFont="1" applyFill="1" applyAlignment="1">
      <alignment horizontal="right"/>
    </xf>
    <xf numFmtId="0" fontId="39" fillId="5" borderId="0" xfId="0" applyFont="1" applyFill="1" applyAlignment="1">
      <alignment horizontal="left" vertical="center"/>
    </xf>
    <xf numFmtId="0" fontId="71" fillId="5" borderId="0" xfId="0" applyFont="1" applyFill="1" applyAlignment="1">
      <alignment horizontal="right"/>
    </xf>
    <xf numFmtId="0" fontId="71" fillId="5" borderId="0" xfId="0" applyFont="1" applyFill="1"/>
    <xf numFmtId="0" fontId="39" fillId="5" borderId="0" xfId="0" applyFont="1" applyFill="1" applyAlignment="1">
      <alignment horizontal="right" vertical="top"/>
    </xf>
    <xf numFmtId="170" fontId="39" fillId="5" borderId="0" xfId="2" applyNumberFormat="1" applyFont="1" applyFill="1" applyAlignment="1">
      <alignment horizontal="right" vertical="top"/>
    </xf>
    <xf numFmtId="1" fontId="39" fillId="5" borderId="0" xfId="0" applyNumberFormat="1" applyFont="1" applyFill="1" applyAlignment="1">
      <alignment horizontal="right" vertical="top"/>
    </xf>
    <xf numFmtId="0" fontId="39" fillId="5" borderId="0" xfId="0" applyFont="1" applyFill="1" applyAlignment="1">
      <alignment horizontal="left" vertical="top"/>
    </xf>
    <xf numFmtId="0" fontId="39" fillId="5" borderId="0" xfId="0" applyFont="1" applyFill="1" applyAlignment="1">
      <alignment vertical="top"/>
    </xf>
    <xf numFmtId="0" fontId="39" fillId="0" borderId="0" xfId="0" applyFont="1" applyBorder="1" applyAlignment="1" applyProtection="1">
      <alignment horizontal="left" vertical="top" indent="1"/>
      <protection locked="0"/>
    </xf>
    <xf numFmtId="0" fontId="105" fillId="0" borderId="1" xfId="0" quotePrefix="1" applyFont="1" applyBorder="1" applyAlignment="1">
      <alignment horizontal="center"/>
    </xf>
    <xf numFmtId="1" fontId="39" fillId="5" borderId="0" xfId="0" applyNumberFormat="1" applyFont="1" applyFill="1" applyAlignment="1">
      <alignment horizontal="left"/>
    </xf>
    <xf numFmtId="9" fontId="39" fillId="5" borderId="0" xfId="3" applyFont="1" applyFill="1" applyAlignment="1">
      <alignment horizontal="right"/>
    </xf>
    <xf numFmtId="0" fontId="105" fillId="0" borderId="1" xfId="0" applyFont="1" applyBorder="1" applyAlignment="1">
      <alignment horizontal="center"/>
    </xf>
    <xf numFmtId="0" fontId="105" fillId="18" borderId="1" xfId="0" quotePrefix="1" applyFont="1" applyFill="1" applyBorder="1" applyAlignment="1">
      <alignment horizontal="center"/>
    </xf>
    <xf numFmtId="0" fontId="105" fillId="0" borderId="1" xfId="0" applyFont="1" applyFill="1" applyBorder="1" applyAlignment="1">
      <alignment horizontal="center"/>
    </xf>
    <xf numFmtId="0" fontId="105" fillId="0" borderId="1" xfId="0" quotePrefix="1" applyFont="1" applyFill="1" applyBorder="1" applyAlignment="1">
      <alignment horizontal="center"/>
    </xf>
    <xf numFmtId="49" fontId="105" fillId="0" borderId="1" xfId="0" applyNumberFormat="1" applyFont="1" applyFill="1" applyBorder="1" applyAlignment="1">
      <alignment horizontal="center"/>
    </xf>
    <xf numFmtId="49" fontId="105" fillId="0" borderId="1" xfId="0" quotePrefix="1" applyNumberFormat="1" applyFont="1" applyFill="1" applyBorder="1" applyAlignment="1">
      <alignment horizontal="center"/>
    </xf>
    <xf numFmtId="0" fontId="39" fillId="0" borderId="0" xfId="0" applyFont="1" applyFill="1" applyBorder="1" applyAlignment="1">
      <alignment horizontal="center"/>
    </xf>
    <xf numFmtId="0" fontId="105" fillId="0" borderId="1" xfId="0" applyFont="1" applyBorder="1" applyAlignment="1">
      <alignment horizontal="center" vertical="top"/>
    </xf>
    <xf numFmtId="0" fontId="105" fillId="0" borderId="1" xfId="0" quotePrefix="1" applyFont="1" applyBorder="1" applyAlignment="1">
      <alignment horizontal="center" vertical="top"/>
    </xf>
    <xf numFmtId="0" fontId="105" fillId="0" borderId="1" xfId="0" applyFont="1" applyBorder="1" applyAlignment="1">
      <alignment horizontal="center" vertical="top" wrapText="1"/>
    </xf>
    <xf numFmtId="0" fontId="39" fillId="0" borderId="0" xfId="0" applyFont="1" applyBorder="1" applyAlignment="1">
      <alignment horizontal="center"/>
    </xf>
    <xf numFmtId="0" fontId="39" fillId="0" borderId="1" xfId="0" applyFont="1" applyBorder="1" applyAlignment="1">
      <alignment horizontal="center" vertical="top"/>
    </xf>
    <xf numFmtId="0" fontId="39" fillId="0" borderId="0" xfId="0" applyFont="1" applyBorder="1" applyAlignment="1">
      <alignment horizontal="left"/>
    </xf>
    <xf numFmtId="0" fontId="106" fillId="0" borderId="33" xfId="0" applyFont="1" applyBorder="1" applyAlignment="1">
      <alignment horizontal="left" vertical="center" wrapText="1"/>
    </xf>
    <xf numFmtId="0" fontId="106" fillId="0" borderId="0" xfId="0" applyFont="1" applyBorder="1" applyAlignment="1">
      <alignment horizontal="left" vertical="center" wrapText="1"/>
    </xf>
    <xf numFmtId="0" fontId="106" fillId="0" borderId="0" xfId="0" applyFont="1" applyBorder="1" applyAlignment="1" applyProtection="1">
      <alignment vertical="center" wrapText="1"/>
      <protection locked="0"/>
    </xf>
    <xf numFmtId="0" fontId="106" fillId="0" borderId="0" xfId="0" applyFont="1" applyBorder="1" applyAlignment="1" applyProtection="1">
      <alignment horizontal="center" vertical="center"/>
      <protection locked="0"/>
    </xf>
    <xf numFmtId="169" fontId="106" fillId="6" borderId="0" xfId="0" applyNumberFormat="1" applyFont="1" applyFill="1" applyBorder="1" applyAlignment="1">
      <alignment horizontal="center" vertical="center"/>
    </xf>
    <xf numFmtId="169" fontId="106" fillId="0" borderId="39" xfId="0" applyNumberFormat="1" applyFont="1" applyBorder="1" applyAlignment="1">
      <alignment horizontal="center" vertical="center"/>
    </xf>
    <xf numFmtId="0" fontId="0" fillId="0" borderId="0" xfId="0" applyAlignment="1" applyProtection="1">
      <alignment horizontal="center"/>
      <protection locked="0"/>
    </xf>
    <xf numFmtId="0" fontId="15" fillId="0" borderId="0" xfId="0" applyFont="1" applyAlignment="1">
      <alignment horizontal="right"/>
    </xf>
    <xf numFmtId="0" fontId="107" fillId="0" borderId="0" xfId="0" applyFont="1" applyAlignment="1">
      <alignment horizontal="right"/>
    </xf>
    <xf numFmtId="0" fontId="11" fillId="0" borderId="40" xfId="0" applyFont="1" applyBorder="1" applyAlignment="1"/>
    <xf numFmtId="0" fontId="11" fillId="0" borderId="69" xfId="0" applyFont="1" applyBorder="1" applyAlignment="1"/>
    <xf numFmtId="0" fontId="11" fillId="0" borderId="52" xfId="0" applyFont="1" applyBorder="1" applyAlignment="1"/>
    <xf numFmtId="0" fontId="56" fillId="6" borderId="109" xfId="9" applyFont="1" applyFill="1" applyBorder="1" applyAlignment="1">
      <alignment vertical="center" wrapText="1"/>
    </xf>
    <xf numFmtId="0" fontId="56" fillId="6" borderId="110" xfId="9" applyFont="1" applyFill="1" applyBorder="1" applyAlignment="1">
      <alignment vertical="center" wrapText="1"/>
    </xf>
    <xf numFmtId="0" fontId="56" fillId="6" borderId="111" xfId="9" applyFont="1" applyFill="1" applyBorder="1" applyAlignment="1">
      <alignment vertical="center" wrapText="1"/>
    </xf>
    <xf numFmtId="0" fontId="3" fillId="0" borderId="46" xfId="0" applyFont="1" applyBorder="1" applyAlignment="1" applyProtection="1">
      <alignment horizontal="center" vertical="center"/>
      <protection locked="0"/>
    </xf>
    <xf numFmtId="0" fontId="3" fillId="11" borderId="46" xfId="0" applyFont="1" applyFill="1" applyBorder="1" applyAlignment="1" applyProtection="1">
      <alignment vertical="center" wrapText="1"/>
      <protection locked="0"/>
    </xf>
    <xf numFmtId="0" fontId="0" fillId="11" borderId="46" xfId="0" applyFill="1" applyBorder="1" applyAlignment="1" applyProtection="1">
      <alignment vertical="center" wrapText="1"/>
      <protection locked="0"/>
    </xf>
    <xf numFmtId="0" fontId="108" fillId="5" borderId="0" xfId="9" applyFont="1" applyFill="1"/>
    <xf numFmtId="0" fontId="108" fillId="6" borderId="0" xfId="9" applyFont="1" applyFill="1"/>
    <xf numFmtId="0" fontId="108" fillId="6" borderId="1" xfId="9" applyFont="1" applyFill="1" applyBorder="1"/>
    <xf numFmtId="168" fontId="48" fillId="6" borderId="1" xfId="1" applyNumberFormat="1" applyFont="1" applyFill="1" applyBorder="1"/>
    <xf numFmtId="168" fontId="48" fillId="6" borderId="0" xfId="9" applyNumberFormat="1" applyFont="1" applyFill="1"/>
    <xf numFmtId="0" fontId="48" fillId="6" borderId="0" xfId="9" applyFont="1" applyFill="1" applyAlignment="1">
      <alignment horizontal="center"/>
    </xf>
    <xf numFmtId="174" fontId="48" fillId="6" borderId="0" xfId="9" applyNumberFormat="1" applyFont="1" applyFill="1" applyAlignment="1">
      <alignment horizontal="center"/>
    </xf>
    <xf numFmtId="170" fontId="3" fillId="0" borderId="0" xfId="2" applyNumberFormat="1" applyFont="1" applyBorder="1" applyAlignment="1">
      <alignment horizontal="center"/>
    </xf>
    <xf numFmtId="170" fontId="0" fillId="0" borderId="100" xfId="2" applyNumberFormat="1" applyFont="1" applyBorder="1" applyAlignment="1">
      <alignment horizontal="right"/>
    </xf>
    <xf numFmtId="0" fontId="38" fillId="7" borderId="0" xfId="0" applyFont="1" applyFill="1" applyAlignment="1" applyProtection="1">
      <alignment horizontal="center" vertical="center"/>
    </xf>
    <xf numFmtId="0" fontId="111" fillId="5" borderId="0" xfId="9" applyFont="1" applyFill="1"/>
    <xf numFmtId="0" fontId="111" fillId="5" borderId="0" xfId="9" applyFont="1" applyFill="1" applyAlignment="1">
      <alignment horizontal="left" vertical="top"/>
    </xf>
    <xf numFmtId="0" fontId="26" fillId="0" borderId="7" xfId="0" applyFont="1" applyBorder="1" applyAlignment="1">
      <alignment horizontal="left" vertical="center" wrapText="1"/>
    </xf>
    <xf numFmtId="0" fontId="0" fillId="0" borderId="22" xfId="0" applyFill="1" applyBorder="1" applyAlignment="1" applyProtection="1">
      <alignment horizontal="left" vertical="top" wrapText="1"/>
      <protection locked="0"/>
    </xf>
    <xf numFmtId="0" fontId="3" fillId="0" borderId="22" xfId="0" applyFont="1" applyFill="1" applyBorder="1" applyAlignment="1" applyProtection="1">
      <alignment horizontal="left" vertical="top" wrapText="1"/>
      <protection locked="0"/>
    </xf>
    <xf numFmtId="0" fontId="112" fillId="0" borderId="0" xfId="0" pivotButton="1" applyFont="1" applyAlignment="1" applyProtection="1">
      <alignment vertical="center"/>
      <protection locked="0"/>
    </xf>
    <xf numFmtId="0" fontId="112" fillId="0" borderId="0" xfId="0" pivotButton="1" applyFont="1" applyAlignment="1">
      <alignment vertical="center"/>
    </xf>
    <xf numFmtId="0" fontId="112" fillId="0" borderId="0" xfId="0" pivotButton="1" applyFont="1" applyAlignment="1" applyProtection="1">
      <alignment horizontal="center" vertical="center" wrapText="1"/>
      <protection locked="0"/>
    </xf>
    <xf numFmtId="0" fontId="112" fillId="0" borderId="0" xfId="0" pivotButton="1" applyFont="1" applyAlignment="1" applyProtection="1">
      <alignment horizontal="left" vertical="center" wrapText="1"/>
      <protection locked="0"/>
    </xf>
    <xf numFmtId="0" fontId="112" fillId="0" borderId="0" xfId="0" applyFont="1" applyAlignment="1" applyProtection="1">
      <alignment horizontal="center" vertical="center"/>
      <protection locked="0"/>
    </xf>
    <xf numFmtId="168" fontId="4" fillId="14" borderId="1" xfId="1" applyNumberFormat="1" applyFont="1" applyFill="1" applyBorder="1" applyAlignment="1" applyProtection="1">
      <alignment horizontal="right"/>
      <protection locked="0"/>
    </xf>
    <xf numFmtId="168" fontId="4" fillId="15" borderId="1" xfId="1" applyNumberFormat="1" applyFont="1" applyFill="1" applyBorder="1" applyAlignment="1" applyProtection="1">
      <alignment horizontal="right"/>
      <protection locked="0"/>
    </xf>
    <xf numFmtId="0" fontId="4" fillId="0" borderId="1" xfId="0" applyFont="1" applyFill="1" applyBorder="1" applyAlignment="1">
      <alignment horizontal="center" vertical="top"/>
    </xf>
    <xf numFmtId="168" fontId="4" fillId="15" borderId="1" xfId="1" applyNumberFormat="1" applyFont="1" applyFill="1" applyBorder="1" applyAlignment="1" applyProtection="1">
      <alignment horizontal="right" vertical="top"/>
      <protection locked="0"/>
    </xf>
    <xf numFmtId="0" fontId="113" fillId="6" borderId="31" xfId="0" applyFont="1" applyFill="1" applyBorder="1" applyAlignment="1">
      <alignment horizontal="center"/>
    </xf>
    <xf numFmtId="0" fontId="3" fillId="6" borderId="31" xfId="0" applyFont="1" applyFill="1" applyBorder="1"/>
    <xf numFmtId="0" fontId="12" fillId="5" borderId="0" xfId="0" applyFont="1" applyFill="1" applyAlignment="1">
      <alignment horizontal="center" vertical="center"/>
    </xf>
    <xf numFmtId="0" fontId="12" fillId="5" borderId="0" xfId="0" applyFont="1" applyFill="1" applyAlignment="1">
      <alignment horizontal="left" vertical="top"/>
    </xf>
    <xf numFmtId="167" fontId="14" fillId="5" borderId="0" xfId="0" applyNumberFormat="1" applyFont="1" applyFill="1" applyBorder="1" applyAlignment="1">
      <alignment horizontal="center" vertical="center"/>
    </xf>
    <xf numFmtId="0" fontId="3" fillId="15" borderId="16" xfId="0" applyFont="1" applyFill="1" applyBorder="1" applyAlignment="1" applyProtection="1">
      <alignment horizontal="center"/>
      <protection locked="0"/>
    </xf>
    <xf numFmtId="0" fontId="0" fillId="15" borderId="15" xfId="0" applyFill="1" applyBorder="1" applyAlignment="1" applyProtection="1">
      <alignment horizontal="center"/>
      <protection locked="0"/>
    </xf>
    <xf numFmtId="0" fontId="5" fillId="6" borderId="0" xfId="0" applyFont="1" applyFill="1" applyAlignment="1" applyProtection="1">
      <alignment horizontal="center"/>
      <protection locked="0"/>
    </xf>
    <xf numFmtId="0" fontId="21" fillId="6" borderId="1" xfId="0" applyFont="1" applyFill="1" applyBorder="1" applyAlignment="1" applyProtection="1">
      <alignment horizontal="center" wrapText="1"/>
      <protection locked="0"/>
    </xf>
    <xf numFmtId="0" fontId="79" fillId="6" borderId="1" xfId="0" applyFont="1" applyFill="1" applyBorder="1" applyAlignment="1" applyProtection="1">
      <alignment horizontal="center" vertical="center"/>
      <protection locked="0"/>
    </xf>
    <xf numFmtId="0" fontId="3" fillId="6" borderId="35" xfId="0" applyFont="1" applyFill="1" applyBorder="1" applyAlignment="1" applyProtection="1">
      <alignment horizontal="left" vertical="top" wrapText="1"/>
      <protection locked="0"/>
    </xf>
    <xf numFmtId="0" fontId="3" fillId="6" borderId="34" xfId="0" applyFont="1" applyFill="1" applyBorder="1" applyAlignment="1" applyProtection="1">
      <alignment horizontal="left" vertical="top" wrapText="1"/>
      <protection locked="0"/>
    </xf>
    <xf numFmtId="0" fontId="3" fillId="6" borderId="36" xfId="0" applyFont="1" applyFill="1" applyBorder="1" applyAlignment="1" applyProtection="1">
      <alignment horizontal="left" vertical="top" wrapText="1"/>
      <protection locked="0"/>
    </xf>
    <xf numFmtId="0" fontId="3" fillId="6" borderId="44" xfId="0" applyFont="1" applyFill="1" applyBorder="1" applyAlignment="1" applyProtection="1">
      <alignment horizontal="left" vertical="top" wrapText="1"/>
      <protection locked="0"/>
    </xf>
    <xf numFmtId="0" fontId="3" fillId="6" borderId="0" xfId="0" applyFont="1" applyFill="1" applyBorder="1" applyAlignment="1" applyProtection="1">
      <alignment horizontal="left" vertical="top" wrapText="1"/>
      <protection locked="0"/>
    </xf>
    <xf numFmtId="0" fontId="3" fillId="6" borderId="45" xfId="0" applyFont="1" applyFill="1" applyBorder="1" applyAlignment="1" applyProtection="1">
      <alignment horizontal="left" vertical="top" wrapText="1"/>
      <protection locked="0"/>
    </xf>
    <xf numFmtId="0" fontId="3" fillId="6" borderId="37" xfId="0" applyFont="1" applyFill="1" applyBorder="1" applyAlignment="1" applyProtection="1">
      <alignment horizontal="left" vertical="top" wrapText="1"/>
      <protection locked="0"/>
    </xf>
    <xf numFmtId="0" fontId="3" fillId="6" borderId="25" xfId="0" applyFont="1" applyFill="1" applyBorder="1" applyAlignment="1" applyProtection="1">
      <alignment horizontal="left" vertical="top" wrapText="1"/>
      <protection locked="0"/>
    </xf>
    <xf numFmtId="0" fontId="3" fillId="6" borderId="46" xfId="0" applyFont="1" applyFill="1" applyBorder="1" applyAlignment="1" applyProtection="1">
      <alignment horizontal="left" vertical="top" wrapText="1"/>
      <protection locked="0"/>
    </xf>
    <xf numFmtId="0" fontId="21" fillId="0" borderId="25" xfId="0" applyFont="1" applyBorder="1" applyAlignment="1" applyProtection="1">
      <alignment horizontal="center" vertical="center"/>
      <protection locked="0"/>
    </xf>
    <xf numFmtId="0" fontId="79" fillId="6" borderId="1" xfId="0" applyFont="1" applyFill="1" applyBorder="1" applyAlignment="1" applyProtection="1">
      <alignment horizontal="center"/>
      <protection locked="0"/>
    </xf>
    <xf numFmtId="0" fontId="96" fillId="6" borderId="1" xfId="0" applyFont="1" applyFill="1" applyBorder="1" applyAlignment="1" applyProtection="1">
      <alignment horizontal="center"/>
      <protection locked="0"/>
    </xf>
    <xf numFmtId="0" fontId="29" fillId="10" borderId="1" xfId="0" applyFont="1" applyFill="1" applyBorder="1" applyAlignment="1" applyProtection="1">
      <alignment horizontal="center" vertical="center"/>
      <protection locked="0"/>
    </xf>
    <xf numFmtId="0" fontId="21" fillId="0" borderId="1" xfId="0" applyFont="1" applyBorder="1" applyAlignment="1" applyProtection="1">
      <alignment horizontal="center" vertical="center"/>
      <protection locked="0"/>
    </xf>
    <xf numFmtId="0" fontId="0" fillId="11" borderId="0" xfId="0" applyFill="1" applyBorder="1" applyAlignment="1" applyProtection="1">
      <alignment horizontal="center" wrapText="1"/>
      <protection locked="0"/>
    </xf>
    <xf numFmtId="3" fontId="21" fillId="0" borderId="1" xfId="0" applyNumberFormat="1" applyFont="1" applyBorder="1" applyAlignment="1" applyProtection="1">
      <alignment horizontal="center" vertical="center"/>
      <protection locked="0"/>
    </xf>
    <xf numFmtId="0" fontId="4" fillId="11" borderId="1" xfId="3" applyNumberFormat="1" applyFont="1" applyFill="1" applyBorder="1" applyAlignment="1" applyProtection="1">
      <alignment horizontal="center"/>
      <protection locked="0"/>
    </xf>
    <xf numFmtId="0" fontId="94" fillId="6" borderId="25" xfId="0" applyFont="1" applyFill="1" applyBorder="1" applyAlignment="1" applyProtection="1">
      <alignment horizontal="center" vertical="center"/>
      <protection locked="0"/>
    </xf>
    <xf numFmtId="9" fontId="4" fillId="11" borderId="1" xfId="3" applyFont="1" applyFill="1" applyBorder="1" applyAlignment="1" applyProtection="1">
      <alignment horizontal="center"/>
      <protection locked="0"/>
    </xf>
    <xf numFmtId="0" fontId="21" fillId="0" borderId="33" xfId="0" applyFont="1" applyBorder="1" applyAlignment="1" applyProtection="1">
      <alignment horizontal="center" vertical="center" wrapText="1"/>
      <protection locked="0"/>
    </xf>
    <xf numFmtId="0" fontId="21" fillId="0" borderId="26"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8" fillId="0" borderId="34" xfId="0" applyFont="1" applyBorder="1" applyAlignment="1">
      <alignment horizontal="center"/>
    </xf>
    <xf numFmtId="0" fontId="25" fillId="6" borderId="0" xfId="0" applyFont="1" applyFill="1" applyBorder="1" applyAlignment="1" applyProtection="1">
      <alignment horizontal="center" vertical="center" wrapText="1"/>
      <protection locked="0"/>
    </xf>
    <xf numFmtId="0" fontId="99" fillId="6" borderId="0" xfId="0" applyFont="1" applyFill="1" applyAlignment="1" applyProtection="1">
      <alignment horizontal="right" vertical="center"/>
      <protection locked="0"/>
    </xf>
    <xf numFmtId="49" fontId="21" fillId="0" borderId="25" xfId="0" applyNumberFormat="1" applyFont="1" applyBorder="1" applyAlignment="1" applyProtection="1">
      <alignment horizontal="center" vertical="center"/>
      <protection locked="0"/>
    </xf>
    <xf numFmtId="0" fontId="21" fillId="6" borderId="1" xfId="0" applyFont="1" applyFill="1" applyBorder="1" applyAlignment="1" applyProtection="1">
      <alignment horizontal="center"/>
      <protection locked="0"/>
    </xf>
    <xf numFmtId="0" fontId="5" fillId="11" borderId="34" xfId="0" applyFont="1" applyFill="1" applyBorder="1" applyAlignment="1" applyProtection="1">
      <alignment horizontal="left" vertical="top" indent="1"/>
      <protection locked="0"/>
    </xf>
    <xf numFmtId="0" fontId="5" fillId="11" borderId="0" xfId="0" applyFont="1" applyFill="1" applyBorder="1" applyAlignment="1" applyProtection="1">
      <alignment horizontal="left" vertical="top" indent="1"/>
      <protection locked="0"/>
    </xf>
    <xf numFmtId="0" fontId="0" fillId="11" borderId="34" xfId="0" applyFill="1" applyBorder="1" applyAlignment="1" applyProtection="1">
      <alignment horizontal="left" vertical="top" indent="1"/>
      <protection locked="0"/>
    </xf>
    <xf numFmtId="0" fontId="0" fillId="11" borderId="0" xfId="0" applyFill="1" applyBorder="1" applyAlignment="1" applyProtection="1">
      <alignment horizontal="left" vertical="top" indent="1"/>
      <protection locked="0"/>
    </xf>
    <xf numFmtId="0" fontId="85" fillId="7" borderId="0" xfId="0" applyFont="1" applyFill="1" applyAlignment="1">
      <alignment horizontal="center"/>
    </xf>
    <xf numFmtId="14" fontId="3" fillId="7" borderId="33" xfId="0" applyNumberFormat="1" applyFont="1" applyFill="1" applyBorder="1" applyAlignment="1" applyProtection="1">
      <alignment horizontal="center" vertical="center"/>
      <protection locked="0"/>
    </xf>
    <xf numFmtId="0" fontId="3" fillId="0" borderId="19" xfId="0" applyFont="1" applyBorder="1" applyAlignment="1" applyProtection="1">
      <alignment horizontal="center" vertical="center"/>
      <protection locked="0"/>
    </xf>
    <xf numFmtId="0" fontId="5" fillId="12" borderId="1" xfId="0" applyFont="1" applyFill="1" applyBorder="1" applyAlignment="1" applyProtection="1">
      <alignment horizontal="left"/>
      <protection locked="0"/>
    </xf>
    <xf numFmtId="49" fontId="5" fillId="12" borderId="1" xfId="0" applyNumberFormat="1" applyFont="1" applyFill="1" applyBorder="1" applyAlignment="1" applyProtection="1">
      <alignment horizontal="left" vertical="top"/>
      <protection locked="0"/>
    </xf>
    <xf numFmtId="0" fontId="3" fillId="7" borderId="33" xfId="0" applyFont="1" applyFill="1" applyBorder="1" applyAlignment="1" applyProtection="1">
      <alignment horizontal="center" vertical="center"/>
      <protection locked="0"/>
    </xf>
    <xf numFmtId="0" fontId="5" fillId="7" borderId="0" xfId="0" applyFont="1" applyFill="1" applyAlignment="1">
      <alignment horizontal="center"/>
    </xf>
    <xf numFmtId="0" fontId="10" fillId="7" borderId="33" xfId="0" applyFont="1" applyFill="1" applyBorder="1" applyAlignment="1" applyProtection="1">
      <alignment horizontal="center" vertical="center"/>
      <protection locked="0"/>
    </xf>
    <xf numFmtId="0" fontId="10" fillId="7" borderId="19" xfId="0" applyFont="1" applyFill="1" applyBorder="1" applyAlignment="1" applyProtection="1">
      <alignment horizontal="center" vertical="center"/>
      <protection locked="0"/>
    </xf>
    <xf numFmtId="168" fontId="0" fillId="13" borderId="1" xfId="0" applyNumberFormat="1" applyFill="1" applyBorder="1" applyAlignment="1" applyProtection="1">
      <alignment horizontal="center"/>
    </xf>
    <xf numFmtId="0" fontId="3" fillId="7" borderId="35" xfId="0" applyFont="1" applyFill="1" applyBorder="1" applyAlignment="1" applyProtection="1">
      <alignment horizontal="left" vertical="top" wrapText="1" indent="1"/>
      <protection locked="0"/>
    </xf>
    <xf numFmtId="0" fontId="3" fillId="7" borderId="34" xfId="0" applyFont="1" applyFill="1" applyBorder="1" applyAlignment="1" applyProtection="1">
      <alignment horizontal="left" vertical="top" wrapText="1" indent="1"/>
      <protection locked="0"/>
    </xf>
    <xf numFmtId="0" fontId="3" fillId="7" borderId="36" xfId="0" applyFont="1" applyFill="1" applyBorder="1" applyAlignment="1" applyProtection="1">
      <alignment horizontal="left" vertical="top" wrapText="1" indent="1"/>
      <protection locked="0"/>
    </xf>
    <xf numFmtId="0" fontId="3" fillId="7" borderId="44" xfId="0" applyFont="1" applyFill="1" applyBorder="1" applyAlignment="1" applyProtection="1">
      <alignment horizontal="left" vertical="top" wrapText="1" indent="1"/>
      <protection locked="0"/>
    </xf>
    <xf numFmtId="0" fontId="3" fillId="7" borderId="0" xfId="0" applyFont="1" applyFill="1" applyBorder="1" applyAlignment="1" applyProtection="1">
      <alignment horizontal="left" vertical="top" wrapText="1" indent="1"/>
      <protection locked="0"/>
    </xf>
    <xf numFmtId="0" fontId="3" fillId="7" borderId="45" xfId="0" applyFont="1" applyFill="1" applyBorder="1" applyAlignment="1" applyProtection="1">
      <alignment horizontal="left" vertical="top" wrapText="1" indent="1"/>
      <protection locked="0"/>
    </xf>
    <xf numFmtId="0" fontId="3" fillId="7" borderId="37" xfId="0" applyFont="1" applyFill="1" applyBorder="1" applyAlignment="1" applyProtection="1">
      <alignment horizontal="left" vertical="top" wrapText="1" indent="1"/>
      <protection locked="0"/>
    </xf>
    <xf numFmtId="0" fontId="3" fillId="7" borderId="25" xfId="0" applyFont="1" applyFill="1" applyBorder="1" applyAlignment="1" applyProtection="1">
      <alignment horizontal="left" vertical="top" wrapText="1" indent="1"/>
      <protection locked="0"/>
    </xf>
    <xf numFmtId="0" fontId="3" fillId="7" borderId="46" xfId="0" applyFont="1" applyFill="1" applyBorder="1" applyAlignment="1" applyProtection="1">
      <alignment horizontal="left" vertical="top" wrapText="1" indent="1"/>
      <protection locked="0"/>
    </xf>
    <xf numFmtId="0" fontId="10" fillId="0" borderId="19" xfId="0" applyFont="1" applyBorder="1" applyAlignment="1" applyProtection="1">
      <alignment horizontal="center" vertical="center"/>
      <protection locked="0"/>
    </xf>
    <xf numFmtId="0" fontId="21" fillId="12" borderId="33" xfId="0" applyFont="1" applyFill="1" applyBorder="1" applyAlignment="1" applyProtection="1">
      <alignment wrapText="1"/>
      <protection locked="0"/>
    </xf>
    <xf numFmtId="0" fontId="21" fillId="12" borderId="19" xfId="0" applyFont="1" applyFill="1" applyBorder="1" applyAlignment="1" applyProtection="1">
      <alignment wrapText="1"/>
      <protection locked="0"/>
    </xf>
    <xf numFmtId="0" fontId="3" fillId="7" borderId="28" xfId="0" applyFont="1" applyFill="1" applyBorder="1" applyAlignment="1" applyProtection="1">
      <alignment horizontal="center" vertical="top" wrapText="1"/>
      <protection locked="0"/>
    </xf>
    <xf numFmtId="0" fontId="90" fillId="7" borderId="106" xfId="0" applyFont="1" applyFill="1" applyBorder="1" applyAlignment="1">
      <alignment horizontal="center" vertical="center"/>
    </xf>
    <xf numFmtId="0" fontId="7" fillId="0" borderId="51" xfId="0" applyNumberFormat="1" applyFont="1" applyBorder="1" applyAlignment="1" applyProtection="1">
      <alignment horizontal="center" vertical="top"/>
    </xf>
    <xf numFmtId="0" fontId="7" fillId="0" borderId="30" xfId="0" applyNumberFormat="1" applyFont="1" applyBorder="1" applyAlignment="1" applyProtection="1">
      <alignment horizontal="center" vertical="top"/>
    </xf>
    <xf numFmtId="0" fontId="7" fillId="0" borderId="38" xfId="0" applyNumberFormat="1" applyFont="1" applyBorder="1" applyAlignment="1" applyProtection="1">
      <alignment horizontal="center" vertical="top"/>
    </xf>
    <xf numFmtId="0" fontId="17" fillId="0" borderId="38" xfId="0" applyNumberFormat="1" applyFont="1" applyBorder="1" applyAlignment="1">
      <alignment horizontal="left" vertical="top"/>
    </xf>
    <xf numFmtId="0" fontId="17" fillId="0" borderId="25" xfId="0" applyNumberFormat="1" applyFont="1" applyBorder="1" applyAlignment="1">
      <alignment horizontal="left" vertical="top"/>
    </xf>
    <xf numFmtId="0" fontId="3" fillId="0" borderId="51" xfId="0" applyFont="1" applyBorder="1" applyAlignment="1" applyProtection="1">
      <alignment horizontal="left" vertical="top" wrapText="1" indent="1"/>
      <protection locked="0"/>
    </xf>
    <xf numFmtId="0" fontId="3" fillId="0" borderId="34" xfId="0" applyFont="1" applyBorder="1" applyAlignment="1" applyProtection="1">
      <alignment horizontal="left" vertical="top" wrapText="1" indent="1"/>
      <protection locked="0"/>
    </xf>
    <xf numFmtId="0" fontId="3" fillId="0" borderId="30" xfId="0" applyFont="1" applyBorder="1" applyAlignment="1" applyProtection="1">
      <alignment horizontal="left" vertical="top" wrapText="1" indent="1"/>
      <protection locked="0"/>
    </xf>
    <xf numFmtId="0" fontId="3" fillId="0" borderId="0" xfId="0" applyFont="1" applyBorder="1" applyAlignment="1" applyProtection="1">
      <alignment horizontal="left" vertical="top" wrapText="1" indent="1"/>
      <protection locked="0"/>
    </xf>
    <xf numFmtId="0" fontId="3" fillId="0" borderId="32" xfId="0" applyFont="1" applyBorder="1" applyAlignment="1" applyProtection="1">
      <alignment horizontal="left" vertical="top" wrapText="1" indent="1"/>
      <protection locked="0"/>
    </xf>
    <xf numFmtId="0" fontId="3" fillId="0" borderId="9" xfId="0" applyFont="1" applyBorder="1" applyAlignment="1" applyProtection="1">
      <alignment horizontal="left" vertical="top" wrapText="1" indent="1"/>
      <protection locked="0"/>
    </xf>
    <xf numFmtId="0" fontId="60" fillId="0" borderId="16" xfId="0" applyFont="1" applyBorder="1" applyAlignment="1" applyProtection="1">
      <alignment horizontal="left" vertical="top" wrapText="1" indent="1"/>
      <protection locked="0"/>
    </xf>
    <xf numFmtId="0" fontId="60" fillId="0" borderId="14" xfId="0" applyFont="1" applyBorder="1" applyAlignment="1" applyProtection="1">
      <alignment horizontal="left" vertical="top" wrapText="1" indent="1"/>
      <protection locked="0"/>
    </xf>
    <xf numFmtId="0" fontId="60" fillId="0" borderId="15" xfId="0" applyFont="1" applyBorder="1" applyAlignment="1" applyProtection="1">
      <alignment horizontal="left" vertical="top" wrapText="1" indent="1"/>
      <protection locked="0"/>
    </xf>
    <xf numFmtId="0" fontId="5" fillId="0" borderId="41" xfId="0" applyFont="1" applyBorder="1" applyAlignment="1">
      <alignment horizontal="left" vertical="top" wrapText="1"/>
    </xf>
    <xf numFmtId="0" fontId="5" fillId="0" borderId="42" xfId="0" applyFont="1" applyBorder="1" applyAlignment="1">
      <alignment horizontal="left" vertical="top" wrapText="1"/>
    </xf>
    <xf numFmtId="0" fontId="5" fillId="0" borderId="43" xfId="0" applyFont="1" applyBorder="1" applyAlignment="1">
      <alignment horizontal="left" vertical="top" wrapText="1"/>
    </xf>
    <xf numFmtId="0" fontId="56" fillId="6" borderId="73" xfId="9" applyFont="1" applyFill="1" applyBorder="1" applyAlignment="1">
      <alignment horizontal="center" vertical="center" wrapText="1"/>
    </xf>
    <xf numFmtId="0" fontId="56" fillId="6" borderId="72" xfId="9" applyFont="1" applyFill="1" applyBorder="1" applyAlignment="1">
      <alignment horizontal="center" vertical="center" wrapText="1"/>
    </xf>
    <xf numFmtId="0" fontId="56" fillId="6" borderId="74" xfId="9" applyFont="1" applyFill="1" applyBorder="1" applyAlignment="1">
      <alignment horizontal="center" vertical="center" wrapText="1"/>
    </xf>
    <xf numFmtId="0" fontId="56" fillId="6" borderId="31" xfId="9" applyFont="1" applyFill="1" applyBorder="1" applyAlignment="1">
      <alignment vertical="center" wrapText="1"/>
    </xf>
    <xf numFmtId="0" fontId="56" fillId="6" borderId="0" xfId="9" applyFont="1" applyFill="1" applyBorder="1" applyAlignment="1">
      <alignment vertical="center" wrapText="1"/>
    </xf>
    <xf numFmtId="0" fontId="56" fillId="6" borderId="113" xfId="9" applyFont="1" applyFill="1" applyBorder="1" applyAlignment="1">
      <alignment vertical="center" wrapText="1"/>
    </xf>
    <xf numFmtId="0" fontId="56" fillId="6" borderId="115" xfId="9" applyFont="1" applyFill="1" applyBorder="1" applyAlignment="1">
      <alignment vertical="center" wrapText="1"/>
    </xf>
    <xf numFmtId="0" fontId="56" fillId="6" borderId="117" xfId="9" applyFont="1" applyFill="1" applyBorder="1" applyAlignment="1">
      <alignment horizontal="center" vertical="center" wrapText="1"/>
    </xf>
    <xf numFmtId="0" fontId="56" fillId="6" borderId="120" xfId="9" applyFont="1" applyFill="1" applyBorder="1" applyAlignment="1">
      <alignment horizontal="center" vertical="center" wrapText="1"/>
    </xf>
    <xf numFmtId="0" fontId="62" fillId="6" borderId="64" xfId="9" applyFont="1" applyFill="1" applyBorder="1" applyAlignment="1">
      <alignment vertical="center" wrapText="1"/>
    </xf>
    <xf numFmtId="0" fontId="63" fillId="6" borderId="64" xfId="9" applyFont="1" applyFill="1" applyBorder="1" applyAlignment="1">
      <alignment vertical="center" wrapText="1"/>
    </xf>
    <xf numFmtId="0" fontId="63" fillId="6" borderId="67" xfId="9" applyFont="1" applyFill="1" applyBorder="1" applyAlignment="1">
      <alignment vertical="center" wrapText="1"/>
    </xf>
    <xf numFmtId="168" fontId="47" fillId="6" borderId="64" xfId="10" applyNumberFormat="1" applyFont="1" applyFill="1" applyBorder="1" applyAlignment="1">
      <alignment horizontal="right" vertical="center" wrapText="1"/>
    </xf>
    <xf numFmtId="168" fontId="47" fillId="6" borderId="67" xfId="10" applyNumberFormat="1" applyFont="1" applyFill="1" applyBorder="1" applyAlignment="1">
      <alignment horizontal="right" vertical="center" wrapText="1"/>
    </xf>
    <xf numFmtId="174" fontId="47" fillId="11" borderId="64" xfId="10" applyNumberFormat="1" applyFont="1" applyFill="1" applyBorder="1" applyAlignment="1" applyProtection="1">
      <alignment horizontal="center" vertical="center" wrapText="1"/>
      <protection locked="0"/>
    </xf>
    <xf numFmtId="174" fontId="47" fillId="11" borderId="67" xfId="10" applyNumberFormat="1" applyFont="1" applyFill="1" applyBorder="1" applyAlignment="1" applyProtection="1">
      <alignment horizontal="center" vertical="center" wrapText="1"/>
      <protection locked="0"/>
    </xf>
    <xf numFmtId="168" fontId="47" fillId="6" borderId="66" xfId="10" applyNumberFormat="1" applyFont="1" applyFill="1" applyBorder="1" applyAlignment="1">
      <alignment horizontal="center" vertical="center" wrapText="1"/>
    </xf>
    <xf numFmtId="168" fontId="47" fillId="6" borderId="68" xfId="10" applyNumberFormat="1" applyFont="1" applyFill="1" applyBorder="1" applyAlignment="1">
      <alignment horizontal="center" vertical="center" wrapText="1"/>
    </xf>
    <xf numFmtId="0" fontId="47" fillId="6" borderId="63" xfId="9" applyFont="1" applyFill="1" applyBorder="1" applyAlignment="1">
      <alignment horizontal="center" vertical="center" wrapText="1"/>
    </xf>
    <xf numFmtId="0" fontId="47" fillId="6" borderId="64" xfId="9" applyFont="1" applyFill="1" applyBorder="1" applyAlignment="1">
      <alignment horizontal="center" vertical="center" wrapText="1"/>
    </xf>
    <xf numFmtId="0" fontId="47" fillId="6" borderId="67" xfId="9" applyFont="1" applyFill="1" applyBorder="1" applyAlignment="1">
      <alignment horizontal="center" vertical="center" wrapText="1"/>
    </xf>
    <xf numFmtId="0" fontId="47" fillId="6" borderId="63" xfId="9" applyFont="1" applyFill="1" applyBorder="1" applyAlignment="1">
      <alignment vertical="center" wrapText="1"/>
    </xf>
    <xf numFmtId="0" fontId="48" fillId="6" borderId="64" xfId="9" applyFont="1" applyFill="1" applyBorder="1" applyAlignment="1">
      <alignment vertical="center" wrapText="1"/>
    </xf>
    <xf numFmtId="0" fontId="48" fillId="6" borderId="67" xfId="9" applyFont="1" applyFill="1" applyBorder="1" applyAlignment="1">
      <alignment vertical="center" wrapText="1"/>
    </xf>
    <xf numFmtId="168" fontId="47" fillId="6" borderId="63" xfId="10" applyNumberFormat="1" applyFont="1" applyFill="1" applyBorder="1" applyAlignment="1">
      <alignment horizontal="right" vertical="center" wrapText="1"/>
    </xf>
    <xf numFmtId="174" fontId="47" fillId="11" borderId="63" xfId="10" applyNumberFormat="1" applyFont="1" applyFill="1" applyBorder="1" applyAlignment="1" applyProtection="1">
      <alignment horizontal="center" vertical="center" wrapText="1"/>
      <protection locked="0"/>
    </xf>
    <xf numFmtId="165" fontId="47" fillId="6" borderId="65" xfId="10" applyFont="1" applyFill="1" applyBorder="1" applyAlignment="1">
      <alignment horizontal="center" vertical="center" wrapText="1"/>
    </xf>
    <xf numFmtId="165" fontId="47" fillId="6" borderId="66" xfId="10" applyFont="1" applyFill="1" applyBorder="1" applyAlignment="1">
      <alignment horizontal="center" vertical="center" wrapText="1"/>
    </xf>
    <xf numFmtId="165" fontId="47" fillId="6" borderId="68" xfId="10" applyFont="1" applyFill="1" applyBorder="1" applyAlignment="1">
      <alignment horizontal="center" vertical="center" wrapText="1"/>
    </xf>
    <xf numFmtId="0" fontId="47" fillId="6" borderId="73" xfId="9" applyFont="1" applyFill="1" applyBorder="1" applyAlignment="1">
      <alignment horizontal="center" vertical="center"/>
    </xf>
    <xf numFmtId="0" fontId="47" fillId="6" borderId="72" xfId="9" applyFont="1" applyFill="1" applyBorder="1" applyAlignment="1">
      <alignment horizontal="center" vertical="center"/>
    </xf>
    <xf numFmtId="0" fontId="47" fillId="6" borderId="74" xfId="9" applyFont="1" applyFill="1" applyBorder="1" applyAlignment="1">
      <alignment horizontal="center" vertical="center"/>
    </xf>
    <xf numFmtId="0" fontId="47" fillId="0" borderId="64" xfId="9" applyFont="1" applyFill="1" applyBorder="1" applyAlignment="1">
      <alignment horizontal="center" vertical="center" wrapText="1"/>
    </xf>
    <xf numFmtId="0" fontId="47" fillId="0" borderId="67" xfId="9" applyFont="1" applyFill="1" applyBorder="1" applyAlignment="1">
      <alignment horizontal="center" vertical="center" wrapText="1"/>
    </xf>
    <xf numFmtId="0" fontId="56" fillId="6" borderId="112" xfId="9" applyFont="1" applyFill="1" applyBorder="1" applyAlignment="1">
      <alignment vertical="center" wrapText="1"/>
    </xf>
    <xf numFmtId="0" fontId="47" fillId="0" borderId="63" xfId="9" applyFont="1" applyFill="1" applyBorder="1" applyAlignment="1">
      <alignment horizontal="center" vertical="center" wrapText="1"/>
    </xf>
    <xf numFmtId="0" fontId="47" fillId="0" borderId="123" xfId="9" applyFont="1" applyFill="1" applyBorder="1" applyAlignment="1">
      <alignment horizontal="center" vertical="center" wrapText="1"/>
    </xf>
    <xf numFmtId="0" fontId="62" fillId="6" borderId="63" xfId="9" applyFont="1" applyFill="1" applyBorder="1" applyAlignment="1">
      <alignment vertical="center" wrapText="1"/>
    </xf>
    <xf numFmtId="0" fontId="62" fillId="6" borderId="123" xfId="9" applyFont="1" applyFill="1" applyBorder="1" applyAlignment="1">
      <alignment vertical="center" wrapText="1"/>
    </xf>
    <xf numFmtId="168" fontId="47" fillId="6" borderId="123" xfId="10" applyNumberFormat="1" applyFont="1" applyFill="1" applyBorder="1" applyAlignment="1">
      <alignment horizontal="right" vertical="center" wrapText="1"/>
    </xf>
    <xf numFmtId="174" fontId="47" fillId="11" borderId="123" xfId="10" applyNumberFormat="1" applyFont="1" applyFill="1" applyBorder="1" applyAlignment="1" applyProtection="1">
      <alignment horizontal="center" vertical="center" wrapText="1"/>
      <protection locked="0"/>
    </xf>
    <xf numFmtId="168" fontId="47" fillId="6" borderId="65" xfId="10" applyNumberFormat="1" applyFont="1" applyFill="1" applyBorder="1" applyAlignment="1">
      <alignment horizontal="center" vertical="center" wrapText="1"/>
    </xf>
    <xf numFmtId="168" fontId="47" fillId="6" borderId="124" xfId="10" applyNumberFormat="1" applyFont="1" applyFill="1" applyBorder="1" applyAlignment="1">
      <alignment horizontal="center" vertical="center" wrapText="1"/>
    </xf>
    <xf numFmtId="0" fontId="56" fillId="6" borderId="116" xfId="9" applyFont="1" applyFill="1" applyBorder="1" applyAlignment="1">
      <alignment horizontal="center" vertical="center" wrapText="1"/>
    </xf>
    <xf numFmtId="0" fontId="56" fillId="6" borderId="118" xfId="9" applyFont="1" applyFill="1" applyBorder="1" applyAlignment="1">
      <alignment horizontal="center" vertical="center" wrapText="1"/>
    </xf>
    <xf numFmtId="0" fontId="56" fillId="6" borderId="114" xfId="9" applyFont="1" applyFill="1" applyBorder="1" applyAlignment="1">
      <alignment horizontal="left" vertical="center" wrapText="1"/>
    </xf>
    <xf numFmtId="0" fontId="56" fillId="6" borderId="30" xfId="9" applyFont="1" applyFill="1" applyBorder="1" applyAlignment="1">
      <alignment horizontal="left" vertical="center" wrapText="1"/>
    </xf>
    <xf numFmtId="0" fontId="56" fillId="6" borderId="119" xfId="9" applyFont="1" applyFill="1" applyBorder="1" applyAlignment="1">
      <alignment horizontal="center" vertical="center" wrapText="1"/>
    </xf>
    <xf numFmtId="168" fontId="47" fillId="0" borderId="121" xfId="10" applyNumberFormat="1" applyFont="1" applyFill="1" applyBorder="1" applyAlignment="1">
      <alignment horizontal="right" vertical="center" wrapText="1"/>
    </xf>
    <xf numFmtId="168" fontId="47" fillId="0" borderId="64" xfId="10" applyNumberFormat="1" applyFont="1" applyFill="1" applyBorder="1" applyAlignment="1">
      <alignment horizontal="right" vertical="center" wrapText="1"/>
    </xf>
    <xf numFmtId="168" fontId="47" fillId="6" borderId="122" xfId="10" applyNumberFormat="1" applyFont="1" applyFill="1" applyBorder="1" applyAlignment="1">
      <alignment horizontal="center" vertical="center" wrapText="1"/>
    </xf>
    <xf numFmtId="174" fontId="47" fillId="11" borderId="121" xfId="10" applyNumberFormat="1" applyFont="1" applyFill="1" applyBorder="1" applyAlignment="1" applyProtection="1">
      <alignment horizontal="center" vertical="center" wrapText="1"/>
      <protection locked="0"/>
    </xf>
    <xf numFmtId="0" fontId="47" fillId="14" borderId="121" xfId="9" applyFont="1" applyFill="1" applyBorder="1" applyAlignment="1">
      <alignment horizontal="center" vertical="center" wrapText="1"/>
    </xf>
    <xf numFmtId="0" fontId="47" fillId="14" borderId="64" xfId="9" applyFont="1" applyFill="1" applyBorder="1" applyAlignment="1">
      <alignment horizontal="center" vertical="center" wrapText="1"/>
    </xf>
    <xf numFmtId="0" fontId="62" fillId="6" borderId="121" xfId="9" applyFont="1" applyFill="1" applyBorder="1" applyAlignment="1">
      <alignment vertical="center" wrapText="1"/>
    </xf>
    <xf numFmtId="0" fontId="47" fillId="0" borderId="84" xfId="0" applyFont="1" applyBorder="1" applyAlignment="1">
      <alignment vertical="center" wrapText="1"/>
    </xf>
    <xf numFmtId="0" fontId="47" fillId="0" borderId="81" xfId="0" applyFont="1" applyBorder="1" applyAlignment="1">
      <alignment vertical="center" wrapText="1"/>
    </xf>
    <xf numFmtId="0" fontId="47" fillId="0" borderId="85" xfId="0" applyFont="1" applyBorder="1" applyAlignment="1">
      <alignment vertical="center" wrapText="1"/>
    </xf>
    <xf numFmtId="0" fontId="47" fillId="0" borderId="90" xfId="0" applyFont="1" applyBorder="1" applyAlignment="1">
      <alignment vertical="center" wrapText="1"/>
    </xf>
    <xf numFmtId="0" fontId="76" fillId="17" borderId="86" xfId="0" applyFont="1" applyFill="1" applyBorder="1" applyAlignment="1">
      <alignment horizontal="center" vertical="center" wrapText="1"/>
    </xf>
    <xf numFmtId="0" fontId="76" fillId="17" borderId="56" xfId="0" applyFont="1" applyFill="1" applyBorder="1" applyAlignment="1">
      <alignment horizontal="center" vertical="center" wrapText="1"/>
    </xf>
    <xf numFmtId="0" fontId="76" fillId="17" borderId="87" xfId="0" applyFont="1" applyFill="1" applyBorder="1" applyAlignment="1">
      <alignment horizontal="center" vertical="center" wrapText="1"/>
    </xf>
    <xf numFmtId="0" fontId="76" fillId="17" borderId="88" xfId="0" applyFont="1" applyFill="1" applyBorder="1" applyAlignment="1">
      <alignment horizontal="center" vertical="center" wrapText="1"/>
    </xf>
    <xf numFmtId="0" fontId="76" fillId="17" borderId="0" xfId="0" applyFont="1" applyFill="1" applyAlignment="1">
      <alignment horizontal="center" vertical="center" wrapText="1"/>
    </xf>
    <xf numFmtId="0" fontId="76" fillId="17" borderId="89" xfId="0" applyFont="1" applyFill="1" applyBorder="1" applyAlignment="1">
      <alignment horizontal="center" vertical="center" wrapText="1"/>
    </xf>
    <xf numFmtId="0" fontId="76" fillId="17" borderId="91" xfId="0" applyFont="1" applyFill="1" applyBorder="1" applyAlignment="1">
      <alignment horizontal="center" vertical="center" wrapText="1"/>
    </xf>
    <xf numFmtId="0" fontId="76" fillId="17" borderId="92" xfId="0" applyFont="1" applyFill="1" applyBorder="1" applyAlignment="1">
      <alignment horizontal="center" vertical="center" wrapText="1"/>
    </xf>
    <xf numFmtId="0" fontId="76" fillId="17" borderId="83" xfId="0" applyFont="1" applyFill="1" applyBorder="1" applyAlignment="1">
      <alignment horizontal="center" vertical="center" wrapText="1"/>
    </xf>
    <xf numFmtId="0" fontId="34" fillId="6" borderId="54" xfId="0" applyNumberFormat="1" applyFont="1" applyFill="1" applyBorder="1" applyAlignment="1" applyProtection="1">
      <alignment horizontal="center" wrapText="1"/>
    </xf>
    <xf numFmtId="0" fontId="34" fillId="6" borderId="0" xfId="0" applyNumberFormat="1" applyFont="1" applyFill="1" applyBorder="1" applyAlignment="1" applyProtection="1">
      <alignment horizontal="center" wrapText="1"/>
    </xf>
    <xf numFmtId="0" fontId="34" fillId="6" borderId="9" xfId="0" applyNumberFormat="1" applyFont="1" applyFill="1" applyBorder="1" applyAlignment="1" applyProtection="1">
      <alignment horizontal="center" wrapText="1"/>
    </xf>
  </cellXfs>
  <cellStyles count="11">
    <cellStyle name="Comma" xfId="2" builtinId="3"/>
    <cellStyle name="Currency" xfId="1" builtinId="4"/>
    <cellStyle name="Currency 2" xfId="8" xr:uid="{00000000-0005-0000-0000-000002000000}"/>
    <cellStyle name="Currency 3" xfId="10" xr:uid="{00000000-0005-0000-0000-000003000000}"/>
    <cellStyle name="Normal" xfId="0" builtinId="0"/>
    <cellStyle name="Normal 2" xfId="4" xr:uid="{00000000-0005-0000-0000-000005000000}"/>
    <cellStyle name="Normal 3" xfId="5" xr:uid="{00000000-0005-0000-0000-000006000000}"/>
    <cellStyle name="Normal 4" xfId="7" xr:uid="{00000000-0005-0000-0000-000007000000}"/>
    <cellStyle name="Normal 5" xfId="9" xr:uid="{00000000-0005-0000-0000-000008000000}"/>
    <cellStyle name="Percent" xfId="3" builtinId="5"/>
    <cellStyle name="Percent 2" xfId="6" xr:uid="{00000000-0005-0000-0000-00000A000000}"/>
  </cellStyles>
  <dxfs count="164">
    <dxf>
      <fill>
        <patternFill>
          <bgColor theme="6" tint="0.39994506668294322"/>
        </patternFill>
      </fill>
    </dxf>
    <dxf>
      <fill>
        <patternFill>
          <bgColor theme="6" tint="0.39994506668294322"/>
        </patternFill>
      </fill>
    </dxf>
    <dxf>
      <font>
        <color theme="5" tint="-0.249977111117893"/>
      </font>
    </dxf>
    <dxf>
      <font>
        <color theme="5" tint="-0.249977111117893"/>
      </font>
    </dxf>
    <dxf>
      <font>
        <color theme="5" tint="-0.249977111117893"/>
      </font>
    </dxf>
    <dxf>
      <font>
        <color theme="5" tint="-0.249977111117893"/>
      </font>
    </dxf>
    <dxf>
      <font>
        <color theme="5" tint="-0.249977111117893"/>
      </font>
    </dxf>
    <dxf>
      <alignment wrapText="1"/>
    </dxf>
    <dxf>
      <alignment wrapText="1"/>
    </dxf>
    <dxf>
      <alignment vertical="center"/>
    </dxf>
    <dxf>
      <alignment horizontal="center"/>
    </dxf>
    <dxf>
      <alignment horizontal="left"/>
    </dxf>
    <dxf>
      <alignment horizontal="left"/>
    </dxf>
    <dxf>
      <alignment horizontal="center"/>
    </dxf>
    <dxf>
      <alignment horizontal="center"/>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alignment vertical="center"/>
    </dxf>
    <dxf>
      <alignment horizontal="center"/>
    </dxf>
    <dxf>
      <numFmt numFmtId="3" formatCode="#,##0"/>
    </dxf>
    <dxf>
      <alignment horizontal="left"/>
    </dxf>
    <dxf>
      <alignment vertical="center"/>
    </dxf>
    <dxf>
      <alignment vertical="center"/>
    </dxf>
    <dxf>
      <alignment vertical="center"/>
    </dxf>
    <dxf>
      <alignment vertical="center"/>
    </dxf>
    <dxf>
      <alignment vertical="center"/>
    </dxf>
    <dxf>
      <alignment vertical="center"/>
    </dxf>
    <dxf>
      <alignment vertical="bottom"/>
    </dxf>
    <dxf>
      <alignment vertical="bottom"/>
    </dxf>
    <dxf>
      <alignment vertical="bottom"/>
    </dxf>
    <dxf>
      <alignment vertical="bottom"/>
    </dxf>
    <dxf>
      <alignment vertical="bottom"/>
    </dxf>
    <dxf>
      <alignment vertical="bottom"/>
    </dxf>
    <dxf>
      <alignment horizontal="left"/>
    </dxf>
    <dxf>
      <alignment horizontal="center"/>
    </dxf>
    <dxf>
      <alignment horizontal="center"/>
    </dxf>
    <dxf>
      <alignment horizontal="center"/>
    </dxf>
    <dxf>
      <alignment horizontal="general"/>
    </dxf>
    <dxf>
      <alignment horizontal="general"/>
    </dxf>
    <dxf>
      <alignment horizontal="general"/>
    </dxf>
    <dxf>
      <alignment horizontal="center"/>
    </dxf>
    <dxf>
      <alignment horizontal="center"/>
    </dxf>
    <dxf>
      <alignment horizontal="general"/>
    </dxf>
    <dxf>
      <alignment horizontal="general"/>
    </dxf>
    <dxf>
      <alignment horizontal="center"/>
    </dxf>
    <dxf>
      <alignment horizontal="center"/>
    </dxf>
    <dxf>
      <alignment horizontal="general"/>
    </dxf>
    <dxf>
      <alignment horizontal="general"/>
    </dxf>
    <dxf>
      <alignment vertical="center"/>
    </dxf>
    <dxf>
      <alignment vertical="center"/>
    </dxf>
    <dxf>
      <alignment vertical="center"/>
    </dxf>
    <dxf>
      <alignment vertical="center"/>
    </dxf>
    <dxf>
      <alignment vertical="center"/>
    </dxf>
    <dxf>
      <alignment horizontal="left"/>
    </dxf>
    <dxf>
      <alignment horizontal="general"/>
    </dxf>
    <dxf>
      <alignment horizontal="left"/>
    </dxf>
    <dxf>
      <alignment horizontal="general"/>
    </dxf>
    <dxf>
      <alignment horizontal="center"/>
    </dxf>
    <dxf>
      <alignment horizontal="center"/>
    </dxf>
    <dxf>
      <alignment horizontal="center"/>
    </dxf>
    <dxf>
      <font>
        <b val="0"/>
      </font>
    </dxf>
    <dxf>
      <font>
        <b/>
      </font>
    </dxf>
    <dxf>
      <font>
        <b val="0"/>
      </font>
    </dxf>
    <dxf>
      <font>
        <b/>
        <family val="2"/>
      </font>
    </dxf>
    <dxf>
      <alignment horizontal="left"/>
    </dxf>
    <dxf>
      <alignment horizontal="left"/>
    </dxf>
    <dxf>
      <alignment horizontal="left"/>
    </dxf>
    <dxf>
      <alignment horizontal="left"/>
    </dxf>
    <dxf>
      <alignment horizontal="left"/>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6" tint="0.79998168889431442"/>
        </patternFill>
      </fill>
    </dxf>
    <dxf>
      <fill>
        <patternFill>
          <bgColor theme="5" tint="0.79998168889431442"/>
        </patternFill>
      </fill>
    </dxf>
    <dxf>
      <fill>
        <patternFill>
          <bgColor theme="5"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0"/>
      </font>
    </dxf>
    <dxf>
      <font>
        <color theme="6" tint="0.39994506668294322"/>
      </font>
    </dxf>
  </dxfs>
  <tableStyles count="0" defaultTableStyle="TableStyleMedium9"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2.svg"/><Relationship Id="rId7" Type="http://schemas.openxmlformats.org/officeDocument/2006/relationships/hyperlink" Target="#'A-Series'!A1"/><Relationship Id="rId12" Type="http://schemas.openxmlformats.org/officeDocument/2006/relationships/image" Target="../media/image8.svg"/><Relationship Id="rId2" Type="http://schemas.openxmlformats.org/officeDocument/2006/relationships/image" Target="../media/image1.png"/><Relationship Id="rId1" Type="http://schemas.openxmlformats.org/officeDocument/2006/relationships/hyperlink" Target="#PASS!A1"/><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0" Type="http://schemas.openxmlformats.org/officeDocument/2006/relationships/hyperlink" Target="#'Picking Slip'!A1"/><Relationship Id="rId4" Type="http://schemas.openxmlformats.org/officeDocument/2006/relationships/hyperlink" Target="#Cover!A1"/><Relationship Id="rId9" Type="http://schemas.openxmlformats.org/officeDocument/2006/relationships/image" Target="../media/image6.svg"/></Relationships>
</file>

<file path=xl/drawings/_rels/drawing2.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9.png"/><Relationship Id="rId21" Type="http://schemas.openxmlformats.org/officeDocument/2006/relationships/image" Target="../media/image22.png"/><Relationship Id="rId7" Type="http://schemas.microsoft.com/office/2007/relationships/hdphoto" Target="../media/hdphoto1.wdp"/><Relationship Id="rId12" Type="http://schemas.openxmlformats.org/officeDocument/2006/relationships/image" Target="../media/image6.svg"/><Relationship Id="rId17" Type="http://schemas.openxmlformats.org/officeDocument/2006/relationships/image" Target="../media/image18.png"/><Relationship Id="rId25" Type="http://schemas.openxmlformats.org/officeDocument/2006/relationships/image" Target="../media/image26.png"/><Relationship Id="rId2" Type="http://schemas.openxmlformats.org/officeDocument/2006/relationships/image" Target="../media/image2.svg"/><Relationship Id="rId16" Type="http://schemas.openxmlformats.org/officeDocument/2006/relationships/image" Target="../media/image17.png"/><Relationship Id="rId20" Type="http://schemas.openxmlformats.org/officeDocument/2006/relationships/image" Target="../media/image21.png"/><Relationship Id="rId1" Type="http://schemas.openxmlformats.org/officeDocument/2006/relationships/image" Target="../media/image1.png"/><Relationship Id="rId6" Type="http://schemas.openxmlformats.org/officeDocument/2006/relationships/image" Target="../media/image12.png"/><Relationship Id="rId11" Type="http://schemas.openxmlformats.org/officeDocument/2006/relationships/image" Target="../media/image5.png"/><Relationship Id="rId24" Type="http://schemas.openxmlformats.org/officeDocument/2006/relationships/image" Target="../media/image25.png"/><Relationship Id="rId5" Type="http://schemas.openxmlformats.org/officeDocument/2006/relationships/image" Target="../media/image11.png"/><Relationship Id="rId15" Type="http://schemas.openxmlformats.org/officeDocument/2006/relationships/image" Target="../media/image16.png"/><Relationship Id="rId23" Type="http://schemas.openxmlformats.org/officeDocument/2006/relationships/image" Target="../media/image24.png"/><Relationship Id="rId10" Type="http://schemas.openxmlformats.org/officeDocument/2006/relationships/hyperlink" Target="#'A-Series'!A1"/><Relationship Id="rId19" Type="http://schemas.openxmlformats.org/officeDocument/2006/relationships/image" Target="../media/image20.png"/><Relationship Id="rId4" Type="http://schemas.openxmlformats.org/officeDocument/2006/relationships/image" Target="../media/image10.png"/><Relationship Id="rId9" Type="http://schemas.microsoft.com/office/2007/relationships/hdphoto" Target="../media/hdphoto2.wdp"/><Relationship Id="rId14" Type="http://schemas.openxmlformats.org/officeDocument/2006/relationships/image" Target="../media/image15.png"/><Relationship Id="rId22" Type="http://schemas.openxmlformats.org/officeDocument/2006/relationships/image" Target="../media/image23.png"/></Relationships>
</file>

<file path=xl/drawings/_rels/drawing4.xml.rels><?xml version="1.0" encoding="UTF-8" standalone="yes"?>
<Relationships xmlns="http://schemas.openxmlformats.org/package/2006/relationships"><Relationship Id="rId8" Type="http://schemas.openxmlformats.org/officeDocument/2006/relationships/hyperlink" Target="#'A-Series'!A1"/><Relationship Id="rId3" Type="http://schemas.openxmlformats.org/officeDocument/2006/relationships/image" Target="../media/image30.png"/><Relationship Id="rId7" Type="http://schemas.openxmlformats.org/officeDocument/2006/relationships/image" Target="../media/image8.svg"/><Relationship Id="rId2" Type="http://schemas.openxmlformats.org/officeDocument/2006/relationships/image" Target="../media/image29.svg"/><Relationship Id="rId1" Type="http://schemas.openxmlformats.org/officeDocument/2006/relationships/image" Target="../media/image28.png"/><Relationship Id="rId6" Type="http://schemas.openxmlformats.org/officeDocument/2006/relationships/image" Target="../media/image7.png"/><Relationship Id="rId5" Type="http://schemas.openxmlformats.org/officeDocument/2006/relationships/hyperlink" Target="#'Picking Slip'!A1"/><Relationship Id="rId10" Type="http://schemas.openxmlformats.org/officeDocument/2006/relationships/image" Target="../media/image6.svg"/><Relationship Id="rId4" Type="http://schemas.openxmlformats.org/officeDocument/2006/relationships/image" Target="../media/image31.svg"/><Relationship Id="rId9"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33.svg"/><Relationship Id="rId1" Type="http://schemas.openxmlformats.org/officeDocument/2006/relationships/image" Target="../media/image32.png"/></Relationships>
</file>

<file path=xl/drawings/_rels/drawing6.xml.rels><?xml version="1.0" encoding="UTF-8" standalone="yes"?>
<Relationships xmlns="http://schemas.openxmlformats.org/package/2006/relationships"><Relationship Id="rId8" Type="http://schemas.openxmlformats.org/officeDocument/2006/relationships/image" Target="../media/image40.jpeg"/><Relationship Id="rId13" Type="http://schemas.openxmlformats.org/officeDocument/2006/relationships/image" Target="../media/image45.jpeg"/><Relationship Id="rId18" Type="http://schemas.openxmlformats.org/officeDocument/2006/relationships/image" Target="../media/image50.jpeg"/><Relationship Id="rId26" Type="http://schemas.openxmlformats.org/officeDocument/2006/relationships/image" Target="../media/image58.png"/><Relationship Id="rId3" Type="http://schemas.openxmlformats.org/officeDocument/2006/relationships/image" Target="../media/image35.jpeg"/><Relationship Id="rId21" Type="http://schemas.openxmlformats.org/officeDocument/2006/relationships/image" Target="../media/image53.png"/><Relationship Id="rId7" Type="http://schemas.openxmlformats.org/officeDocument/2006/relationships/image" Target="../media/image39.jpeg"/><Relationship Id="rId12" Type="http://schemas.openxmlformats.org/officeDocument/2006/relationships/image" Target="../media/image44.emf"/><Relationship Id="rId17" Type="http://schemas.openxmlformats.org/officeDocument/2006/relationships/image" Target="../media/image49.jpeg"/><Relationship Id="rId25" Type="http://schemas.openxmlformats.org/officeDocument/2006/relationships/image" Target="../media/image57.svg"/><Relationship Id="rId2" Type="http://schemas.openxmlformats.org/officeDocument/2006/relationships/image" Target="../media/image34.jpeg"/><Relationship Id="rId16" Type="http://schemas.openxmlformats.org/officeDocument/2006/relationships/image" Target="../media/image48.png"/><Relationship Id="rId20" Type="http://schemas.openxmlformats.org/officeDocument/2006/relationships/image" Target="../media/image52.png"/><Relationship Id="rId1" Type="http://schemas.openxmlformats.org/officeDocument/2006/relationships/hyperlink" Target="#Cover!A1"/><Relationship Id="rId6" Type="http://schemas.openxmlformats.org/officeDocument/2006/relationships/image" Target="../media/image38.jpeg"/><Relationship Id="rId11" Type="http://schemas.openxmlformats.org/officeDocument/2006/relationships/image" Target="../media/image43.emf"/><Relationship Id="rId24" Type="http://schemas.openxmlformats.org/officeDocument/2006/relationships/image" Target="../media/image56.png"/><Relationship Id="rId5" Type="http://schemas.openxmlformats.org/officeDocument/2006/relationships/image" Target="../media/image37.jpeg"/><Relationship Id="rId15" Type="http://schemas.openxmlformats.org/officeDocument/2006/relationships/image" Target="../media/image47.png"/><Relationship Id="rId23" Type="http://schemas.openxmlformats.org/officeDocument/2006/relationships/image" Target="../media/image55.svg"/><Relationship Id="rId10" Type="http://schemas.openxmlformats.org/officeDocument/2006/relationships/image" Target="../media/image42.jpeg"/><Relationship Id="rId19" Type="http://schemas.openxmlformats.org/officeDocument/2006/relationships/image" Target="../media/image51.jpeg"/><Relationship Id="rId4" Type="http://schemas.openxmlformats.org/officeDocument/2006/relationships/image" Target="../media/image36.jpeg"/><Relationship Id="rId9" Type="http://schemas.openxmlformats.org/officeDocument/2006/relationships/image" Target="../media/image41.jpeg"/><Relationship Id="rId14" Type="http://schemas.openxmlformats.org/officeDocument/2006/relationships/image" Target="../media/image46.jpeg"/><Relationship Id="rId22" Type="http://schemas.openxmlformats.org/officeDocument/2006/relationships/image" Target="../media/image54.png"/><Relationship Id="rId27" Type="http://schemas.openxmlformats.org/officeDocument/2006/relationships/image" Target="../media/image59.svg"/></Relationships>
</file>

<file path=xl/drawings/_rels/drawing7.xml.rels><?xml version="1.0" encoding="UTF-8" standalone="yes"?>
<Relationships xmlns="http://schemas.openxmlformats.org/package/2006/relationships"><Relationship Id="rId3" Type="http://schemas.openxmlformats.org/officeDocument/2006/relationships/image" Target="../media/image62.emf"/><Relationship Id="rId2" Type="http://schemas.openxmlformats.org/officeDocument/2006/relationships/image" Target="../media/image61.png"/><Relationship Id="rId1" Type="http://schemas.openxmlformats.org/officeDocument/2006/relationships/image" Target="../media/image60.png"/></Relationships>
</file>

<file path=xl/drawings/_rels/drawing8.xml.rels><?xml version="1.0" encoding="UTF-8" standalone="yes"?>
<Relationships xmlns="http://schemas.openxmlformats.org/package/2006/relationships"><Relationship Id="rId8" Type="http://schemas.openxmlformats.org/officeDocument/2006/relationships/image" Target="../media/image70.png"/><Relationship Id="rId13" Type="http://schemas.openxmlformats.org/officeDocument/2006/relationships/image" Target="../media/image75.jpeg"/><Relationship Id="rId3" Type="http://schemas.openxmlformats.org/officeDocument/2006/relationships/image" Target="../media/image65.png"/><Relationship Id="rId7" Type="http://schemas.openxmlformats.org/officeDocument/2006/relationships/image" Target="../media/image69.png"/><Relationship Id="rId12" Type="http://schemas.openxmlformats.org/officeDocument/2006/relationships/image" Target="../media/image74.png"/><Relationship Id="rId2" Type="http://schemas.openxmlformats.org/officeDocument/2006/relationships/image" Target="../media/image64.emf"/><Relationship Id="rId16" Type="http://schemas.openxmlformats.org/officeDocument/2006/relationships/image" Target="../media/image78.jpeg"/><Relationship Id="rId1" Type="http://schemas.openxmlformats.org/officeDocument/2006/relationships/image" Target="../media/image63.jpeg"/><Relationship Id="rId6" Type="http://schemas.openxmlformats.org/officeDocument/2006/relationships/image" Target="../media/image68.png"/><Relationship Id="rId11" Type="http://schemas.openxmlformats.org/officeDocument/2006/relationships/image" Target="../media/image73.png"/><Relationship Id="rId5" Type="http://schemas.openxmlformats.org/officeDocument/2006/relationships/image" Target="../media/image67.png"/><Relationship Id="rId15" Type="http://schemas.openxmlformats.org/officeDocument/2006/relationships/image" Target="../media/image77.jpeg"/><Relationship Id="rId10" Type="http://schemas.openxmlformats.org/officeDocument/2006/relationships/image" Target="../media/image72.png"/><Relationship Id="rId4" Type="http://schemas.openxmlformats.org/officeDocument/2006/relationships/image" Target="../media/image66.png"/><Relationship Id="rId9" Type="http://schemas.openxmlformats.org/officeDocument/2006/relationships/image" Target="../media/image71.jpeg"/><Relationship Id="rId14" Type="http://schemas.openxmlformats.org/officeDocument/2006/relationships/image" Target="../media/image76.png"/></Relationships>
</file>

<file path=xl/drawings/_rels/drawing9.xml.rels><?xml version="1.0" encoding="UTF-8" standalone="yes"?>
<Relationships xmlns="http://schemas.openxmlformats.org/package/2006/relationships"><Relationship Id="rId8" Type="http://schemas.openxmlformats.org/officeDocument/2006/relationships/image" Target="../media/image86.png"/><Relationship Id="rId13" Type="http://schemas.openxmlformats.org/officeDocument/2006/relationships/image" Target="../media/image91.svg"/><Relationship Id="rId3" Type="http://schemas.openxmlformats.org/officeDocument/2006/relationships/image" Target="../media/image81.png"/><Relationship Id="rId7" Type="http://schemas.openxmlformats.org/officeDocument/2006/relationships/image" Target="../media/image85.svg"/><Relationship Id="rId12" Type="http://schemas.openxmlformats.org/officeDocument/2006/relationships/image" Target="../media/image90.png"/><Relationship Id="rId17" Type="http://schemas.openxmlformats.org/officeDocument/2006/relationships/image" Target="../media/image95.png"/><Relationship Id="rId2" Type="http://schemas.openxmlformats.org/officeDocument/2006/relationships/image" Target="../media/image80.svg"/><Relationship Id="rId16" Type="http://schemas.openxmlformats.org/officeDocument/2006/relationships/image" Target="../media/image94.png"/><Relationship Id="rId1" Type="http://schemas.openxmlformats.org/officeDocument/2006/relationships/image" Target="../media/image79.png"/><Relationship Id="rId6" Type="http://schemas.openxmlformats.org/officeDocument/2006/relationships/image" Target="../media/image84.png"/><Relationship Id="rId11" Type="http://schemas.openxmlformats.org/officeDocument/2006/relationships/image" Target="../media/image89.svg"/><Relationship Id="rId5" Type="http://schemas.openxmlformats.org/officeDocument/2006/relationships/image" Target="../media/image83.svg"/><Relationship Id="rId15" Type="http://schemas.openxmlformats.org/officeDocument/2006/relationships/image" Target="../media/image93.svg"/><Relationship Id="rId10" Type="http://schemas.openxmlformats.org/officeDocument/2006/relationships/image" Target="../media/image88.png"/><Relationship Id="rId4" Type="http://schemas.openxmlformats.org/officeDocument/2006/relationships/image" Target="../media/image82.png"/><Relationship Id="rId9" Type="http://schemas.openxmlformats.org/officeDocument/2006/relationships/image" Target="../media/image87.svg"/><Relationship Id="rId14"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13</xdr:col>
      <xdr:colOff>390525</xdr:colOff>
      <xdr:row>2</xdr:row>
      <xdr:rowOff>1</xdr:rowOff>
    </xdr:from>
    <xdr:to>
      <xdr:col>14</xdr:col>
      <xdr:colOff>64575</xdr:colOff>
      <xdr:row>32</xdr:row>
      <xdr:rowOff>1</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8315325" y="161926"/>
          <a:ext cx="283650" cy="502920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xdr:col>
      <xdr:colOff>1</xdr:colOff>
      <xdr:row>31</xdr:row>
      <xdr:rowOff>47625</xdr:rowOff>
    </xdr:from>
    <xdr:to>
      <xdr:col>14</xdr:col>
      <xdr:colOff>66675</xdr:colOff>
      <xdr:row>33</xdr:row>
      <xdr:rowOff>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609601" y="5076825"/>
          <a:ext cx="7991474" cy="2762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3</xdr:col>
      <xdr:colOff>6350</xdr:colOff>
      <xdr:row>11</xdr:row>
      <xdr:rowOff>133350</xdr:rowOff>
    </xdr:from>
    <xdr:to>
      <xdr:col>5</xdr:col>
      <xdr:colOff>446814</xdr:colOff>
      <xdr:row>16</xdr:row>
      <xdr:rowOff>22638</xdr:rowOff>
    </xdr:to>
    <xdr:grpSp>
      <xdr:nvGrpSpPr>
        <xdr:cNvPr id="5" name="Group 4">
          <a:hlinkClick xmlns:r="http://schemas.openxmlformats.org/officeDocument/2006/relationships" r:id="rId1"/>
          <a:extLst>
            <a:ext uri="{FF2B5EF4-FFF2-40B4-BE49-F238E27FC236}">
              <a16:creationId xmlns:a16="http://schemas.microsoft.com/office/drawing/2014/main" id="{00000000-0008-0000-0000-000005000000}"/>
            </a:ext>
          </a:extLst>
        </xdr:cNvPr>
        <xdr:cNvGrpSpPr/>
      </xdr:nvGrpSpPr>
      <xdr:grpSpPr>
        <a:xfrm>
          <a:off x="1778000" y="2085975"/>
          <a:ext cx="1678714" cy="698913"/>
          <a:chOff x="1365250" y="2025650"/>
          <a:chExt cx="1723164" cy="683038"/>
        </a:xfrm>
      </xdr:grpSpPr>
      <xdr:pic>
        <xdr:nvPicPr>
          <xdr:cNvPr id="8" name="Graphic 7" descr="Checklist">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 uri="{96DAC541-7B7A-43D3-8B79-37D633B846F1}">
                <asvg:svgBlip xmlns:asvg="http://schemas.microsoft.com/office/drawing/2016/SVG/main" r:embed="rId3"/>
              </a:ext>
            </a:extLst>
          </a:blip>
          <a:stretch>
            <a:fillRect/>
          </a:stretch>
        </xdr:blipFill>
        <xdr:spPr>
          <a:xfrm>
            <a:off x="1955800" y="2266950"/>
            <a:ext cx="441738" cy="441738"/>
          </a:xfrm>
          <a:prstGeom prst="rect">
            <a:avLst/>
          </a:prstGeom>
        </xdr:spPr>
      </xdr:pic>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365250" y="2025650"/>
            <a:ext cx="172316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t>Pre Application Site</a:t>
            </a:r>
            <a:r>
              <a:rPr lang="en-AU" sz="1100" baseline="0"/>
              <a:t> Survey</a:t>
            </a:r>
            <a:endParaRPr lang="en-AU" sz="1100"/>
          </a:p>
        </xdr:txBody>
      </xdr:sp>
    </xdr:grpSp>
    <xdr:clientData/>
  </xdr:twoCellAnchor>
  <xdr:twoCellAnchor>
    <xdr:from>
      <xdr:col>6</xdr:col>
      <xdr:colOff>158750</xdr:colOff>
      <xdr:row>11</xdr:row>
      <xdr:rowOff>133350</xdr:rowOff>
    </xdr:from>
    <xdr:to>
      <xdr:col>7</xdr:col>
      <xdr:colOff>361414</xdr:colOff>
      <xdr:row>16</xdr:row>
      <xdr:rowOff>95250</xdr:rowOff>
    </xdr:to>
    <xdr:grpSp>
      <xdr:nvGrpSpPr>
        <xdr:cNvPr id="9" name="Group 8">
          <a:hlinkClick xmlns:r="http://schemas.openxmlformats.org/officeDocument/2006/relationships" r:id="rId4"/>
          <a:extLst>
            <a:ext uri="{FF2B5EF4-FFF2-40B4-BE49-F238E27FC236}">
              <a16:creationId xmlns:a16="http://schemas.microsoft.com/office/drawing/2014/main" id="{00000000-0008-0000-0000-000009000000}"/>
            </a:ext>
          </a:extLst>
        </xdr:cNvPr>
        <xdr:cNvGrpSpPr/>
      </xdr:nvGrpSpPr>
      <xdr:grpSpPr>
        <a:xfrm>
          <a:off x="3787775" y="2085975"/>
          <a:ext cx="821789" cy="771525"/>
          <a:chOff x="3441700" y="2025650"/>
          <a:chExt cx="844014" cy="755650"/>
        </a:xfrm>
      </xdr:grpSpPr>
      <xdr:pic>
        <xdr:nvPicPr>
          <xdr:cNvPr id="4" name="Graphic 3" descr="Briefcase">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a:ext>
              <a:ext uri="{96DAC541-7B7A-43D3-8B79-37D633B846F1}">
                <asvg:svgBlip xmlns:asvg="http://schemas.microsoft.com/office/drawing/2016/SVG/main" r:embed="rId6"/>
              </a:ext>
            </a:extLst>
          </a:blip>
          <a:stretch>
            <a:fillRect/>
          </a:stretch>
        </xdr:blipFill>
        <xdr:spPr>
          <a:xfrm>
            <a:off x="3581400" y="2266950"/>
            <a:ext cx="514350" cy="514350"/>
          </a:xfrm>
          <a:prstGeom prst="rect">
            <a:avLst/>
          </a:prstGeom>
        </xdr:spPr>
      </xdr:pic>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3441700" y="2025650"/>
            <a:ext cx="84401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t>CoverSheet</a:t>
            </a:r>
          </a:p>
        </xdr:txBody>
      </xdr:sp>
    </xdr:grpSp>
    <xdr:clientData/>
  </xdr:twoCellAnchor>
  <xdr:twoCellAnchor>
    <xdr:from>
      <xdr:col>8</xdr:col>
      <xdr:colOff>152400</xdr:colOff>
      <xdr:row>11</xdr:row>
      <xdr:rowOff>133350</xdr:rowOff>
    </xdr:from>
    <xdr:to>
      <xdr:col>9</xdr:col>
      <xdr:colOff>556977</xdr:colOff>
      <xdr:row>16</xdr:row>
      <xdr:rowOff>31750</xdr:rowOff>
    </xdr:to>
    <xdr:grpSp>
      <xdr:nvGrpSpPr>
        <xdr:cNvPr id="14" name="Group 13">
          <a:hlinkClick xmlns:r="http://schemas.openxmlformats.org/officeDocument/2006/relationships" r:id="rId7"/>
          <a:extLst>
            <a:ext uri="{FF2B5EF4-FFF2-40B4-BE49-F238E27FC236}">
              <a16:creationId xmlns:a16="http://schemas.microsoft.com/office/drawing/2014/main" id="{00000000-0008-0000-0000-00000E000000}"/>
            </a:ext>
          </a:extLst>
        </xdr:cNvPr>
        <xdr:cNvGrpSpPr/>
      </xdr:nvGrpSpPr>
      <xdr:grpSpPr>
        <a:xfrm>
          <a:off x="5019675" y="2085975"/>
          <a:ext cx="1023702" cy="708025"/>
          <a:chOff x="4718050" y="2025650"/>
          <a:chExt cx="1045927" cy="692150"/>
        </a:xfrm>
      </xdr:grpSpPr>
      <xdr:pic>
        <xdr:nvPicPr>
          <xdr:cNvPr id="10" name="Graphic 9" descr="Gears">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a:ext>
              <a:ext uri="{96DAC541-7B7A-43D3-8B79-37D633B846F1}">
                <asvg:svgBlip xmlns:asvg="http://schemas.microsoft.com/office/drawing/2016/SVG/main" r:embed="rId9"/>
              </a:ext>
            </a:extLst>
          </a:blip>
          <a:stretch>
            <a:fillRect/>
          </a:stretch>
        </xdr:blipFill>
        <xdr:spPr>
          <a:xfrm>
            <a:off x="4946650" y="2266950"/>
            <a:ext cx="450850" cy="450850"/>
          </a:xfrm>
          <a:prstGeom prst="rect">
            <a:avLst/>
          </a:prstGeom>
        </xdr:spPr>
      </xdr:pic>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4718050" y="2025650"/>
            <a:ext cx="10459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t>Bill</a:t>
            </a:r>
            <a:r>
              <a:rPr lang="en-AU" sz="1100" baseline="0"/>
              <a:t> Of Material</a:t>
            </a:r>
            <a:endParaRPr lang="en-AU" sz="1100"/>
          </a:p>
        </xdr:txBody>
      </xdr:sp>
    </xdr:grpSp>
    <xdr:clientData/>
  </xdr:twoCellAnchor>
  <xdr:twoCellAnchor>
    <xdr:from>
      <xdr:col>10</xdr:col>
      <xdr:colOff>457200</xdr:colOff>
      <xdr:row>11</xdr:row>
      <xdr:rowOff>107950</xdr:rowOff>
    </xdr:from>
    <xdr:to>
      <xdr:col>12</xdr:col>
      <xdr:colOff>220427</xdr:colOff>
      <xdr:row>16</xdr:row>
      <xdr:rowOff>38100</xdr:rowOff>
    </xdr:to>
    <xdr:grpSp>
      <xdr:nvGrpSpPr>
        <xdr:cNvPr id="17" name="Group 16">
          <a:hlinkClick xmlns:r="http://schemas.openxmlformats.org/officeDocument/2006/relationships" r:id="rId10"/>
          <a:extLst>
            <a:ext uri="{FF2B5EF4-FFF2-40B4-BE49-F238E27FC236}">
              <a16:creationId xmlns:a16="http://schemas.microsoft.com/office/drawing/2014/main" id="{00000000-0008-0000-0000-000011000000}"/>
            </a:ext>
          </a:extLst>
        </xdr:cNvPr>
        <xdr:cNvGrpSpPr/>
      </xdr:nvGrpSpPr>
      <xdr:grpSpPr>
        <a:xfrm>
          <a:off x="6562725" y="2060575"/>
          <a:ext cx="1001477" cy="739775"/>
          <a:chOff x="6788150" y="2019300"/>
          <a:chExt cx="1045927" cy="723900"/>
        </a:xfrm>
      </xdr:grpSpPr>
      <xdr:pic>
        <xdr:nvPicPr>
          <xdr:cNvPr id="16" name="Graphic 15" descr="Box trolley">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a:ext>
              <a:ext uri="{96DAC541-7B7A-43D3-8B79-37D633B846F1}">
                <asvg:svgBlip xmlns:asvg="http://schemas.microsoft.com/office/drawing/2016/SVG/main" r:embed="rId12"/>
              </a:ext>
            </a:extLst>
          </a:blip>
          <a:stretch>
            <a:fillRect/>
          </a:stretch>
        </xdr:blipFill>
        <xdr:spPr>
          <a:xfrm>
            <a:off x="6965950" y="2260600"/>
            <a:ext cx="482600" cy="482600"/>
          </a:xfrm>
          <a:prstGeom prst="rect">
            <a:avLst/>
          </a:prstGeom>
        </xdr:spPr>
      </xdr:pic>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6788150" y="2019300"/>
            <a:ext cx="10459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AU" sz="1100"/>
              <a:t>Picking Slip</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90368</xdr:colOff>
      <xdr:row>119</xdr:row>
      <xdr:rowOff>6463</xdr:rowOff>
    </xdr:from>
    <xdr:to>
      <xdr:col>22</xdr:col>
      <xdr:colOff>82428</xdr:colOff>
      <xdr:row>125</xdr:row>
      <xdr:rowOff>113386</xdr:rowOff>
    </xdr:to>
    <xdr:sp macro="" textlink="">
      <xdr:nvSpPr>
        <xdr:cNvPr id="76" name="Rectangle 75">
          <a:extLst>
            <a:ext uri="{FF2B5EF4-FFF2-40B4-BE49-F238E27FC236}">
              <a16:creationId xmlns:a16="http://schemas.microsoft.com/office/drawing/2014/main" id="{00000000-0008-0000-0100-00004C000000}"/>
            </a:ext>
          </a:extLst>
        </xdr:cNvPr>
        <xdr:cNvSpPr/>
      </xdr:nvSpPr>
      <xdr:spPr>
        <a:xfrm rot="1796618">
          <a:off x="2470238" y="13258637"/>
          <a:ext cx="5359190" cy="1100836"/>
        </a:xfrm>
        <a:custGeom>
          <a:avLst/>
          <a:gdLst>
            <a:gd name="connsiteX0" fmla="*/ 0 w 4616174"/>
            <a:gd name="connsiteY0" fmla="*/ 0 h 1074288"/>
            <a:gd name="connsiteX1" fmla="*/ 4616174 w 4616174"/>
            <a:gd name="connsiteY1" fmla="*/ 0 h 1074288"/>
            <a:gd name="connsiteX2" fmla="*/ 4616174 w 4616174"/>
            <a:gd name="connsiteY2" fmla="*/ 1074288 h 1074288"/>
            <a:gd name="connsiteX3" fmla="*/ 0 w 4616174"/>
            <a:gd name="connsiteY3" fmla="*/ 1074288 h 1074288"/>
            <a:gd name="connsiteX4" fmla="*/ 0 w 4616174"/>
            <a:gd name="connsiteY4" fmla="*/ 0 h 1074288"/>
            <a:gd name="connsiteX0" fmla="*/ 334245 w 4616174"/>
            <a:gd name="connsiteY0" fmla="*/ 5005 h 1074288"/>
            <a:gd name="connsiteX1" fmla="*/ 4616174 w 4616174"/>
            <a:gd name="connsiteY1" fmla="*/ 0 h 1074288"/>
            <a:gd name="connsiteX2" fmla="*/ 4616174 w 4616174"/>
            <a:gd name="connsiteY2" fmla="*/ 1074288 h 1074288"/>
            <a:gd name="connsiteX3" fmla="*/ 0 w 4616174"/>
            <a:gd name="connsiteY3" fmla="*/ 1074288 h 1074288"/>
            <a:gd name="connsiteX4" fmla="*/ 334245 w 4616174"/>
            <a:gd name="connsiteY4" fmla="*/ 5005 h 1074288"/>
            <a:gd name="connsiteX0" fmla="*/ 334245 w 5077731"/>
            <a:gd name="connsiteY0" fmla="*/ 22359 h 1091642"/>
            <a:gd name="connsiteX1" fmla="*/ 5077731 w 5077731"/>
            <a:gd name="connsiteY1" fmla="*/ 0 h 1091642"/>
            <a:gd name="connsiteX2" fmla="*/ 4616174 w 5077731"/>
            <a:gd name="connsiteY2" fmla="*/ 1091642 h 1091642"/>
            <a:gd name="connsiteX3" fmla="*/ 0 w 5077731"/>
            <a:gd name="connsiteY3" fmla="*/ 1091642 h 1091642"/>
            <a:gd name="connsiteX4" fmla="*/ 334245 w 5077731"/>
            <a:gd name="connsiteY4" fmla="*/ 22359 h 1091642"/>
            <a:gd name="connsiteX0" fmla="*/ 334245 w 5077731"/>
            <a:gd name="connsiteY0" fmla="*/ 22359 h 1091642"/>
            <a:gd name="connsiteX1" fmla="*/ 5077731 w 5077731"/>
            <a:gd name="connsiteY1" fmla="*/ 0 h 1091642"/>
            <a:gd name="connsiteX2" fmla="*/ 4664747 w 5077731"/>
            <a:gd name="connsiteY2" fmla="*/ 1076405 h 1091642"/>
            <a:gd name="connsiteX3" fmla="*/ 0 w 5077731"/>
            <a:gd name="connsiteY3" fmla="*/ 1091642 h 1091642"/>
            <a:gd name="connsiteX4" fmla="*/ 334245 w 5077731"/>
            <a:gd name="connsiteY4" fmla="*/ 22359 h 1091642"/>
            <a:gd name="connsiteX0" fmla="*/ 615704 w 5359190"/>
            <a:gd name="connsiteY0" fmla="*/ 22359 h 1100836"/>
            <a:gd name="connsiteX1" fmla="*/ 5359190 w 5359190"/>
            <a:gd name="connsiteY1" fmla="*/ 0 h 1100836"/>
            <a:gd name="connsiteX2" fmla="*/ 4946206 w 5359190"/>
            <a:gd name="connsiteY2" fmla="*/ 1076405 h 1100836"/>
            <a:gd name="connsiteX3" fmla="*/ 0 w 5359190"/>
            <a:gd name="connsiteY3" fmla="*/ 1100836 h 1100836"/>
            <a:gd name="connsiteX4" fmla="*/ 615704 w 5359190"/>
            <a:gd name="connsiteY4" fmla="*/ 22359 h 110083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359190" h="1100836">
              <a:moveTo>
                <a:pt x="615704" y="22359"/>
              </a:moveTo>
              <a:lnTo>
                <a:pt x="5359190" y="0"/>
              </a:lnTo>
              <a:lnTo>
                <a:pt x="4946206" y="1076405"/>
              </a:lnTo>
              <a:lnTo>
                <a:pt x="0" y="1100836"/>
              </a:lnTo>
              <a:lnTo>
                <a:pt x="615704" y="22359"/>
              </a:lnTo>
              <a:close/>
            </a:path>
          </a:pathLst>
        </a:custGeom>
        <a:ln>
          <a:no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26</xdr:col>
      <xdr:colOff>590550</xdr:colOff>
      <xdr:row>3</xdr:row>
      <xdr:rowOff>0</xdr:rowOff>
    </xdr:from>
    <xdr:to>
      <xdr:col>27</xdr:col>
      <xdr:colOff>264600</xdr:colOff>
      <xdr:row>252</xdr:row>
      <xdr:rowOff>28575</xdr:rowOff>
    </xdr:to>
    <xdr:sp macro="" textlink="">
      <xdr:nvSpPr>
        <xdr:cNvPr id="35" name="Rectangle 34">
          <a:extLst>
            <a:ext uri="{FF2B5EF4-FFF2-40B4-BE49-F238E27FC236}">
              <a16:creationId xmlns:a16="http://schemas.microsoft.com/office/drawing/2014/main" id="{00000000-0008-0000-0100-000023000000}"/>
            </a:ext>
          </a:extLst>
        </xdr:cNvPr>
        <xdr:cNvSpPr/>
      </xdr:nvSpPr>
      <xdr:spPr>
        <a:xfrm>
          <a:off x="9811854" y="480391"/>
          <a:ext cx="314572" cy="3709601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xdr:col>
      <xdr:colOff>0</xdr:colOff>
      <xdr:row>252</xdr:row>
      <xdr:rowOff>0</xdr:rowOff>
    </xdr:from>
    <xdr:to>
      <xdr:col>27</xdr:col>
      <xdr:colOff>266550</xdr:colOff>
      <xdr:row>252</xdr:row>
      <xdr:rowOff>28575</xdr:rowOff>
    </xdr:to>
    <xdr:sp macro="" textlink="">
      <xdr:nvSpPr>
        <xdr:cNvPr id="36" name="Rectangle 35">
          <a:extLst>
            <a:ext uri="{FF2B5EF4-FFF2-40B4-BE49-F238E27FC236}">
              <a16:creationId xmlns:a16="http://schemas.microsoft.com/office/drawing/2014/main" id="{00000000-0008-0000-0100-000024000000}"/>
            </a:ext>
          </a:extLst>
        </xdr:cNvPr>
        <xdr:cNvSpPr/>
      </xdr:nvSpPr>
      <xdr:spPr>
        <a:xfrm flipH="1">
          <a:off x="609600" y="40252650"/>
          <a:ext cx="8820000" cy="2857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editAs="oneCell">
    <xdr:from>
      <xdr:col>1</xdr:col>
      <xdr:colOff>44174</xdr:colOff>
      <xdr:row>4</xdr:row>
      <xdr:rowOff>27610</xdr:rowOff>
    </xdr:from>
    <xdr:to>
      <xdr:col>2</xdr:col>
      <xdr:colOff>27608</xdr:colOff>
      <xdr:row>5</xdr:row>
      <xdr:rowOff>149087</xdr:rowOff>
    </xdr:to>
    <xdr:pic>
      <xdr:nvPicPr>
        <xdr:cNvPr id="3" name="Graphic 2" descr="Checklist">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684696" y="668132"/>
          <a:ext cx="441738" cy="441738"/>
        </a:xfrm>
        <a:prstGeom prst="rect">
          <a:avLst/>
        </a:prstGeom>
      </xdr:spPr>
    </xdr:pic>
    <xdr:clientData/>
  </xdr:twoCellAnchor>
  <xdr:twoCellAnchor editAs="oneCell">
    <xdr:from>
      <xdr:col>8</xdr:col>
      <xdr:colOff>258239</xdr:colOff>
      <xdr:row>114</xdr:row>
      <xdr:rowOff>5521</xdr:rowOff>
    </xdr:from>
    <xdr:to>
      <xdr:col>16</xdr:col>
      <xdr:colOff>5797</xdr:colOff>
      <xdr:row>128</xdr:row>
      <xdr:rowOff>41688</xdr:rowOff>
    </xdr:to>
    <xdr:pic>
      <xdr:nvPicPr>
        <xdr:cNvPr id="31" name="Picture 30" descr="file:///C:/Users/trentm/Desktop/Library/Marketing/Advertising/Presenter%20Media/shipping_box_closed_1600_clr_17464.png">
          <a:extLst>
            <a:ext uri="{FF2B5EF4-FFF2-40B4-BE49-F238E27FC236}">
              <a16:creationId xmlns:a16="http://schemas.microsoft.com/office/drawing/2014/main" id="{00000000-0008-0000-0100-00001F000000}"/>
            </a:ext>
          </a:extLst>
        </xdr:cNvPr>
        <xdr:cNvPicPr>
          <a:picLocks noChangeAspect="1" noChangeArrowheads="1"/>
        </xdr:cNvPicPr>
      </xdr:nvPicPr>
      <xdr:blipFill>
        <a:blip xmlns:r="http://schemas.openxmlformats.org/officeDocument/2006/relationships" r:embed="rId3" cstate="hqprint">
          <a:extLst>
            <a:ext uri="{28A0092B-C50C-407E-A947-70E740481C1C}">
              <a14:useLocalDpi xmlns:a14="http://schemas.microsoft.com/office/drawing/2010/main"/>
            </a:ext>
          </a:extLst>
        </a:blip>
        <a:srcRect/>
        <a:stretch>
          <a:fillRect/>
        </a:stretch>
      </xdr:blipFill>
      <xdr:spPr bwMode="auto">
        <a:xfrm>
          <a:off x="3830804" y="12429434"/>
          <a:ext cx="2132950" cy="23552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77304</xdr:colOff>
      <xdr:row>104</xdr:row>
      <xdr:rowOff>149086</xdr:rowOff>
    </xdr:from>
    <xdr:to>
      <xdr:col>18</xdr:col>
      <xdr:colOff>93870</xdr:colOff>
      <xdr:row>107</xdr:row>
      <xdr:rowOff>71781</xdr:rowOff>
    </xdr:to>
    <xdr:grpSp>
      <xdr:nvGrpSpPr>
        <xdr:cNvPr id="48" name="Group 47">
          <a:extLst>
            <a:ext uri="{FF2B5EF4-FFF2-40B4-BE49-F238E27FC236}">
              <a16:creationId xmlns:a16="http://schemas.microsoft.com/office/drawing/2014/main" id="{00000000-0008-0000-0100-000030000000}"/>
            </a:ext>
          </a:extLst>
        </xdr:cNvPr>
        <xdr:cNvGrpSpPr/>
      </xdr:nvGrpSpPr>
      <xdr:grpSpPr>
        <a:xfrm>
          <a:off x="5278782" y="17161564"/>
          <a:ext cx="1176131" cy="419652"/>
          <a:chOff x="960782" y="13312911"/>
          <a:chExt cx="1209261" cy="419652"/>
        </a:xfrm>
      </xdr:grpSpPr>
      <xdr:sp macro="" textlink="">
        <xdr:nvSpPr>
          <xdr:cNvPr id="44" name="Arrow: Up 43">
            <a:extLst>
              <a:ext uri="{FF2B5EF4-FFF2-40B4-BE49-F238E27FC236}">
                <a16:creationId xmlns:a16="http://schemas.microsoft.com/office/drawing/2014/main" id="{00000000-0008-0000-0100-00002C000000}"/>
              </a:ext>
            </a:extLst>
          </xdr:cNvPr>
          <xdr:cNvSpPr/>
        </xdr:nvSpPr>
        <xdr:spPr>
          <a:xfrm rot="7235037">
            <a:off x="1355587" y="12918106"/>
            <a:ext cx="419652" cy="1209261"/>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t"/>
          <a:lstStyle/>
          <a:p>
            <a:pPr algn="l"/>
            <a:endParaRPr lang="en-AU" sz="800"/>
          </a:p>
        </xdr:txBody>
      </xdr:sp>
      <xdr:pic>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
          <a:stretch>
            <a:fillRect/>
          </a:stretch>
        </xdr:blipFill>
        <xdr:spPr>
          <a:xfrm rot="1794003">
            <a:off x="1060172" y="13368130"/>
            <a:ext cx="823031" cy="231668"/>
          </a:xfrm>
          <a:prstGeom prst="rect">
            <a:avLst/>
          </a:prstGeom>
        </xdr:spPr>
      </xdr:pic>
    </xdr:grpSp>
    <xdr:clientData fLocksWithSheet="0"/>
  </xdr:twoCellAnchor>
  <xdr:twoCellAnchor>
    <xdr:from>
      <xdr:col>18</xdr:col>
      <xdr:colOff>284133</xdr:colOff>
      <xdr:row>135</xdr:row>
      <xdr:rowOff>9270</xdr:rowOff>
    </xdr:from>
    <xdr:to>
      <xdr:col>23</xdr:col>
      <xdr:colOff>29247</xdr:colOff>
      <xdr:row>136</xdr:row>
      <xdr:rowOff>108178</xdr:rowOff>
    </xdr:to>
    <xdr:grpSp>
      <xdr:nvGrpSpPr>
        <xdr:cNvPr id="65" name="Group 64">
          <a:extLst>
            <a:ext uri="{FF2B5EF4-FFF2-40B4-BE49-F238E27FC236}">
              <a16:creationId xmlns:a16="http://schemas.microsoft.com/office/drawing/2014/main" id="{00000000-0008-0000-0100-000041000000}"/>
            </a:ext>
          </a:extLst>
        </xdr:cNvPr>
        <xdr:cNvGrpSpPr/>
      </xdr:nvGrpSpPr>
      <xdr:grpSpPr>
        <a:xfrm rot="21157173">
          <a:off x="6645176" y="22156966"/>
          <a:ext cx="1194571" cy="264560"/>
          <a:chOff x="7868478" y="13506248"/>
          <a:chExt cx="2048443" cy="264560"/>
        </a:xfrm>
      </xdr:grpSpPr>
      <xdr:sp macro="" textlink="">
        <xdr:nvSpPr>
          <xdr:cNvPr id="59" name="Left Bracket 58">
            <a:extLst>
              <a:ext uri="{FF2B5EF4-FFF2-40B4-BE49-F238E27FC236}">
                <a16:creationId xmlns:a16="http://schemas.microsoft.com/office/drawing/2014/main" id="{00000000-0008-0000-0100-00003B000000}"/>
              </a:ext>
            </a:extLst>
          </xdr:cNvPr>
          <xdr:cNvSpPr/>
        </xdr:nvSpPr>
        <xdr:spPr>
          <a:xfrm rot="14335518">
            <a:off x="8756705" y="12678686"/>
            <a:ext cx="45719" cy="1822174"/>
          </a:xfrm>
          <a:prstGeom prst="leftBracket">
            <a:avLst/>
          </a:prstGeom>
        </xdr:spPr>
        <xdr:style>
          <a:lnRef idx="1">
            <a:schemeClr val="accent3"/>
          </a:lnRef>
          <a:fillRef idx="0">
            <a:schemeClr val="accent3"/>
          </a:fillRef>
          <a:effectRef idx="0">
            <a:schemeClr val="accent3"/>
          </a:effectRef>
          <a:fontRef idx="minor">
            <a:schemeClr val="tx1"/>
          </a:fontRef>
        </xdr:style>
        <xdr:txBody>
          <a:bodyPr vertOverflow="clip" horzOverflow="clip" rtlCol="0" anchor="t"/>
          <a:lstStyle/>
          <a:p>
            <a:pPr algn="l"/>
            <a:endParaRPr lang="en-AU" sz="1100"/>
          </a:p>
        </xdr:txBody>
      </xdr:sp>
      <xdr:sp macro="" textlink="">
        <xdr:nvSpPr>
          <xdr:cNvPr id="62" name="TextBox 61">
            <a:extLst>
              <a:ext uri="{FF2B5EF4-FFF2-40B4-BE49-F238E27FC236}">
                <a16:creationId xmlns:a16="http://schemas.microsoft.com/office/drawing/2014/main" id="{00000000-0008-0000-0100-00003E000000}"/>
              </a:ext>
            </a:extLst>
          </xdr:cNvPr>
          <xdr:cNvSpPr txBox="1"/>
        </xdr:nvSpPr>
        <xdr:spPr>
          <a:xfrm rot="19759004">
            <a:off x="8012129" y="13506248"/>
            <a:ext cx="190479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chemeClr val="accent3">
                    <a:lumMod val="60000"/>
                    <a:lumOff val="40000"/>
                  </a:schemeClr>
                </a:solidFill>
              </a:rPr>
              <a:t>Conveyor</a:t>
            </a:r>
            <a:r>
              <a:rPr lang="en-AU" sz="1100" baseline="0">
                <a:solidFill>
                  <a:schemeClr val="accent3">
                    <a:lumMod val="60000"/>
                    <a:lumOff val="40000"/>
                  </a:schemeClr>
                </a:solidFill>
              </a:rPr>
              <a:t> width</a:t>
            </a:r>
            <a:endParaRPr lang="en-AU" sz="1100">
              <a:solidFill>
                <a:schemeClr val="accent3">
                  <a:lumMod val="60000"/>
                  <a:lumOff val="40000"/>
                </a:schemeClr>
              </a:solidFill>
            </a:endParaRPr>
          </a:p>
        </xdr:txBody>
      </xdr:sp>
    </xdr:grpSp>
    <xdr:clientData/>
  </xdr:twoCellAnchor>
  <xdr:twoCellAnchor>
    <xdr:from>
      <xdr:col>9</xdr:col>
      <xdr:colOff>65647</xdr:colOff>
      <xdr:row>120</xdr:row>
      <xdr:rowOff>43885</xdr:rowOff>
    </xdr:from>
    <xdr:to>
      <xdr:col>10</xdr:col>
      <xdr:colOff>32033</xdr:colOff>
      <xdr:row>128</xdr:row>
      <xdr:rowOff>146977</xdr:rowOff>
    </xdr:to>
    <xdr:grpSp>
      <xdr:nvGrpSpPr>
        <xdr:cNvPr id="69" name="Group 68">
          <a:extLst>
            <a:ext uri="{FF2B5EF4-FFF2-40B4-BE49-F238E27FC236}">
              <a16:creationId xmlns:a16="http://schemas.microsoft.com/office/drawing/2014/main" id="{00000000-0008-0000-0100-000045000000}"/>
            </a:ext>
          </a:extLst>
        </xdr:cNvPr>
        <xdr:cNvGrpSpPr/>
      </xdr:nvGrpSpPr>
      <xdr:grpSpPr>
        <a:xfrm rot="7168153">
          <a:off x="3231653" y="20292814"/>
          <a:ext cx="1428309" cy="256277"/>
          <a:chOff x="7868478" y="13507803"/>
          <a:chExt cx="1948613" cy="264560"/>
        </a:xfrm>
      </xdr:grpSpPr>
      <xdr:sp macro="" textlink="">
        <xdr:nvSpPr>
          <xdr:cNvPr id="70" name="Left Bracket 69">
            <a:extLst>
              <a:ext uri="{FF2B5EF4-FFF2-40B4-BE49-F238E27FC236}">
                <a16:creationId xmlns:a16="http://schemas.microsoft.com/office/drawing/2014/main" id="{00000000-0008-0000-0100-000046000000}"/>
              </a:ext>
            </a:extLst>
          </xdr:cNvPr>
          <xdr:cNvSpPr/>
        </xdr:nvSpPr>
        <xdr:spPr>
          <a:xfrm rot="14335518">
            <a:off x="8756705" y="12678686"/>
            <a:ext cx="45719" cy="1822174"/>
          </a:xfrm>
          <a:prstGeom prst="leftBracket">
            <a:avLst/>
          </a:prstGeom>
        </xdr:spPr>
        <xdr:style>
          <a:lnRef idx="1">
            <a:schemeClr val="accent3"/>
          </a:lnRef>
          <a:fillRef idx="0">
            <a:schemeClr val="accent3"/>
          </a:fillRef>
          <a:effectRef idx="0">
            <a:schemeClr val="accent3"/>
          </a:effectRef>
          <a:fontRef idx="minor">
            <a:schemeClr val="tx1"/>
          </a:fontRef>
        </xdr:style>
        <xdr:txBody>
          <a:bodyPr vertOverflow="clip" horzOverflow="clip" rtlCol="0" anchor="t"/>
          <a:lstStyle/>
          <a:p>
            <a:pPr algn="l"/>
            <a:endParaRPr lang="en-AU" sz="1100"/>
          </a:p>
        </xdr:txBody>
      </xdr:sp>
      <xdr:sp macro="" textlink="">
        <xdr:nvSpPr>
          <xdr:cNvPr id="71" name="TextBox 70">
            <a:extLst>
              <a:ext uri="{FF2B5EF4-FFF2-40B4-BE49-F238E27FC236}">
                <a16:creationId xmlns:a16="http://schemas.microsoft.com/office/drawing/2014/main" id="{00000000-0008-0000-0100-000047000000}"/>
              </a:ext>
            </a:extLst>
          </xdr:cNvPr>
          <xdr:cNvSpPr txBox="1"/>
        </xdr:nvSpPr>
        <xdr:spPr>
          <a:xfrm rot="19759004">
            <a:off x="8287878" y="13507803"/>
            <a:ext cx="152921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chemeClr val="accent3">
                    <a:lumMod val="60000"/>
                    <a:lumOff val="40000"/>
                  </a:schemeClr>
                </a:solidFill>
              </a:rPr>
              <a:t>Height to label</a:t>
            </a:r>
          </a:p>
        </xdr:txBody>
      </xdr:sp>
    </xdr:grpSp>
    <xdr:clientData/>
  </xdr:twoCellAnchor>
  <xdr:twoCellAnchor>
    <xdr:from>
      <xdr:col>21</xdr:col>
      <xdr:colOff>272678</xdr:colOff>
      <xdr:row>129</xdr:row>
      <xdr:rowOff>127823</xdr:rowOff>
    </xdr:from>
    <xdr:to>
      <xdr:col>25</xdr:col>
      <xdr:colOff>342037</xdr:colOff>
      <xdr:row>134</xdr:row>
      <xdr:rowOff>94346</xdr:rowOff>
    </xdr:to>
    <xdr:grpSp>
      <xdr:nvGrpSpPr>
        <xdr:cNvPr id="77" name="Group 76">
          <a:extLst>
            <a:ext uri="{FF2B5EF4-FFF2-40B4-BE49-F238E27FC236}">
              <a16:creationId xmlns:a16="http://schemas.microsoft.com/office/drawing/2014/main" id="{00000000-0008-0000-0100-00004D000000}"/>
            </a:ext>
          </a:extLst>
        </xdr:cNvPr>
        <xdr:cNvGrpSpPr/>
      </xdr:nvGrpSpPr>
      <xdr:grpSpPr>
        <a:xfrm rot="18072646">
          <a:off x="7720466" y="21064535"/>
          <a:ext cx="794783" cy="1228925"/>
          <a:chOff x="7868478" y="13566913"/>
          <a:chExt cx="1822174" cy="871213"/>
        </a:xfrm>
      </xdr:grpSpPr>
      <xdr:sp macro="" textlink="">
        <xdr:nvSpPr>
          <xdr:cNvPr id="78" name="Left Bracket 77">
            <a:extLst>
              <a:ext uri="{FF2B5EF4-FFF2-40B4-BE49-F238E27FC236}">
                <a16:creationId xmlns:a16="http://schemas.microsoft.com/office/drawing/2014/main" id="{00000000-0008-0000-0100-00004E000000}"/>
              </a:ext>
            </a:extLst>
          </xdr:cNvPr>
          <xdr:cNvSpPr/>
        </xdr:nvSpPr>
        <xdr:spPr>
          <a:xfrm rot="14335518">
            <a:off x="8756705" y="12678686"/>
            <a:ext cx="45719" cy="1822174"/>
          </a:xfrm>
          <a:prstGeom prst="leftBracket">
            <a:avLst/>
          </a:prstGeom>
        </xdr:spPr>
        <xdr:style>
          <a:lnRef idx="1">
            <a:schemeClr val="accent3"/>
          </a:lnRef>
          <a:fillRef idx="0">
            <a:schemeClr val="accent3"/>
          </a:fillRef>
          <a:effectRef idx="0">
            <a:schemeClr val="accent3"/>
          </a:effectRef>
          <a:fontRef idx="minor">
            <a:schemeClr val="tx1"/>
          </a:fontRef>
        </xdr:style>
        <xdr:txBody>
          <a:bodyPr vertOverflow="clip" horzOverflow="clip" rtlCol="0" anchor="t"/>
          <a:lstStyle/>
          <a:p>
            <a:pPr algn="l"/>
            <a:endParaRPr lang="en-AU" sz="1100"/>
          </a:p>
        </xdr:txBody>
      </xdr:sp>
      <xdr:sp macro="" textlink="">
        <xdr:nvSpPr>
          <xdr:cNvPr id="79" name="TextBox 78">
            <a:extLst>
              <a:ext uri="{FF2B5EF4-FFF2-40B4-BE49-F238E27FC236}">
                <a16:creationId xmlns:a16="http://schemas.microsoft.com/office/drawing/2014/main" id="{00000000-0008-0000-0100-00004F000000}"/>
              </a:ext>
            </a:extLst>
          </xdr:cNvPr>
          <xdr:cNvSpPr txBox="1"/>
        </xdr:nvSpPr>
        <xdr:spPr>
          <a:xfrm rot="3527354">
            <a:off x="8644701" y="13724689"/>
            <a:ext cx="816082" cy="6107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chemeClr val="accent3">
                    <a:lumMod val="60000"/>
                    <a:lumOff val="40000"/>
                  </a:schemeClr>
                </a:solidFill>
              </a:rPr>
              <a:t>Conveyor Height</a:t>
            </a:r>
          </a:p>
        </xdr:txBody>
      </xdr:sp>
    </xdr:grpSp>
    <xdr:clientData/>
  </xdr:twoCellAnchor>
  <xdr:twoCellAnchor>
    <xdr:from>
      <xdr:col>17</xdr:col>
      <xdr:colOff>192788</xdr:colOff>
      <xdr:row>130</xdr:row>
      <xdr:rowOff>84712</xdr:rowOff>
    </xdr:from>
    <xdr:to>
      <xdr:col>23</xdr:col>
      <xdr:colOff>73060</xdr:colOff>
      <xdr:row>134</xdr:row>
      <xdr:rowOff>70565</xdr:rowOff>
    </xdr:to>
    <xdr:sp macro="" textlink="">
      <xdr:nvSpPr>
        <xdr:cNvPr id="80" name="Rectangle 75">
          <a:extLst>
            <a:ext uri="{FF2B5EF4-FFF2-40B4-BE49-F238E27FC236}">
              <a16:creationId xmlns:a16="http://schemas.microsoft.com/office/drawing/2014/main" id="{00000000-0008-0000-0100-000050000000}"/>
            </a:ext>
          </a:extLst>
        </xdr:cNvPr>
        <xdr:cNvSpPr/>
      </xdr:nvSpPr>
      <xdr:spPr>
        <a:xfrm rot="19179261">
          <a:off x="6448918" y="15159060"/>
          <a:ext cx="1669316" cy="648462"/>
        </a:xfrm>
        <a:custGeom>
          <a:avLst/>
          <a:gdLst>
            <a:gd name="connsiteX0" fmla="*/ 0 w 4616174"/>
            <a:gd name="connsiteY0" fmla="*/ 0 h 1074288"/>
            <a:gd name="connsiteX1" fmla="*/ 4616174 w 4616174"/>
            <a:gd name="connsiteY1" fmla="*/ 0 h 1074288"/>
            <a:gd name="connsiteX2" fmla="*/ 4616174 w 4616174"/>
            <a:gd name="connsiteY2" fmla="*/ 1074288 h 1074288"/>
            <a:gd name="connsiteX3" fmla="*/ 0 w 4616174"/>
            <a:gd name="connsiteY3" fmla="*/ 1074288 h 1074288"/>
            <a:gd name="connsiteX4" fmla="*/ 0 w 4616174"/>
            <a:gd name="connsiteY4" fmla="*/ 0 h 1074288"/>
            <a:gd name="connsiteX0" fmla="*/ 334245 w 4616174"/>
            <a:gd name="connsiteY0" fmla="*/ 5005 h 1074288"/>
            <a:gd name="connsiteX1" fmla="*/ 4616174 w 4616174"/>
            <a:gd name="connsiteY1" fmla="*/ 0 h 1074288"/>
            <a:gd name="connsiteX2" fmla="*/ 4616174 w 4616174"/>
            <a:gd name="connsiteY2" fmla="*/ 1074288 h 1074288"/>
            <a:gd name="connsiteX3" fmla="*/ 0 w 4616174"/>
            <a:gd name="connsiteY3" fmla="*/ 1074288 h 1074288"/>
            <a:gd name="connsiteX4" fmla="*/ 334245 w 4616174"/>
            <a:gd name="connsiteY4" fmla="*/ 5005 h 1074288"/>
            <a:gd name="connsiteX0" fmla="*/ 334245 w 5077731"/>
            <a:gd name="connsiteY0" fmla="*/ 22359 h 1091642"/>
            <a:gd name="connsiteX1" fmla="*/ 5077731 w 5077731"/>
            <a:gd name="connsiteY1" fmla="*/ 0 h 1091642"/>
            <a:gd name="connsiteX2" fmla="*/ 4616174 w 5077731"/>
            <a:gd name="connsiteY2" fmla="*/ 1091642 h 1091642"/>
            <a:gd name="connsiteX3" fmla="*/ 0 w 5077731"/>
            <a:gd name="connsiteY3" fmla="*/ 1091642 h 1091642"/>
            <a:gd name="connsiteX4" fmla="*/ 334245 w 5077731"/>
            <a:gd name="connsiteY4" fmla="*/ 22359 h 1091642"/>
            <a:gd name="connsiteX0" fmla="*/ 334245 w 5077731"/>
            <a:gd name="connsiteY0" fmla="*/ 22359 h 1091642"/>
            <a:gd name="connsiteX1" fmla="*/ 5077731 w 5077731"/>
            <a:gd name="connsiteY1" fmla="*/ 0 h 1091642"/>
            <a:gd name="connsiteX2" fmla="*/ 4664747 w 5077731"/>
            <a:gd name="connsiteY2" fmla="*/ 1076405 h 1091642"/>
            <a:gd name="connsiteX3" fmla="*/ 0 w 5077731"/>
            <a:gd name="connsiteY3" fmla="*/ 1091642 h 1091642"/>
            <a:gd name="connsiteX4" fmla="*/ 334245 w 5077731"/>
            <a:gd name="connsiteY4" fmla="*/ 22359 h 1091642"/>
            <a:gd name="connsiteX0" fmla="*/ 615704 w 5359190"/>
            <a:gd name="connsiteY0" fmla="*/ 22359 h 1100836"/>
            <a:gd name="connsiteX1" fmla="*/ 5359190 w 5359190"/>
            <a:gd name="connsiteY1" fmla="*/ 0 h 1100836"/>
            <a:gd name="connsiteX2" fmla="*/ 4946206 w 5359190"/>
            <a:gd name="connsiteY2" fmla="*/ 1076405 h 1100836"/>
            <a:gd name="connsiteX3" fmla="*/ 0 w 5359190"/>
            <a:gd name="connsiteY3" fmla="*/ 1100836 h 1100836"/>
            <a:gd name="connsiteX4" fmla="*/ 615704 w 5359190"/>
            <a:gd name="connsiteY4" fmla="*/ 22359 h 1100836"/>
            <a:gd name="connsiteX0" fmla="*/ 2457265 w 7200751"/>
            <a:gd name="connsiteY0" fmla="*/ 22359 h 1076404"/>
            <a:gd name="connsiteX1" fmla="*/ 7200751 w 7200751"/>
            <a:gd name="connsiteY1" fmla="*/ 0 h 1076404"/>
            <a:gd name="connsiteX2" fmla="*/ 6787767 w 7200751"/>
            <a:gd name="connsiteY2" fmla="*/ 1076405 h 1076404"/>
            <a:gd name="connsiteX3" fmla="*/ -2 w 7200751"/>
            <a:gd name="connsiteY3" fmla="*/ 870322 h 1076404"/>
            <a:gd name="connsiteX4" fmla="*/ 2457265 w 7200751"/>
            <a:gd name="connsiteY4" fmla="*/ 22359 h 1076404"/>
            <a:gd name="connsiteX0" fmla="*/ 2457265 w 7200751"/>
            <a:gd name="connsiteY0" fmla="*/ 22359 h 1056238"/>
            <a:gd name="connsiteX1" fmla="*/ 7200751 w 7200751"/>
            <a:gd name="connsiteY1" fmla="*/ 0 h 1056238"/>
            <a:gd name="connsiteX2" fmla="*/ 4580401 w 7200751"/>
            <a:gd name="connsiteY2" fmla="*/ 1056238 h 1056238"/>
            <a:gd name="connsiteX3" fmla="*/ -2 w 7200751"/>
            <a:gd name="connsiteY3" fmla="*/ 870322 h 1056238"/>
            <a:gd name="connsiteX4" fmla="*/ 2457265 w 7200751"/>
            <a:gd name="connsiteY4" fmla="*/ 22359 h 1056238"/>
            <a:gd name="connsiteX0" fmla="*/ 2457265 w 7200751"/>
            <a:gd name="connsiteY0" fmla="*/ 22359 h 1033557"/>
            <a:gd name="connsiteX1" fmla="*/ 7200751 w 7200751"/>
            <a:gd name="connsiteY1" fmla="*/ 0 h 1033557"/>
            <a:gd name="connsiteX2" fmla="*/ 4639080 w 7200751"/>
            <a:gd name="connsiteY2" fmla="*/ 1033557 h 1033557"/>
            <a:gd name="connsiteX3" fmla="*/ -2 w 7200751"/>
            <a:gd name="connsiteY3" fmla="*/ 870322 h 1033557"/>
            <a:gd name="connsiteX4" fmla="*/ 2457265 w 7200751"/>
            <a:gd name="connsiteY4" fmla="*/ 22359 h 1033557"/>
            <a:gd name="connsiteX0" fmla="*/ 2457265 w 7068723"/>
            <a:gd name="connsiteY0" fmla="*/ 0 h 1011198"/>
            <a:gd name="connsiteX1" fmla="*/ 7068723 w 7068723"/>
            <a:gd name="connsiteY1" fmla="*/ 28674 h 1011198"/>
            <a:gd name="connsiteX2" fmla="*/ 4639080 w 7068723"/>
            <a:gd name="connsiteY2" fmla="*/ 1011198 h 1011198"/>
            <a:gd name="connsiteX3" fmla="*/ -2 w 7068723"/>
            <a:gd name="connsiteY3" fmla="*/ 847963 h 1011198"/>
            <a:gd name="connsiteX4" fmla="*/ 2457265 w 7068723"/>
            <a:gd name="connsiteY4" fmla="*/ 0 h 1011198"/>
            <a:gd name="connsiteX0" fmla="*/ 2238887 w 6850345"/>
            <a:gd name="connsiteY0" fmla="*/ 0 h 1011198"/>
            <a:gd name="connsiteX1" fmla="*/ 6850345 w 6850345"/>
            <a:gd name="connsiteY1" fmla="*/ 28674 h 1011198"/>
            <a:gd name="connsiteX2" fmla="*/ 4420702 w 6850345"/>
            <a:gd name="connsiteY2" fmla="*/ 1011198 h 1011198"/>
            <a:gd name="connsiteX3" fmla="*/ 1 w 6850345"/>
            <a:gd name="connsiteY3" fmla="*/ 821013 h 1011198"/>
            <a:gd name="connsiteX4" fmla="*/ 2238887 w 6850345"/>
            <a:gd name="connsiteY4" fmla="*/ 0 h 1011198"/>
            <a:gd name="connsiteX0" fmla="*/ 2238887 w 6850345"/>
            <a:gd name="connsiteY0" fmla="*/ 0 h 873712"/>
            <a:gd name="connsiteX1" fmla="*/ 6850345 w 6850345"/>
            <a:gd name="connsiteY1" fmla="*/ 28674 h 873712"/>
            <a:gd name="connsiteX2" fmla="*/ 4627743 w 6850345"/>
            <a:gd name="connsiteY2" fmla="*/ 873712 h 873712"/>
            <a:gd name="connsiteX3" fmla="*/ 1 w 6850345"/>
            <a:gd name="connsiteY3" fmla="*/ 821013 h 873712"/>
            <a:gd name="connsiteX4" fmla="*/ 2238887 w 6850345"/>
            <a:gd name="connsiteY4" fmla="*/ 0 h 87371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850345" h="873712">
              <a:moveTo>
                <a:pt x="2238887" y="0"/>
              </a:moveTo>
              <a:lnTo>
                <a:pt x="6850345" y="28674"/>
              </a:lnTo>
              <a:lnTo>
                <a:pt x="4627743" y="873712"/>
              </a:lnTo>
              <a:lnTo>
                <a:pt x="1" y="821013"/>
              </a:lnTo>
              <a:lnTo>
                <a:pt x="2238887" y="0"/>
              </a:lnTo>
              <a:close/>
            </a:path>
          </a:pathLst>
        </a:custGeom>
        <a:ln>
          <a:no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533882</xdr:colOff>
      <xdr:row>115</xdr:row>
      <xdr:rowOff>13331</xdr:rowOff>
    </xdr:from>
    <xdr:to>
      <xdr:col>9</xdr:col>
      <xdr:colOff>94391</xdr:colOff>
      <xdr:row>119</xdr:row>
      <xdr:rowOff>136292</xdr:rowOff>
    </xdr:to>
    <xdr:sp macro="" textlink="">
      <xdr:nvSpPr>
        <xdr:cNvPr id="81" name="Rectangle 75">
          <a:extLst>
            <a:ext uri="{FF2B5EF4-FFF2-40B4-BE49-F238E27FC236}">
              <a16:creationId xmlns:a16="http://schemas.microsoft.com/office/drawing/2014/main" id="{00000000-0008-0000-0100-000051000000}"/>
            </a:ext>
          </a:extLst>
        </xdr:cNvPr>
        <xdr:cNvSpPr/>
      </xdr:nvSpPr>
      <xdr:spPr>
        <a:xfrm rot="19179261">
          <a:off x="2273230" y="12602896"/>
          <a:ext cx="1691900" cy="785570"/>
        </a:xfrm>
        <a:custGeom>
          <a:avLst/>
          <a:gdLst>
            <a:gd name="connsiteX0" fmla="*/ 0 w 4616174"/>
            <a:gd name="connsiteY0" fmla="*/ 0 h 1074288"/>
            <a:gd name="connsiteX1" fmla="*/ 4616174 w 4616174"/>
            <a:gd name="connsiteY1" fmla="*/ 0 h 1074288"/>
            <a:gd name="connsiteX2" fmla="*/ 4616174 w 4616174"/>
            <a:gd name="connsiteY2" fmla="*/ 1074288 h 1074288"/>
            <a:gd name="connsiteX3" fmla="*/ 0 w 4616174"/>
            <a:gd name="connsiteY3" fmla="*/ 1074288 h 1074288"/>
            <a:gd name="connsiteX4" fmla="*/ 0 w 4616174"/>
            <a:gd name="connsiteY4" fmla="*/ 0 h 1074288"/>
            <a:gd name="connsiteX0" fmla="*/ 334245 w 4616174"/>
            <a:gd name="connsiteY0" fmla="*/ 5005 h 1074288"/>
            <a:gd name="connsiteX1" fmla="*/ 4616174 w 4616174"/>
            <a:gd name="connsiteY1" fmla="*/ 0 h 1074288"/>
            <a:gd name="connsiteX2" fmla="*/ 4616174 w 4616174"/>
            <a:gd name="connsiteY2" fmla="*/ 1074288 h 1074288"/>
            <a:gd name="connsiteX3" fmla="*/ 0 w 4616174"/>
            <a:gd name="connsiteY3" fmla="*/ 1074288 h 1074288"/>
            <a:gd name="connsiteX4" fmla="*/ 334245 w 4616174"/>
            <a:gd name="connsiteY4" fmla="*/ 5005 h 1074288"/>
            <a:gd name="connsiteX0" fmla="*/ 334245 w 5077731"/>
            <a:gd name="connsiteY0" fmla="*/ 22359 h 1091642"/>
            <a:gd name="connsiteX1" fmla="*/ 5077731 w 5077731"/>
            <a:gd name="connsiteY1" fmla="*/ 0 h 1091642"/>
            <a:gd name="connsiteX2" fmla="*/ 4616174 w 5077731"/>
            <a:gd name="connsiteY2" fmla="*/ 1091642 h 1091642"/>
            <a:gd name="connsiteX3" fmla="*/ 0 w 5077731"/>
            <a:gd name="connsiteY3" fmla="*/ 1091642 h 1091642"/>
            <a:gd name="connsiteX4" fmla="*/ 334245 w 5077731"/>
            <a:gd name="connsiteY4" fmla="*/ 22359 h 1091642"/>
            <a:gd name="connsiteX0" fmla="*/ 334245 w 5077731"/>
            <a:gd name="connsiteY0" fmla="*/ 22359 h 1091642"/>
            <a:gd name="connsiteX1" fmla="*/ 5077731 w 5077731"/>
            <a:gd name="connsiteY1" fmla="*/ 0 h 1091642"/>
            <a:gd name="connsiteX2" fmla="*/ 4664747 w 5077731"/>
            <a:gd name="connsiteY2" fmla="*/ 1076405 h 1091642"/>
            <a:gd name="connsiteX3" fmla="*/ 0 w 5077731"/>
            <a:gd name="connsiteY3" fmla="*/ 1091642 h 1091642"/>
            <a:gd name="connsiteX4" fmla="*/ 334245 w 5077731"/>
            <a:gd name="connsiteY4" fmla="*/ 22359 h 1091642"/>
            <a:gd name="connsiteX0" fmla="*/ 615704 w 5359190"/>
            <a:gd name="connsiteY0" fmla="*/ 22359 h 1100836"/>
            <a:gd name="connsiteX1" fmla="*/ 5359190 w 5359190"/>
            <a:gd name="connsiteY1" fmla="*/ 0 h 1100836"/>
            <a:gd name="connsiteX2" fmla="*/ 4946206 w 5359190"/>
            <a:gd name="connsiteY2" fmla="*/ 1076405 h 1100836"/>
            <a:gd name="connsiteX3" fmla="*/ 0 w 5359190"/>
            <a:gd name="connsiteY3" fmla="*/ 1100836 h 1100836"/>
            <a:gd name="connsiteX4" fmla="*/ 615704 w 5359190"/>
            <a:gd name="connsiteY4" fmla="*/ 22359 h 1100836"/>
            <a:gd name="connsiteX0" fmla="*/ 2457265 w 7200751"/>
            <a:gd name="connsiteY0" fmla="*/ 22359 h 1076404"/>
            <a:gd name="connsiteX1" fmla="*/ 7200751 w 7200751"/>
            <a:gd name="connsiteY1" fmla="*/ 0 h 1076404"/>
            <a:gd name="connsiteX2" fmla="*/ 6787767 w 7200751"/>
            <a:gd name="connsiteY2" fmla="*/ 1076405 h 1076404"/>
            <a:gd name="connsiteX3" fmla="*/ -2 w 7200751"/>
            <a:gd name="connsiteY3" fmla="*/ 870322 h 1076404"/>
            <a:gd name="connsiteX4" fmla="*/ 2457265 w 7200751"/>
            <a:gd name="connsiteY4" fmla="*/ 22359 h 1076404"/>
            <a:gd name="connsiteX0" fmla="*/ 2457265 w 7200751"/>
            <a:gd name="connsiteY0" fmla="*/ 22359 h 1056238"/>
            <a:gd name="connsiteX1" fmla="*/ 7200751 w 7200751"/>
            <a:gd name="connsiteY1" fmla="*/ 0 h 1056238"/>
            <a:gd name="connsiteX2" fmla="*/ 4580401 w 7200751"/>
            <a:gd name="connsiteY2" fmla="*/ 1056238 h 1056238"/>
            <a:gd name="connsiteX3" fmla="*/ -2 w 7200751"/>
            <a:gd name="connsiteY3" fmla="*/ 870322 h 1056238"/>
            <a:gd name="connsiteX4" fmla="*/ 2457265 w 7200751"/>
            <a:gd name="connsiteY4" fmla="*/ 22359 h 1056238"/>
            <a:gd name="connsiteX0" fmla="*/ 2457265 w 7200751"/>
            <a:gd name="connsiteY0" fmla="*/ 22359 h 1033557"/>
            <a:gd name="connsiteX1" fmla="*/ 7200751 w 7200751"/>
            <a:gd name="connsiteY1" fmla="*/ 0 h 1033557"/>
            <a:gd name="connsiteX2" fmla="*/ 4639080 w 7200751"/>
            <a:gd name="connsiteY2" fmla="*/ 1033557 h 1033557"/>
            <a:gd name="connsiteX3" fmla="*/ -2 w 7200751"/>
            <a:gd name="connsiteY3" fmla="*/ 870322 h 1033557"/>
            <a:gd name="connsiteX4" fmla="*/ 2457265 w 7200751"/>
            <a:gd name="connsiteY4" fmla="*/ 22359 h 1033557"/>
            <a:gd name="connsiteX0" fmla="*/ 2457265 w 7068723"/>
            <a:gd name="connsiteY0" fmla="*/ 0 h 1011198"/>
            <a:gd name="connsiteX1" fmla="*/ 7068723 w 7068723"/>
            <a:gd name="connsiteY1" fmla="*/ 28674 h 1011198"/>
            <a:gd name="connsiteX2" fmla="*/ 4639080 w 7068723"/>
            <a:gd name="connsiteY2" fmla="*/ 1011198 h 1011198"/>
            <a:gd name="connsiteX3" fmla="*/ -2 w 7068723"/>
            <a:gd name="connsiteY3" fmla="*/ 847963 h 1011198"/>
            <a:gd name="connsiteX4" fmla="*/ 2457265 w 7068723"/>
            <a:gd name="connsiteY4" fmla="*/ 0 h 1011198"/>
            <a:gd name="connsiteX0" fmla="*/ 2238887 w 6850345"/>
            <a:gd name="connsiteY0" fmla="*/ 0 h 1011198"/>
            <a:gd name="connsiteX1" fmla="*/ 6850345 w 6850345"/>
            <a:gd name="connsiteY1" fmla="*/ 28674 h 1011198"/>
            <a:gd name="connsiteX2" fmla="*/ 4420702 w 6850345"/>
            <a:gd name="connsiteY2" fmla="*/ 1011198 h 1011198"/>
            <a:gd name="connsiteX3" fmla="*/ 1 w 6850345"/>
            <a:gd name="connsiteY3" fmla="*/ 821013 h 1011198"/>
            <a:gd name="connsiteX4" fmla="*/ 2238887 w 6850345"/>
            <a:gd name="connsiteY4" fmla="*/ 0 h 1011198"/>
            <a:gd name="connsiteX0" fmla="*/ 2238887 w 6850345"/>
            <a:gd name="connsiteY0" fmla="*/ 0 h 873712"/>
            <a:gd name="connsiteX1" fmla="*/ 6850345 w 6850345"/>
            <a:gd name="connsiteY1" fmla="*/ 28674 h 873712"/>
            <a:gd name="connsiteX2" fmla="*/ 4627743 w 6850345"/>
            <a:gd name="connsiteY2" fmla="*/ 873712 h 873712"/>
            <a:gd name="connsiteX3" fmla="*/ 1 w 6850345"/>
            <a:gd name="connsiteY3" fmla="*/ 821013 h 873712"/>
            <a:gd name="connsiteX4" fmla="*/ 2238887 w 6850345"/>
            <a:gd name="connsiteY4" fmla="*/ 0 h 873712"/>
            <a:gd name="connsiteX0" fmla="*/ 2238887 w 7303831"/>
            <a:gd name="connsiteY0" fmla="*/ 0 h 873712"/>
            <a:gd name="connsiteX1" fmla="*/ 7303832 w 7303831"/>
            <a:gd name="connsiteY1" fmla="*/ 301571 h 873712"/>
            <a:gd name="connsiteX2" fmla="*/ 4627743 w 7303831"/>
            <a:gd name="connsiteY2" fmla="*/ 873712 h 873712"/>
            <a:gd name="connsiteX3" fmla="*/ 1 w 7303831"/>
            <a:gd name="connsiteY3" fmla="*/ 821013 h 873712"/>
            <a:gd name="connsiteX4" fmla="*/ 2238887 w 7303831"/>
            <a:gd name="connsiteY4" fmla="*/ 0 h 873712"/>
            <a:gd name="connsiteX0" fmla="*/ 2238887 w 7303831"/>
            <a:gd name="connsiteY0" fmla="*/ 0 h 989550"/>
            <a:gd name="connsiteX1" fmla="*/ 7303832 w 7303831"/>
            <a:gd name="connsiteY1" fmla="*/ 301571 h 989550"/>
            <a:gd name="connsiteX2" fmla="*/ 5428099 w 7303831"/>
            <a:gd name="connsiteY2" fmla="*/ 989550 h 989550"/>
            <a:gd name="connsiteX3" fmla="*/ 1 w 7303831"/>
            <a:gd name="connsiteY3" fmla="*/ 821013 h 989550"/>
            <a:gd name="connsiteX4" fmla="*/ 2238887 w 7303831"/>
            <a:gd name="connsiteY4" fmla="*/ 0 h 989550"/>
            <a:gd name="connsiteX0" fmla="*/ 2100728 w 7165672"/>
            <a:gd name="connsiteY0" fmla="*/ 0 h 989550"/>
            <a:gd name="connsiteX1" fmla="*/ 7165673 w 7165672"/>
            <a:gd name="connsiteY1" fmla="*/ 301571 h 989550"/>
            <a:gd name="connsiteX2" fmla="*/ 5289940 w 7165672"/>
            <a:gd name="connsiteY2" fmla="*/ 989550 h 989550"/>
            <a:gd name="connsiteX3" fmla="*/ 1 w 7165672"/>
            <a:gd name="connsiteY3" fmla="*/ 859545 h 989550"/>
            <a:gd name="connsiteX4" fmla="*/ 2100728 w 7165672"/>
            <a:gd name="connsiteY4" fmla="*/ 0 h 989550"/>
            <a:gd name="connsiteX0" fmla="*/ 1755522 w 6820466"/>
            <a:gd name="connsiteY0" fmla="*/ 0 h 989550"/>
            <a:gd name="connsiteX1" fmla="*/ 6820467 w 6820466"/>
            <a:gd name="connsiteY1" fmla="*/ 301571 h 989550"/>
            <a:gd name="connsiteX2" fmla="*/ 4944734 w 6820466"/>
            <a:gd name="connsiteY2" fmla="*/ 989550 h 989550"/>
            <a:gd name="connsiteX3" fmla="*/ 0 w 6820466"/>
            <a:gd name="connsiteY3" fmla="*/ 760589 h 989550"/>
            <a:gd name="connsiteX4" fmla="*/ 1755522 w 6820466"/>
            <a:gd name="connsiteY4" fmla="*/ 0 h 989550"/>
            <a:gd name="connsiteX0" fmla="*/ 1878079 w 6943023"/>
            <a:gd name="connsiteY0" fmla="*/ 0 h 989550"/>
            <a:gd name="connsiteX1" fmla="*/ 6943024 w 6943023"/>
            <a:gd name="connsiteY1" fmla="*/ 301571 h 989550"/>
            <a:gd name="connsiteX2" fmla="*/ 5067291 w 6943023"/>
            <a:gd name="connsiteY2" fmla="*/ 989550 h 989550"/>
            <a:gd name="connsiteX3" fmla="*/ 1 w 6943023"/>
            <a:gd name="connsiteY3" fmla="*/ 784978 h 989550"/>
            <a:gd name="connsiteX4" fmla="*/ 1878079 w 6943023"/>
            <a:gd name="connsiteY4" fmla="*/ 0 h 989550"/>
            <a:gd name="connsiteX0" fmla="*/ 1878079 w 6943023"/>
            <a:gd name="connsiteY0" fmla="*/ 0 h 1058446"/>
            <a:gd name="connsiteX1" fmla="*/ 6943024 w 6943023"/>
            <a:gd name="connsiteY1" fmla="*/ 301571 h 1058446"/>
            <a:gd name="connsiteX2" fmla="*/ 4859318 w 6943023"/>
            <a:gd name="connsiteY2" fmla="*/ 1058446 h 1058446"/>
            <a:gd name="connsiteX3" fmla="*/ 1 w 6943023"/>
            <a:gd name="connsiteY3" fmla="*/ 784978 h 1058446"/>
            <a:gd name="connsiteX4" fmla="*/ 1878079 w 6943023"/>
            <a:gd name="connsiteY4" fmla="*/ 0 h 105844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943023" h="1058446">
              <a:moveTo>
                <a:pt x="1878079" y="0"/>
              </a:moveTo>
              <a:lnTo>
                <a:pt x="6943024" y="301571"/>
              </a:lnTo>
              <a:lnTo>
                <a:pt x="4859318" y="1058446"/>
              </a:lnTo>
              <a:lnTo>
                <a:pt x="1" y="784978"/>
              </a:lnTo>
              <a:lnTo>
                <a:pt x="1878079" y="0"/>
              </a:lnTo>
              <a:close/>
            </a:path>
          </a:pathLst>
        </a:custGeom>
        <a:ln>
          <a:no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7</xdr:col>
      <xdr:colOff>281608</xdr:colOff>
      <xdr:row>164</xdr:row>
      <xdr:rowOff>45304</xdr:rowOff>
    </xdr:from>
    <xdr:to>
      <xdr:col>13</xdr:col>
      <xdr:colOff>80546</xdr:colOff>
      <xdr:row>174</xdr:row>
      <xdr:rowOff>69995</xdr:rowOff>
    </xdr:to>
    <xdr:grpSp>
      <xdr:nvGrpSpPr>
        <xdr:cNvPr id="106" name="Group 105">
          <a:extLst>
            <a:ext uri="{FF2B5EF4-FFF2-40B4-BE49-F238E27FC236}">
              <a16:creationId xmlns:a16="http://schemas.microsoft.com/office/drawing/2014/main" id="{00000000-0008-0000-0100-00006A000000}"/>
            </a:ext>
          </a:extLst>
        </xdr:cNvPr>
        <xdr:cNvGrpSpPr/>
      </xdr:nvGrpSpPr>
      <xdr:grpSpPr>
        <a:xfrm>
          <a:off x="3453847" y="27493869"/>
          <a:ext cx="1538286" cy="1681213"/>
          <a:chOff x="3555999" y="17273130"/>
          <a:chExt cx="1587982" cy="1681213"/>
        </a:xfrm>
      </xdr:grpSpPr>
      <xdr:sp macro="" textlink="">
        <xdr:nvSpPr>
          <xdr:cNvPr id="105" name="Rectangle 75">
            <a:extLst>
              <a:ext uri="{FF2B5EF4-FFF2-40B4-BE49-F238E27FC236}">
                <a16:creationId xmlns:a16="http://schemas.microsoft.com/office/drawing/2014/main" id="{00000000-0008-0000-0100-000069000000}"/>
              </a:ext>
            </a:extLst>
          </xdr:cNvPr>
          <xdr:cNvSpPr/>
        </xdr:nvSpPr>
        <xdr:spPr>
          <a:xfrm rot="2207761">
            <a:off x="3664234" y="17273130"/>
            <a:ext cx="527325" cy="1119962"/>
          </a:xfrm>
          <a:custGeom>
            <a:avLst/>
            <a:gdLst>
              <a:gd name="connsiteX0" fmla="*/ 0 w 4616174"/>
              <a:gd name="connsiteY0" fmla="*/ 0 h 1074288"/>
              <a:gd name="connsiteX1" fmla="*/ 4616174 w 4616174"/>
              <a:gd name="connsiteY1" fmla="*/ 0 h 1074288"/>
              <a:gd name="connsiteX2" fmla="*/ 4616174 w 4616174"/>
              <a:gd name="connsiteY2" fmla="*/ 1074288 h 1074288"/>
              <a:gd name="connsiteX3" fmla="*/ 0 w 4616174"/>
              <a:gd name="connsiteY3" fmla="*/ 1074288 h 1074288"/>
              <a:gd name="connsiteX4" fmla="*/ 0 w 4616174"/>
              <a:gd name="connsiteY4" fmla="*/ 0 h 1074288"/>
              <a:gd name="connsiteX0" fmla="*/ 334245 w 4616174"/>
              <a:gd name="connsiteY0" fmla="*/ 5005 h 1074288"/>
              <a:gd name="connsiteX1" fmla="*/ 4616174 w 4616174"/>
              <a:gd name="connsiteY1" fmla="*/ 0 h 1074288"/>
              <a:gd name="connsiteX2" fmla="*/ 4616174 w 4616174"/>
              <a:gd name="connsiteY2" fmla="*/ 1074288 h 1074288"/>
              <a:gd name="connsiteX3" fmla="*/ 0 w 4616174"/>
              <a:gd name="connsiteY3" fmla="*/ 1074288 h 1074288"/>
              <a:gd name="connsiteX4" fmla="*/ 334245 w 4616174"/>
              <a:gd name="connsiteY4" fmla="*/ 5005 h 1074288"/>
              <a:gd name="connsiteX0" fmla="*/ 334245 w 5077731"/>
              <a:gd name="connsiteY0" fmla="*/ 22359 h 1091642"/>
              <a:gd name="connsiteX1" fmla="*/ 5077731 w 5077731"/>
              <a:gd name="connsiteY1" fmla="*/ 0 h 1091642"/>
              <a:gd name="connsiteX2" fmla="*/ 4616174 w 5077731"/>
              <a:gd name="connsiteY2" fmla="*/ 1091642 h 1091642"/>
              <a:gd name="connsiteX3" fmla="*/ 0 w 5077731"/>
              <a:gd name="connsiteY3" fmla="*/ 1091642 h 1091642"/>
              <a:gd name="connsiteX4" fmla="*/ 334245 w 5077731"/>
              <a:gd name="connsiteY4" fmla="*/ 22359 h 1091642"/>
              <a:gd name="connsiteX0" fmla="*/ 334245 w 5077731"/>
              <a:gd name="connsiteY0" fmla="*/ 22359 h 1091642"/>
              <a:gd name="connsiteX1" fmla="*/ 5077731 w 5077731"/>
              <a:gd name="connsiteY1" fmla="*/ 0 h 1091642"/>
              <a:gd name="connsiteX2" fmla="*/ 4664747 w 5077731"/>
              <a:gd name="connsiteY2" fmla="*/ 1076405 h 1091642"/>
              <a:gd name="connsiteX3" fmla="*/ 0 w 5077731"/>
              <a:gd name="connsiteY3" fmla="*/ 1091642 h 1091642"/>
              <a:gd name="connsiteX4" fmla="*/ 334245 w 5077731"/>
              <a:gd name="connsiteY4" fmla="*/ 22359 h 1091642"/>
              <a:gd name="connsiteX0" fmla="*/ 615704 w 5359190"/>
              <a:gd name="connsiteY0" fmla="*/ 22359 h 1100836"/>
              <a:gd name="connsiteX1" fmla="*/ 5359190 w 5359190"/>
              <a:gd name="connsiteY1" fmla="*/ 0 h 1100836"/>
              <a:gd name="connsiteX2" fmla="*/ 4946206 w 5359190"/>
              <a:gd name="connsiteY2" fmla="*/ 1076405 h 1100836"/>
              <a:gd name="connsiteX3" fmla="*/ 0 w 5359190"/>
              <a:gd name="connsiteY3" fmla="*/ 1100836 h 1100836"/>
              <a:gd name="connsiteX4" fmla="*/ 615704 w 5359190"/>
              <a:gd name="connsiteY4" fmla="*/ 22359 h 1100836"/>
              <a:gd name="connsiteX0" fmla="*/ 1038195 w 5781681"/>
              <a:gd name="connsiteY0" fmla="*/ 22359 h 1076405"/>
              <a:gd name="connsiteX1" fmla="*/ 5781681 w 5781681"/>
              <a:gd name="connsiteY1" fmla="*/ 0 h 1076405"/>
              <a:gd name="connsiteX2" fmla="*/ 5368697 w 5781681"/>
              <a:gd name="connsiteY2" fmla="*/ 1076405 h 1076405"/>
              <a:gd name="connsiteX3" fmla="*/ 0 w 5781681"/>
              <a:gd name="connsiteY3" fmla="*/ 829256 h 1076405"/>
              <a:gd name="connsiteX4" fmla="*/ 1038195 w 5781681"/>
              <a:gd name="connsiteY4" fmla="*/ 22359 h 1076405"/>
              <a:gd name="connsiteX0" fmla="*/ 1038195 w 5781681"/>
              <a:gd name="connsiteY0" fmla="*/ 22359 h 846630"/>
              <a:gd name="connsiteX1" fmla="*/ 5781681 w 5781681"/>
              <a:gd name="connsiteY1" fmla="*/ 0 h 846630"/>
              <a:gd name="connsiteX2" fmla="*/ 4010605 w 5781681"/>
              <a:gd name="connsiteY2" fmla="*/ 846630 h 846630"/>
              <a:gd name="connsiteX3" fmla="*/ 0 w 5781681"/>
              <a:gd name="connsiteY3" fmla="*/ 829256 h 846630"/>
              <a:gd name="connsiteX4" fmla="*/ 1038195 w 5781681"/>
              <a:gd name="connsiteY4" fmla="*/ 22359 h 846630"/>
              <a:gd name="connsiteX0" fmla="*/ 1038195 w 5902544"/>
              <a:gd name="connsiteY0" fmla="*/ 75872 h 900143"/>
              <a:gd name="connsiteX1" fmla="*/ 5902543 w 5902544"/>
              <a:gd name="connsiteY1" fmla="*/ 0 h 900143"/>
              <a:gd name="connsiteX2" fmla="*/ 4010605 w 5902544"/>
              <a:gd name="connsiteY2" fmla="*/ 900143 h 900143"/>
              <a:gd name="connsiteX3" fmla="*/ 0 w 5902544"/>
              <a:gd name="connsiteY3" fmla="*/ 882769 h 900143"/>
              <a:gd name="connsiteX4" fmla="*/ 1038195 w 5902544"/>
              <a:gd name="connsiteY4" fmla="*/ 75872 h 900143"/>
              <a:gd name="connsiteX0" fmla="*/ 1676390 w 5902544"/>
              <a:gd name="connsiteY0" fmla="*/ 0 h 924066"/>
              <a:gd name="connsiteX1" fmla="*/ 5902543 w 5902544"/>
              <a:gd name="connsiteY1" fmla="*/ 23923 h 924066"/>
              <a:gd name="connsiteX2" fmla="*/ 4010605 w 5902544"/>
              <a:gd name="connsiteY2" fmla="*/ 924066 h 924066"/>
              <a:gd name="connsiteX3" fmla="*/ 0 w 5902544"/>
              <a:gd name="connsiteY3" fmla="*/ 906692 h 924066"/>
              <a:gd name="connsiteX4" fmla="*/ 1676390 w 5902544"/>
              <a:gd name="connsiteY4" fmla="*/ 0 h 924066"/>
              <a:gd name="connsiteX0" fmla="*/ 1676390 w 6102079"/>
              <a:gd name="connsiteY0" fmla="*/ 0 h 924066"/>
              <a:gd name="connsiteX1" fmla="*/ 6102081 w 6102079"/>
              <a:gd name="connsiteY1" fmla="*/ 11443 h 924066"/>
              <a:gd name="connsiteX2" fmla="*/ 4010605 w 6102079"/>
              <a:gd name="connsiteY2" fmla="*/ 924066 h 924066"/>
              <a:gd name="connsiteX3" fmla="*/ 0 w 6102079"/>
              <a:gd name="connsiteY3" fmla="*/ 906692 h 924066"/>
              <a:gd name="connsiteX4" fmla="*/ 1676390 w 6102079"/>
              <a:gd name="connsiteY4" fmla="*/ 0 h 924066"/>
              <a:gd name="connsiteX0" fmla="*/ 1676390 w 6217729"/>
              <a:gd name="connsiteY0" fmla="*/ 0 h 924066"/>
              <a:gd name="connsiteX1" fmla="*/ 6217730 w 6217729"/>
              <a:gd name="connsiteY1" fmla="*/ 22312 h 924066"/>
              <a:gd name="connsiteX2" fmla="*/ 4010605 w 6217729"/>
              <a:gd name="connsiteY2" fmla="*/ 924066 h 924066"/>
              <a:gd name="connsiteX3" fmla="*/ 0 w 6217729"/>
              <a:gd name="connsiteY3" fmla="*/ 906692 h 924066"/>
              <a:gd name="connsiteX4" fmla="*/ 1676390 w 6217729"/>
              <a:gd name="connsiteY4" fmla="*/ 0 h 924066"/>
              <a:gd name="connsiteX0" fmla="*/ 1676390 w 6342615"/>
              <a:gd name="connsiteY0" fmla="*/ 0 h 924066"/>
              <a:gd name="connsiteX1" fmla="*/ 6342615 w 6342615"/>
              <a:gd name="connsiteY1" fmla="*/ 25641 h 924066"/>
              <a:gd name="connsiteX2" fmla="*/ 4010605 w 6342615"/>
              <a:gd name="connsiteY2" fmla="*/ 924066 h 924066"/>
              <a:gd name="connsiteX3" fmla="*/ 0 w 6342615"/>
              <a:gd name="connsiteY3" fmla="*/ 906692 h 924066"/>
              <a:gd name="connsiteX4" fmla="*/ 1676390 w 6342615"/>
              <a:gd name="connsiteY4" fmla="*/ 0 h 924066"/>
              <a:gd name="connsiteX0" fmla="*/ 2045121 w 6711346"/>
              <a:gd name="connsiteY0" fmla="*/ 0 h 924066"/>
              <a:gd name="connsiteX1" fmla="*/ 6711346 w 6711346"/>
              <a:gd name="connsiteY1" fmla="*/ 25641 h 924066"/>
              <a:gd name="connsiteX2" fmla="*/ 4379336 w 6711346"/>
              <a:gd name="connsiteY2" fmla="*/ 924066 h 924066"/>
              <a:gd name="connsiteX3" fmla="*/ -1 w 6711346"/>
              <a:gd name="connsiteY3" fmla="*/ 876837 h 924066"/>
              <a:gd name="connsiteX4" fmla="*/ 2045121 w 6711346"/>
              <a:gd name="connsiteY4" fmla="*/ 0 h 924066"/>
              <a:gd name="connsiteX0" fmla="*/ 2148208 w 6814433"/>
              <a:gd name="connsiteY0" fmla="*/ 0 h 924066"/>
              <a:gd name="connsiteX1" fmla="*/ 6814433 w 6814433"/>
              <a:gd name="connsiteY1" fmla="*/ 25641 h 924066"/>
              <a:gd name="connsiteX2" fmla="*/ 4482423 w 6814433"/>
              <a:gd name="connsiteY2" fmla="*/ 924066 h 924066"/>
              <a:gd name="connsiteX3" fmla="*/ 0 w 6814433"/>
              <a:gd name="connsiteY3" fmla="*/ 870751 h 924066"/>
              <a:gd name="connsiteX4" fmla="*/ 2148208 w 6814433"/>
              <a:gd name="connsiteY4" fmla="*/ 0 h 924066"/>
              <a:gd name="connsiteX0" fmla="*/ 2148208 w 6814433"/>
              <a:gd name="connsiteY0" fmla="*/ 0 h 1014556"/>
              <a:gd name="connsiteX1" fmla="*/ 6814433 w 6814433"/>
              <a:gd name="connsiteY1" fmla="*/ 25641 h 1014556"/>
              <a:gd name="connsiteX2" fmla="*/ 4371503 w 6814433"/>
              <a:gd name="connsiteY2" fmla="*/ 1014556 h 1014556"/>
              <a:gd name="connsiteX3" fmla="*/ 0 w 6814433"/>
              <a:gd name="connsiteY3" fmla="*/ 870751 h 1014556"/>
              <a:gd name="connsiteX4" fmla="*/ 2148208 w 6814433"/>
              <a:gd name="connsiteY4" fmla="*/ 0 h 1014556"/>
              <a:gd name="connsiteX0" fmla="*/ 2532605 w 7198830"/>
              <a:gd name="connsiteY0" fmla="*/ 0 h 1034047"/>
              <a:gd name="connsiteX1" fmla="*/ 7198830 w 7198830"/>
              <a:gd name="connsiteY1" fmla="*/ 25641 h 1034047"/>
              <a:gd name="connsiteX2" fmla="*/ 4755900 w 7198830"/>
              <a:gd name="connsiteY2" fmla="*/ 1014556 h 1034047"/>
              <a:gd name="connsiteX3" fmla="*/ -2 w 7198830"/>
              <a:gd name="connsiteY3" fmla="*/ 1034047 h 1034047"/>
              <a:gd name="connsiteX4" fmla="*/ 2532605 w 7198830"/>
              <a:gd name="connsiteY4" fmla="*/ 0 h 1034047"/>
              <a:gd name="connsiteX0" fmla="*/ 2552504 w 7218729"/>
              <a:gd name="connsiteY0" fmla="*/ 0 h 1014556"/>
              <a:gd name="connsiteX1" fmla="*/ 7218729 w 7218729"/>
              <a:gd name="connsiteY1" fmla="*/ 25641 h 1014556"/>
              <a:gd name="connsiteX2" fmla="*/ 4775799 w 7218729"/>
              <a:gd name="connsiteY2" fmla="*/ 1014556 h 1014556"/>
              <a:gd name="connsiteX3" fmla="*/ -2 w 7218729"/>
              <a:gd name="connsiteY3" fmla="*/ 960094 h 1014556"/>
              <a:gd name="connsiteX4" fmla="*/ 2552504 w 7218729"/>
              <a:gd name="connsiteY4" fmla="*/ 0 h 1014556"/>
              <a:gd name="connsiteX0" fmla="*/ 3 w 4666228"/>
              <a:gd name="connsiteY0" fmla="*/ 0 h 1014556"/>
              <a:gd name="connsiteX1" fmla="*/ 4666228 w 4666228"/>
              <a:gd name="connsiteY1" fmla="*/ 25641 h 1014556"/>
              <a:gd name="connsiteX2" fmla="*/ 2223298 w 4666228"/>
              <a:gd name="connsiteY2" fmla="*/ 1014556 h 1014556"/>
              <a:gd name="connsiteX3" fmla="*/ 512016 w 4666228"/>
              <a:gd name="connsiteY3" fmla="*/ 911740 h 1014556"/>
              <a:gd name="connsiteX4" fmla="*/ 3 w 4666228"/>
              <a:gd name="connsiteY4" fmla="*/ 0 h 1014556"/>
              <a:gd name="connsiteX0" fmla="*/ 3 w 11620447"/>
              <a:gd name="connsiteY0" fmla="*/ 59958 h 1074514"/>
              <a:gd name="connsiteX1" fmla="*/ 11620453 w 11620447"/>
              <a:gd name="connsiteY1" fmla="*/ 0 h 1074514"/>
              <a:gd name="connsiteX2" fmla="*/ 2223298 w 11620447"/>
              <a:gd name="connsiteY2" fmla="*/ 1074514 h 1074514"/>
              <a:gd name="connsiteX3" fmla="*/ 512016 w 11620447"/>
              <a:gd name="connsiteY3" fmla="*/ 971698 h 1074514"/>
              <a:gd name="connsiteX4" fmla="*/ 3 w 11620447"/>
              <a:gd name="connsiteY4" fmla="*/ 59958 h 1074514"/>
              <a:gd name="connsiteX0" fmla="*/ 7929130 w 11108435"/>
              <a:gd name="connsiteY0" fmla="*/ 0 h 1146422"/>
              <a:gd name="connsiteX1" fmla="*/ 11108441 w 11108435"/>
              <a:gd name="connsiteY1" fmla="*/ 71908 h 1146422"/>
              <a:gd name="connsiteX2" fmla="*/ 1711286 w 11108435"/>
              <a:gd name="connsiteY2" fmla="*/ 1146422 h 1146422"/>
              <a:gd name="connsiteX3" fmla="*/ 4 w 11108435"/>
              <a:gd name="connsiteY3" fmla="*/ 1043606 h 1146422"/>
              <a:gd name="connsiteX4" fmla="*/ 7929130 w 11108435"/>
              <a:gd name="connsiteY4" fmla="*/ 0 h 1146422"/>
              <a:gd name="connsiteX0" fmla="*/ 6718125 w 11108435"/>
              <a:gd name="connsiteY0" fmla="*/ 0 h 1133263"/>
              <a:gd name="connsiteX1" fmla="*/ 11108441 w 11108435"/>
              <a:gd name="connsiteY1" fmla="*/ 58749 h 1133263"/>
              <a:gd name="connsiteX2" fmla="*/ 1711286 w 11108435"/>
              <a:gd name="connsiteY2" fmla="*/ 1133263 h 1133263"/>
              <a:gd name="connsiteX3" fmla="*/ 4 w 11108435"/>
              <a:gd name="connsiteY3" fmla="*/ 1030447 h 1133263"/>
              <a:gd name="connsiteX4" fmla="*/ 6718125 w 11108435"/>
              <a:gd name="connsiteY4" fmla="*/ 0 h 1133263"/>
              <a:gd name="connsiteX0" fmla="*/ 6718125 w 8135879"/>
              <a:gd name="connsiteY0" fmla="*/ 0 h 1133263"/>
              <a:gd name="connsiteX1" fmla="*/ 8135881 w 8135879"/>
              <a:gd name="connsiteY1" fmla="*/ 96066 h 1133263"/>
              <a:gd name="connsiteX2" fmla="*/ 1711286 w 8135879"/>
              <a:gd name="connsiteY2" fmla="*/ 1133263 h 1133263"/>
              <a:gd name="connsiteX3" fmla="*/ 4 w 8135879"/>
              <a:gd name="connsiteY3" fmla="*/ 1030447 h 1133263"/>
              <a:gd name="connsiteX4" fmla="*/ 6718125 w 8135879"/>
              <a:gd name="connsiteY4" fmla="*/ 0 h 1133263"/>
              <a:gd name="connsiteX0" fmla="*/ 6718125 w 8759300"/>
              <a:gd name="connsiteY0" fmla="*/ 0 h 1133263"/>
              <a:gd name="connsiteX1" fmla="*/ 8759306 w 8759300"/>
              <a:gd name="connsiteY1" fmla="*/ 109368 h 1133263"/>
              <a:gd name="connsiteX2" fmla="*/ 1711286 w 8759300"/>
              <a:gd name="connsiteY2" fmla="*/ 1133263 h 1133263"/>
              <a:gd name="connsiteX3" fmla="*/ 4 w 8759300"/>
              <a:gd name="connsiteY3" fmla="*/ 1030447 h 1133263"/>
              <a:gd name="connsiteX4" fmla="*/ 6718125 w 8759300"/>
              <a:gd name="connsiteY4" fmla="*/ 0 h 1133263"/>
              <a:gd name="connsiteX0" fmla="*/ 7341574 w 8759300"/>
              <a:gd name="connsiteY0" fmla="*/ 0 h 1119962"/>
              <a:gd name="connsiteX1" fmla="*/ 8759306 w 8759300"/>
              <a:gd name="connsiteY1" fmla="*/ 96067 h 1119962"/>
              <a:gd name="connsiteX2" fmla="*/ 1711286 w 8759300"/>
              <a:gd name="connsiteY2" fmla="*/ 1119962 h 1119962"/>
              <a:gd name="connsiteX3" fmla="*/ 4 w 8759300"/>
              <a:gd name="connsiteY3" fmla="*/ 1017146 h 1119962"/>
              <a:gd name="connsiteX4" fmla="*/ 7341574 w 8759300"/>
              <a:gd name="connsiteY4" fmla="*/ 0 h 111996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759300" h="1119962">
                <a:moveTo>
                  <a:pt x="7341574" y="0"/>
                </a:moveTo>
                <a:lnTo>
                  <a:pt x="8759306" y="96067"/>
                </a:lnTo>
                <a:lnTo>
                  <a:pt x="1711286" y="1119962"/>
                </a:lnTo>
                <a:lnTo>
                  <a:pt x="4" y="1017146"/>
                </a:lnTo>
                <a:lnTo>
                  <a:pt x="7341574" y="0"/>
                </a:lnTo>
                <a:close/>
              </a:path>
            </a:pathLst>
          </a:custGeom>
          <a:solidFill>
            <a:schemeClr val="bg2">
              <a:lumMod val="25000"/>
            </a:schemeClr>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102" name="Rectangle 75">
            <a:extLst>
              <a:ext uri="{FF2B5EF4-FFF2-40B4-BE49-F238E27FC236}">
                <a16:creationId xmlns:a16="http://schemas.microsoft.com/office/drawing/2014/main" id="{00000000-0008-0000-0100-000066000000}"/>
              </a:ext>
            </a:extLst>
          </xdr:cNvPr>
          <xdr:cNvSpPr/>
        </xdr:nvSpPr>
        <xdr:spPr>
          <a:xfrm rot="2207761">
            <a:off x="4075044" y="17564652"/>
            <a:ext cx="489794" cy="1133263"/>
          </a:xfrm>
          <a:custGeom>
            <a:avLst/>
            <a:gdLst>
              <a:gd name="connsiteX0" fmla="*/ 0 w 4616174"/>
              <a:gd name="connsiteY0" fmla="*/ 0 h 1074288"/>
              <a:gd name="connsiteX1" fmla="*/ 4616174 w 4616174"/>
              <a:gd name="connsiteY1" fmla="*/ 0 h 1074288"/>
              <a:gd name="connsiteX2" fmla="*/ 4616174 w 4616174"/>
              <a:gd name="connsiteY2" fmla="*/ 1074288 h 1074288"/>
              <a:gd name="connsiteX3" fmla="*/ 0 w 4616174"/>
              <a:gd name="connsiteY3" fmla="*/ 1074288 h 1074288"/>
              <a:gd name="connsiteX4" fmla="*/ 0 w 4616174"/>
              <a:gd name="connsiteY4" fmla="*/ 0 h 1074288"/>
              <a:gd name="connsiteX0" fmla="*/ 334245 w 4616174"/>
              <a:gd name="connsiteY0" fmla="*/ 5005 h 1074288"/>
              <a:gd name="connsiteX1" fmla="*/ 4616174 w 4616174"/>
              <a:gd name="connsiteY1" fmla="*/ 0 h 1074288"/>
              <a:gd name="connsiteX2" fmla="*/ 4616174 w 4616174"/>
              <a:gd name="connsiteY2" fmla="*/ 1074288 h 1074288"/>
              <a:gd name="connsiteX3" fmla="*/ 0 w 4616174"/>
              <a:gd name="connsiteY3" fmla="*/ 1074288 h 1074288"/>
              <a:gd name="connsiteX4" fmla="*/ 334245 w 4616174"/>
              <a:gd name="connsiteY4" fmla="*/ 5005 h 1074288"/>
              <a:gd name="connsiteX0" fmla="*/ 334245 w 5077731"/>
              <a:gd name="connsiteY0" fmla="*/ 22359 h 1091642"/>
              <a:gd name="connsiteX1" fmla="*/ 5077731 w 5077731"/>
              <a:gd name="connsiteY1" fmla="*/ 0 h 1091642"/>
              <a:gd name="connsiteX2" fmla="*/ 4616174 w 5077731"/>
              <a:gd name="connsiteY2" fmla="*/ 1091642 h 1091642"/>
              <a:gd name="connsiteX3" fmla="*/ 0 w 5077731"/>
              <a:gd name="connsiteY3" fmla="*/ 1091642 h 1091642"/>
              <a:gd name="connsiteX4" fmla="*/ 334245 w 5077731"/>
              <a:gd name="connsiteY4" fmla="*/ 22359 h 1091642"/>
              <a:gd name="connsiteX0" fmla="*/ 334245 w 5077731"/>
              <a:gd name="connsiteY0" fmla="*/ 22359 h 1091642"/>
              <a:gd name="connsiteX1" fmla="*/ 5077731 w 5077731"/>
              <a:gd name="connsiteY1" fmla="*/ 0 h 1091642"/>
              <a:gd name="connsiteX2" fmla="*/ 4664747 w 5077731"/>
              <a:gd name="connsiteY2" fmla="*/ 1076405 h 1091642"/>
              <a:gd name="connsiteX3" fmla="*/ 0 w 5077731"/>
              <a:gd name="connsiteY3" fmla="*/ 1091642 h 1091642"/>
              <a:gd name="connsiteX4" fmla="*/ 334245 w 5077731"/>
              <a:gd name="connsiteY4" fmla="*/ 22359 h 1091642"/>
              <a:gd name="connsiteX0" fmla="*/ 615704 w 5359190"/>
              <a:gd name="connsiteY0" fmla="*/ 22359 h 1100836"/>
              <a:gd name="connsiteX1" fmla="*/ 5359190 w 5359190"/>
              <a:gd name="connsiteY1" fmla="*/ 0 h 1100836"/>
              <a:gd name="connsiteX2" fmla="*/ 4946206 w 5359190"/>
              <a:gd name="connsiteY2" fmla="*/ 1076405 h 1100836"/>
              <a:gd name="connsiteX3" fmla="*/ 0 w 5359190"/>
              <a:gd name="connsiteY3" fmla="*/ 1100836 h 1100836"/>
              <a:gd name="connsiteX4" fmla="*/ 615704 w 5359190"/>
              <a:gd name="connsiteY4" fmla="*/ 22359 h 1100836"/>
              <a:gd name="connsiteX0" fmla="*/ 1038195 w 5781681"/>
              <a:gd name="connsiteY0" fmla="*/ 22359 h 1076405"/>
              <a:gd name="connsiteX1" fmla="*/ 5781681 w 5781681"/>
              <a:gd name="connsiteY1" fmla="*/ 0 h 1076405"/>
              <a:gd name="connsiteX2" fmla="*/ 5368697 w 5781681"/>
              <a:gd name="connsiteY2" fmla="*/ 1076405 h 1076405"/>
              <a:gd name="connsiteX3" fmla="*/ 0 w 5781681"/>
              <a:gd name="connsiteY3" fmla="*/ 829256 h 1076405"/>
              <a:gd name="connsiteX4" fmla="*/ 1038195 w 5781681"/>
              <a:gd name="connsiteY4" fmla="*/ 22359 h 1076405"/>
              <a:gd name="connsiteX0" fmla="*/ 1038195 w 5781681"/>
              <a:gd name="connsiteY0" fmla="*/ 22359 h 846630"/>
              <a:gd name="connsiteX1" fmla="*/ 5781681 w 5781681"/>
              <a:gd name="connsiteY1" fmla="*/ 0 h 846630"/>
              <a:gd name="connsiteX2" fmla="*/ 4010605 w 5781681"/>
              <a:gd name="connsiteY2" fmla="*/ 846630 h 846630"/>
              <a:gd name="connsiteX3" fmla="*/ 0 w 5781681"/>
              <a:gd name="connsiteY3" fmla="*/ 829256 h 846630"/>
              <a:gd name="connsiteX4" fmla="*/ 1038195 w 5781681"/>
              <a:gd name="connsiteY4" fmla="*/ 22359 h 846630"/>
              <a:gd name="connsiteX0" fmla="*/ 1038195 w 5902544"/>
              <a:gd name="connsiteY0" fmla="*/ 75872 h 900143"/>
              <a:gd name="connsiteX1" fmla="*/ 5902543 w 5902544"/>
              <a:gd name="connsiteY1" fmla="*/ 0 h 900143"/>
              <a:gd name="connsiteX2" fmla="*/ 4010605 w 5902544"/>
              <a:gd name="connsiteY2" fmla="*/ 900143 h 900143"/>
              <a:gd name="connsiteX3" fmla="*/ 0 w 5902544"/>
              <a:gd name="connsiteY3" fmla="*/ 882769 h 900143"/>
              <a:gd name="connsiteX4" fmla="*/ 1038195 w 5902544"/>
              <a:gd name="connsiteY4" fmla="*/ 75872 h 900143"/>
              <a:gd name="connsiteX0" fmla="*/ 1676390 w 5902544"/>
              <a:gd name="connsiteY0" fmla="*/ 0 h 924066"/>
              <a:gd name="connsiteX1" fmla="*/ 5902543 w 5902544"/>
              <a:gd name="connsiteY1" fmla="*/ 23923 h 924066"/>
              <a:gd name="connsiteX2" fmla="*/ 4010605 w 5902544"/>
              <a:gd name="connsiteY2" fmla="*/ 924066 h 924066"/>
              <a:gd name="connsiteX3" fmla="*/ 0 w 5902544"/>
              <a:gd name="connsiteY3" fmla="*/ 906692 h 924066"/>
              <a:gd name="connsiteX4" fmla="*/ 1676390 w 5902544"/>
              <a:gd name="connsiteY4" fmla="*/ 0 h 924066"/>
              <a:gd name="connsiteX0" fmla="*/ 1676390 w 6102079"/>
              <a:gd name="connsiteY0" fmla="*/ 0 h 924066"/>
              <a:gd name="connsiteX1" fmla="*/ 6102081 w 6102079"/>
              <a:gd name="connsiteY1" fmla="*/ 11443 h 924066"/>
              <a:gd name="connsiteX2" fmla="*/ 4010605 w 6102079"/>
              <a:gd name="connsiteY2" fmla="*/ 924066 h 924066"/>
              <a:gd name="connsiteX3" fmla="*/ 0 w 6102079"/>
              <a:gd name="connsiteY3" fmla="*/ 906692 h 924066"/>
              <a:gd name="connsiteX4" fmla="*/ 1676390 w 6102079"/>
              <a:gd name="connsiteY4" fmla="*/ 0 h 924066"/>
              <a:gd name="connsiteX0" fmla="*/ 1676390 w 6217729"/>
              <a:gd name="connsiteY0" fmla="*/ 0 h 924066"/>
              <a:gd name="connsiteX1" fmla="*/ 6217730 w 6217729"/>
              <a:gd name="connsiteY1" fmla="*/ 22312 h 924066"/>
              <a:gd name="connsiteX2" fmla="*/ 4010605 w 6217729"/>
              <a:gd name="connsiteY2" fmla="*/ 924066 h 924066"/>
              <a:gd name="connsiteX3" fmla="*/ 0 w 6217729"/>
              <a:gd name="connsiteY3" fmla="*/ 906692 h 924066"/>
              <a:gd name="connsiteX4" fmla="*/ 1676390 w 6217729"/>
              <a:gd name="connsiteY4" fmla="*/ 0 h 924066"/>
              <a:gd name="connsiteX0" fmla="*/ 1676390 w 6342615"/>
              <a:gd name="connsiteY0" fmla="*/ 0 h 924066"/>
              <a:gd name="connsiteX1" fmla="*/ 6342615 w 6342615"/>
              <a:gd name="connsiteY1" fmla="*/ 25641 h 924066"/>
              <a:gd name="connsiteX2" fmla="*/ 4010605 w 6342615"/>
              <a:gd name="connsiteY2" fmla="*/ 924066 h 924066"/>
              <a:gd name="connsiteX3" fmla="*/ 0 w 6342615"/>
              <a:gd name="connsiteY3" fmla="*/ 906692 h 924066"/>
              <a:gd name="connsiteX4" fmla="*/ 1676390 w 6342615"/>
              <a:gd name="connsiteY4" fmla="*/ 0 h 924066"/>
              <a:gd name="connsiteX0" fmla="*/ 2045121 w 6711346"/>
              <a:gd name="connsiteY0" fmla="*/ 0 h 924066"/>
              <a:gd name="connsiteX1" fmla="*/ 6711346 w 6711346"/>
              <a:gd name="connsiteY1" fmla="*/ 25641 h 924066"/>
              <a:gd name="connsiteX2" fmla="*/ 4379336 w 6711346"/>
              <a:gd name="connsiteY2" fmla="*/ 924066 h 924066"/>
              <a:gd name="connsiteX3" fmla="*/ -1 w 6711346"/>
              <a:gd name="connsiteY3" fmla="*/ 876837 h 924066"/>
              <a:gd name="connsiteX4" fmla="*/ 2045121 w 6711346"/>
              <a:gd name="connsiteY4" fmla="*/ 0 h 924066"/>
              <a:gd name="connsiteX0" fmla="*/ 2148208 w 6814433"/>
              <a:gd name="connsiteY0" fmla="*/ 0 h 924066"/>
              <a:gd name="connsiteX1" fmla="*/ 6814433 w 6814433"/>
              <a:gd name="connsiteY1" fmla="*/ 25641 h 924066"/>
              <a:gd name="connsiteX2" fmla="*/ 4482423 w 6814433"/>
              <a:gd name="connsiteY2" fmla="*/ 924066 h 924066"/>
              <a:gd name="connsiteX3" fmla="*/ 0 w 6814433"/>
              <a:gd name="connsiteY3" fmla="*/ 870751 h 924066"/>
              <a:gd name="connsiteX4" fmla="*/ 2148208 w 6814433"/>
              <a:gd name="connsiteY4" fmla="*/ 0 h 924066"/>
              <a:gd name="connsiteX0" fmla="*/ 2148208 w 6814433"/>
              <a:gd name="connsiteY0" fmla="*/ 0 h 1014556"/>
              <a:gd name="connsiteX1" fmla="*/ 6814433 w 6814433"/>
              <a:gd name="connsiteY1" fmla="*/ 25641 h 1014556"/>
              <a:gd name="connsiteX2" fmla="*/ 4371503 w 6814433"/>
              <a:gd name="connsiteY2" fmla="*/ 1014556 h 1014556"/>
              <a:gd name="connsiteX3" fmla="*/ 0 w 6814433"/>
              <a:gd name="connsiteY3" fmla="*/ 870751 h 1014556"/>
              <a:gd name="connsiteX4" fmla="*/ 2148208 w 6814433"/>
              <a:gd name="connsiteY4" fmla="*/ 0 h 1014556"/>
              <a:gd name="connsiteX0" fmla="*/ 2532605 w 7198830"/>
              <a:gd name="connsiteY0" fmla="*/ 0 h 1034047"/>
              <a:gd name="connsiteX1" fmla="*/ 7198830 w 7198830"/>
              <a:gd name="connsiteY1" fmla="*/ 25641 h 1034047"/>
              <a:gd name="connsiteX2" fmla="*/ 4755900 w 7198830"/>
              <a:gd name="connsiteY2" fmla="*/ 1014556 h 1034047"/>
              <a:gd name="connsiteX3" fmla="*/ -2 w 7198830"/>
              <a:gd name="connsiteY3" fmla="*/ 1034047 h 1034047"/>
              <a:gd name="connsiteX4" fmla="*/ 2532605 w 7198830"/>
              <a:gd name="connsiteY4" fmla="*/ 0 h 1034047"/>
              <a:gd name="connsiteX0" fmla="*/ 2552504 w 7218729"/>
              <a:gd name="connsiteY0" fmla="*/ 0 h 1014556"/>
              <a:gd name="connsiteX1" fmla="*/ 7218729 w 7218729"/>
              <a:gd name="connsiteY1" fmla="*/ 25641 h 1014556"/>
              <a:gd name="connsiteX2" fmla="*/ 4775799 w 7218729"/>
              <a:gd name="connsiteY2" fmla="*/ 1014556 h 1014556"/>
              <a:gd name="connsiteX3" fmla="*/ -2 w 7218729"/>
              <a:gd name="connsiteY3" fmla="*/ 960094 h 1014556"/>
              <a:gd name="connsiteX4" fmla="*/ 2552504 w 7218729"/>
              <a:gd name="connsiteY4" fmla="*/ 0 h 1014556"/>
              <a:gd name="connsiteX0" fmla="*/ 3 w 4666228"/>
              <a:gd name="connsiteY0" fmla="*/ 0 h 1014556"/>
              <a:gd name="connsiteX1" fmla="*/ 4666228 w 4666228"/>
              <a:gd name="connsiteY1" fmla="*/ 25641 h 1014556"/>
              <a:gd name="connsiteX2" fmla="*/ 2223298 w 4666228"/>
              <a:gd name="connsiteY2" fmla="*/ 1014556 h 1014556"/>
              <a:gd name="connsiteX3" fmla="*/ 512016 w 4666228"/>
              <a:gd name="connsiteY3" fmla="*/ 911740 h 1014556"/>
              <a:gd name="connsiteX4" fmla="*/ 3 w 4666228"/>
              <a:gd name="connsiteY4" fmla="*/ 0 h 1014556"/>
              <a:gd name="connsiteX0" fmla="*/ 3 w 11620447"/>
              <a:gd name="connsiteY0" fmla="*/ 59958 h 1074514"/>
              <a:gd name="connsiteX1" fmla="*/ 11620453 w 11620447"/>
              <a:gd name="connsiteY1" fmla="*/ 0 h 1074514"/>
              <a:gd name="connsiteX2" fmla="*/ 2223298 w 11620447"/>
              <a:gd name="connsiteY2" fmla="*/ 1074514 h 1074514"/>
              <a:gd name="connsiteX3" fmla="*/ 512016 w 11620447"/>
              <a:gd name="connsiteY3" fmla="*/ 971698 h 1074514"/>
              <a:gd name="connsiteX4" fmla="*/ 3 w 11620447"/>
              <a:gd name="connsiteY4" fmla="*/ 59958 h 1074514"/>
              <a:gd name="connsiteX0" fmla="*/ 7929130 w 11108435"/>
              <a:gd name="connsiteY0" fmla="*/ 0 h 1146422"/>
              <a:gd name="connsiteX1" fmla="*/ 11108441 w 11108435"/>
              <a:gd name="connsiteY1" fmla="*/ 71908 h 1146422"/>
              <a:gd name="connsiteX2" fmla="*/ 1711286 w 11108435"/>
              <a:gd name="connsiteY2" fmla="*/ 1146422 h 1146422"/>
              <a:gd name="connsiteX3" fmla="*/ 4 w 11108435"/>
              <a:gd name="connsiteY3" fmla="*/ 1043606 h 1146422"/>
              <a:gd name="connsiteX4" fmla="*/ 7929130 w 11108435"/>
              <a:gd name="connsiteY4" fmla="*/ 0 h 1146422"/>
              <a:gd name="connsiteX0" fmla="*/ 6718125 w 11108435"/>
              <a:gd name="connsiteY0" fmla="*/ 0 h 1133263"/>
              <a:gd name="connsiteX1" fmla="*/ 11108441 w 11108435"/>
              <a:gd name="connsiteY1" fmla="*/ 58749 h 1133263"/>
              <a:gd name="connsiteX2" fmla="*/ 1711286 w 11108435"/>
              <a:gd name="connsiteY2" fmla="*/ 1133263 h 1133263"/>
              <a:gd name="connsiteX3" fmla="*/ 4 w 11108435"/>
              <a:gd name="connsiteY3" fmla="*/ 1030447 h 1133263"/>
              <a:gd name="connsiteX4" fmla="*/ 6718125 w 11108435"/>
              <a:gd name="connsiteY4" fmla="*/ 0 h 1133263"/>
              <a:gd name="connsiteX0" fmla="*/ 6718125 w 8135879"/>
              <a:gd name="connsiteY0" fmla="*/ 0 h 1133263"/>
              <a:gd name="connsiteX1" fmla="*/ 8135881 w 8135879"/>
              <a:gd name="connsiteY1" fmla="*/ 96066 h 1133263"/>
              <a:gd name="connsiteX2" fmla="*/ 1711286 w 8135879"/>
              <a:gd name="connsiteY2" fmla="*/ 1133263 h 1133263"/>
              <a:gd name="connsiteX3" fmla="*/ 4 w 8135879"/>
              <a:gd name="connsiteY3" fmla="*/ 1030447 h 1133263"/>
              <a:gd name="connsiteX4" fmla="*/ 6718125 w 8135879"/>
              <a:gd name="connsiteY4" fmla="*/ 0 h 113326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135879" h="1133263">
                <a:moveTo>
                  <a:pt x="6718125" y="0"/>
                </a:moveTo>
                <a:lnTo>
                  <a:pt x="8135881" y="96066"/>
                </a:lnTo>
                <a:lnTo>
                  <a:pt x="1711286" y="1133263"/>
                </a:lnTo>
                <a:lnTo>
                  <a:pt x="4" y="1030447"/>
                </a:lnTo>
                <a:lnTo>
                  <a:pt x="6718125" y="0"/>
                </a:lnTo>
                <a:close/>
              </a:path>
            </a:pathLst>
          </a:custGeom>
          <a:solidFill>
            <a:schemeClr val="bg2">
              <a:lumMod val="25000"/>
            </a:schemeClr>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94" name="Rectangle 75">
            <a:extLst>
              <a:ext uri="{FF2B5EF4-FFF2-40B4-BE49-F238E27FC236}">
                <a16:creationId xmlns:a16="http://schemas.microsoft.com/office/drawing/2014/main" id="{00000000-0008-0000-0100-00005E000000}"/>
              </a:ext>
            </a:extLst>
          </xdr:cNvPr>
          <xdr:cNvSpPr/>
        </xdr:nvSpPr>
        <xdr:spPr>
          <a:xfrm rot="1796618">
            <a:off x="3555999" y="17675088"/>
            <a:ext cx="1584189" cy="1014556"/>
          </a:xfrm>
          <a:custGeom>
            <a:avLst/>
            <a:gdLst>
              <a:gd name="connsiteX0" fmla="*/ 0 w 4616174"/>
              <a:gd name="connsiteY0" fmla="*/ 0 h 1074288"/>
              <a:gd name="connsiteX1" fmla="*/ 4616174 w 4616174"/>
              <a:gd name="connsiteY1" fmla="*/ 0 h 1074288"/>
              <a:gd name="connsiteX2" fmla="*/ 4616174 w 4616174"/>
              <a:gd name="connsiteY2" fmla="*/ 1074288 h 1074288"/>
              <a:gd name="connsiteX3" fmla="*/ 0 w 4616174"/>
              <a:gd name="connsiteY3" fmla="*/ 1074288 h 1074288"/>
              <a:gd name="connsiteX4" fmla="*/ 0 w 4616174"/>
              <a:gd name="connsiteY4" fmla="*/ 0 h 1074288"/>
              <a:gd name="connsiteX0" fmla="*/ 334245 w 4616174"/>
              <a:gd name="connsiteY0" fmla="*/ 5005 h 1074288"/>
              <a:gd name="connsiteX1" fmla="*/ 4616174 w 4616174"/>
              <a:gd name="connsiteY1" fmla="*/ 0 h 1074288"/>
              <a:gd name="connsiteX2" fmla="*/ 4616174 w 4616174"/>
              <a:gd name="connsiteY2" fmla="*/ 1074288 h 1074288"/>
              <a:gd name="connsiteX3" fmla="*/ 0 w 4616174"/>
              <a:gd name="connsiteY3" fmla="*/ 1074288 h 1074288"/>
              <a:gd name="connsiteX4" fmla="*/ 334245 w 4616174"/>
              <a:gd name="connsiteY4" fmla="*/ 5005 h 1074288"/>
              <a:gd name="connsiteX0" fmla="*/ 334245 w 5077731"/>
              <a:gd name="connsiteY0" fmla="*/ 22359 h 1091642"/>
              <a:gd name="connsiteX1" fmla="*/ 5077731 w 5077731"/>
              <a:gd name="connsiteY1" fmla="*/ 0 h 1091642"/>
              <a:gd name="connsiteX2" fmla="*/ 4616174 w 5077731"/>
              <a:gd name="connsiteY2" fmla="*/ 1091642 h 1091642"/>
              <a:gd name="connsiteX3" fmla="*/ 0 w 5077731"/>
              <a:gd name="connsiteY3" fmla="*/ 1091642 h 1091642"/>
              <a:gd name="connsiteX4" fmla="*/ 334245 w 5077731"/>
              <a:gd name="connsiteY4" fmla="*/ 22359 h 1091642"/>
              <a:gd name="connsiteX0" fmla="*/ 334245 w 5077731"/>
              <a:gd name="connsiteY0" fmla="*/ 22359 h 1091642"/>
              <a:gd name="connsiteX1" fmla="*/ 5077731 w 5077731"/>
              <a:gd name="connsiteY1" fmla="*/ 0 h 1091642"/>
              <a:gd name="connsiteX2" fmla="*/ 4664747 w 5077731"/>
              <a:gd name="connsiteY2" fmla="*/ 1076405 h 1091642"/>
              <a:gd name="connsiteX3" fmla="*/ 0 w 5077731"/>
              <a:gd name="connsiteY3" fmla="*/ 1091642 h 1091642"/>
              <a:gd name="connsiteX4" fmla="*/ 334245 w 5077731"/>
              <a:gd name="connsiteY4" fmla="*/ 22359 h 1091642"/>
              <a:gd name="connsiteX0" fmla="*/ 615704 w 5359190"/>
              <a:gd name="connsiteY0" fmla="*/ 22359 h 1100836"/>
              <a:gd name="connsiteX1" fmla="*/ 5359190 w 5359190"/>
              <a:gd name="connsiteY1" fmla="*/ 0 h 1100836"/>
              <a:gd name="connsiteX2" fmla="*/ 4946206 w 5359190"/>
              <a:gd name="connsiteY2" fmla="*/ 1076405 h 1100836"/>
              <a:gd name="connsiteX3" fmla="*/ 0 w 5359190"/>
              <a:gd name="connsiteY3" fmla="*/ 1100836 h 1100836"/>
              <a:gd name="connsiteX4" fmla="*/ 615704 w 5359190"/>
              <a:gd name="connsiteY4" fmla="*/ 22359 h 1100836"/>
              <a:gd name="connsiteX0" fmla="*/ 1038195 w 5781681"/>
              <a:gd name="connsiteY0" fmla="*/ 22359 h 1076405"/>
              <a:gd name="connsiteX1" fmla="*/ 5781681 w 5781681"/>
              <a:gd name="connsiteY1" fmla="*/ 0 h 1076405"/>
              <a:gd name="connsiteX2" fmla="*/ 5368697 w 5781681"/>
              <a:gd name="connsiteY2" fmla="*/ 1076405 h 1076405"/>
              <a:gd name="connsiteX3" fmla="*/ 0 w 5781681"/>
              <a:gd name="connsiteY3" fmla="*/ 829256 h 1076405"/>
              <a:gd name="connsiteX4" fmla="*/ 1038195 w 5781681"/>
              <a:gd name="connsiteY4" fmla="*/ 22359 h 1076405"/>
              <a:gd name="connsiteX0" fmla="*/ 1038195 w 5781681"/>
              <a:gd name="connsiteY0" fmla="*/ 22359 h 846630"/>
              <a:gd name="connsiteX1" fmla="*/ 5781681 w 5781681"/>
              <a:gd name="connsiteY1" fmla="*/ 0 h 846630"/>
              <a:gd name="connsiteX2" fmla="*/ 4010605 w 5781681"/>
              <a:gd name="connsiteY2" fmla="*/ 846630 h 846630"/>
              <a:gd name="connsiteX3" fmla="*/ 0 w 5781681"/>
              <a:gd name="connsiteY3" fmla="*/ 829256 h 846630"/>
              <a:gd name="connsiteX4" fmla="*/ 1038195 w 5781681"/>
              <a:gd name="connsiteY4" fmla="*/ 22359 h 846630"/>
              <a:gd name="connsiteX0" fmla="*/ 1038195 w 5902544"/>
              <a:gd name="connsiteY0" fmla="*/ 75872 h 900143"/>
              <a:gd name="connsiteX1" fmla="*/ 5902543 w 5902544"/>
              <a:gd name="connsiteY1" fmla="*/ 0 h 900143"/>
              <a:gd name="connsiteX2" fmla="*/ 4010605 w 5902544"/>
              <a:gd name="connsiteY2" fmla="*/ 900143 h 900143"/>
              <a:gd name="connsiteX3" fmla="*/ 0 w 5902544"/>
              <a:gd name="connsiteY3" fmla="*/ 882769 h 900143"/>
              <a:gd name="connsiteX4" fmla="*/ 1038195 w 5902544"/>
              <a:gd name="connsiteY4" fmla="*/ 75872 h 900143"/>
              <a:gd name="connsiteX0" fmla="*/ 1676390 w 5902544"/>
              <a:gd name="connsiteY0" fmla="*/ 0 h 924066"/>
              <a:gd name="connsiteX1" fmla="*/ 5902543 w 5902544"/>
              <a:gd name="connsiteY1" fmla="*/ 23923 h 924066"/>
              <a:gd name="connsiteX2" fmla="*/ 4010605 w 5902544"/>
              <a:gd name="connsiteY2" fmla="*/ 924066 h 924066"/>
              <a:gd name="connsiteX3" fmla="*/ 0 w 5902544"/>
              <a:gd name="connsiteY3" fmla="*/ 906692 h 924066"/>
              <a:gd name="connsiteX4" fmla="*/ 1676390 w 5902544"/>
              <a:gd name="connsiteY4" fmla="*/ 0 h 924066"/>
              <a:gd name="connsiteX0" fmla="*/ 1676390 w 6102079"/>
              <a:gd name="connsiteY0" fmla="*/ 0 h 924066"/>
              <a:gd name="connsiteX1" fmla="*/ 6102081 w 6102079"/>
              <a:gd name="connsiteY1" fmla="*/ 11443 h 924066"/>
              <a:gd name="connsiteX2" fmla="*/ 4010605 w 6102079"/>
              <a:gd name="connsiteY2" fmla="*/ 924066 h 924066"/>
              <a:gd name="connsiteX3" fmla="*/ 0 w 6102079"/>
              <a:gd name="connsiteY3" fmla="*/ 906692 h 924066"/>
              <a:gd name="connsiteX4" fmla="*/ 1676390 w 6102079"/>
              <a:gd name="connsiteY4" fmla="*/ 0 h 924066"/>
              <a:gd name="connsiteX0" fmla="*/ 1676390 w 6217729"/>
              <a:gd name="connsiteY0" fmla="*/ 0 h 924066"/>
              <a:gd name="connsiteX1" fmla="*/ 6217730 w 6217729"/>
              <a:gd name="connsiteY1" fmla="*/ 22312 h 924066"/>
              <a:gd name="connsiteX2" fmla="*/ 4010605 w 6217729"/>
              <a:gd name="connsiteY2" fmla="*/ 924066 h 924066"/>
              <a:gd name="connsiteX3" fmla="*/ 0 w 6217729"/>
              <a:gd name="connsiteY3" fmla="*/ 906692 h 924066"/>
              <a:gd name="connsiteX4" fmla="*/ 1676390 w 6217729"/>
              <a:gd name="connsiteY4" fmla="*/ 0 h 924066"/>
              <a:gd name="connsiteX0" fmla="*/ 1676390 w 6342615"/>
              <a:gd name="connsiteY0" fmla="*/ 0 h 924066"/>
              <a:gd name="connsiteX1" fmla="*/ 6342615 w 6342615"/>
              <a:gd name="connsiteY1" fmla="*/ 25641 h 924066"/>
              <a:gd name="connsiteX2" fmla="*/ 4010605 w 6342615"/>
              <a:gd name="connsiteY2" fmla="*/ 924066 h 924066"/>
              <a:gd name="connsiteX3" fmla="*/ 0 w 6342615"/>
              <a:gd name="connsiteY3" fmla="*/ 906692 h 924066"/>
              <a:gd name="connsiteX4" fmla="*/ 1676390 w 6342615"/>
              <a:gd name="connsiteY4" fmla="*/ 0 h 924066"/>
              <a:gd name="connsiteX0" fmla="*/ 2045121 w 6711346"/>
              <a:gd name="connsiteY0" fmla="*/ 0 h 924066"/>
              <a:gd name="connsiteX1" fmla="*/ 6711346 w 6711346"/>
              <a:gd name="connsiteY1" fmla="*/ 25641 h 924066"/>
              <a:gd name="connsiteX2" fmla="*/ 4379336 w 6711346"/>
              <a:gd name="connsiteY2" fmla="*/ 924066 h 924066"/>
              <a:gd name="connsiteX3" fmla="*/ -1 w 6711346"/>
              <a:gd name="connsiteY3" fmla="*/ 876837 h 924066"/>
              <a:gd name="connsiteX4" fmla="*/ 2045121 w 6711346"/>
              <a:gd name="connsiteY4" fmla="*/ 0 h 924066"/>
              <a:gd name="connsiteX0" fmla="*/ 2148208 w 6814433"/>
              <a:gd name="connsiteY0" fmla="*/ 0 h 924066"/>
              <a:gd name="connsiteX1" fmla="*/ 6814433 w 6814433"/>
              <a:gd name="connsiteY1" fmla="*/ 25641 h 924066"/>
              <a:gd name="connsiteX2" fmla="*/ 4482423 w 6814433"/>
              <a:gd name="connsiteY2" fmla="*/ 924066 h 924066"/>
              <a:gd name="connsiteX3" fmla="*/ 0 w 6814433"/>
              <a:gd name="connsiteY3" fmla="*/ 870751 h 924066"/>
              <a:gd name="connsiteX4" fmla="*/ 2148208 w 6814433"/>
              <a:gd name="connsiteY4" fmla="*/ 0 h 924066"/>
              <a:gd name="connsiteX0" fmla="*/ 2148208 w 6814433"/>
              <a:gd name="connsiteY0" fmla="*/ 0 h 1014556"/>
              <a:gd name="connsiteX1" fmla="*/ 6814433 w 6814433"/>
              <a:gd name="connsiteY1" fmla="*/ 25641 h 1014556"/>
              <a:gd name="connsiteX2" fmla="*/ 4371503 w 6814433"/>
              <a:gd name="connsiteY2" fmla="*/ 1014556 h 1014556"/>
              <a:gd name="connsiteX3" fmla="*/ 0 w 6814433"/>
              <a:gd name="connsiteY3" fmla="*/ 870751 h 1014556"/>
              <a:gd name="connsiteX4" fmla="*/ 2148208 w 6814433"/>
              <a:gd name="connsiteY4" fmla="*/ 0 h 1014556"/>
              <a:gd name="connsiteX0" fmla="*/ 2532605 w 7198830"/>
              <a:gd name="connsiteY0" fmla="*/ 0 h 1034047"/>
              <a:gd name="connsiteX1" fmla="*/ 7198830 w 7198830"/>
              <a:gd name="connsiteY1" fmla="*/ 25641 h 1034047"/>
              <a:gd name="connsiteX2" fmla="*/ 4755900 w 7198830"/>
              <a:gd name="connsiteY2" fmla="*/ 1014556 h 1034047"/>
              <a:gd name="connsiteX3" fmla="*/ -2 w 7198830"/>
              <a:gd name="connsiteY3" fmla="*/ 1034047 h 1034047"/>
              <a:gd name="connsiteX4" fmla="*/ 2532605 w 7198830"/>
              <a:gd name="connsiteY4" fmla="*/ 0 h 1034047"/>
              <a:gd name="connsiteX0" fmla="*/ 2552504 w 7218729"/>
              <a:gd name="connsiteY0" fmla="*/ 0 h 1014556"/>
              <a:gd name="connsiteX1" fmla="*/ 7218729 w 7218729"/>
              <a:gd name="connsiteY1" fmla="*/ 25641 h 1014556"/>
              <a:gd name="connsiteX2" fmla="*/ 4775799 w 7218729"/>
              <a:gd name="connsiteY2" fmla="*/ 1014556 h 1014556"/>
              <a:gd name="connsiteX3" fmla="*/ -2 w 7218729"/>
              <a:gd name="connsiteY3" fmla="*/ 960094 h 1014556"/>
              <a:gd name="connsiteX4" fmla="*/ 2552504 w 7218729"/>
              <a:gd name="connsiteY4" fmla="*/ 0 h 101455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218729" h="1014556">
                <a:moveTo>
                  <a:pt x="2552504" y="0"/>
                </a:moveTo>
                <a:lnTo>
                  <a:pt x="7218729" y="25641"/>
                </a:lnTo>
                <a:lnTo>
                  <a:pt x="4775799" y="1014556"/>
                </a:lnTo>
                <a:lnTo>
                  <a:pt x="-2" y="960094"/>
                </a:lnTo>
                <a:lnTo>
                  <a:pt x="2552504" y="0"/>
                </a:lnTo>
                <a:close/>
              </a:path>
            </a:pathLst>
          </a:custGeom>
          <a:solidFill>
            <a:schemeClr val="bg2">
              <a:lumMod val="25000"/>
            </a:schemeClr>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93" name="Rectangle 75">
            <a:extLst>
              <a:ext uri="{FF2B5EF4-FFF2-40B4-BE49-F238E27FC236}">
                <a16:creationId xmlns:a16="http://schemas.microsoft.com/office/drawing/2014/main" id="{00000000-0008-0000-0100-00005D000000}"/>
              </a:ext>
            </a:extLst>
          </xdr:cNvPr>
          <xdr:cNvSpPr/>
        </xdr:nvSpPr>
        <xdr:spPr>
          <a:xfrm rot="1796618">
            <a:off x="3559792" y="17546880"/>
            <a:ext cx="1584189" cy="1014556"/>
          </a:xfrm>
          <a:custGeom>
            <a:avLst/>
            <a:gdLst>
              <a:gd name="connsiteX0" fmla="*/ 0 w 4616174"/>
              <a:gd name="connsiteY0" fmla="*/ 0 h 1074288"/>
              <a:gd name="connsiteX1" fmla="*/ 4616174 w 4616174"/>
              <a:gd name="connsiteY1" fmla="*/ 0 h 1074288"/>
              <a:gd name="connsiteX2" fmla="*/ 4616174 w 4616174"/>
              <a:gd name="connsiteY2" fmla="*/ 1074288 h 1074288"/>
              <a:gd name="connsiteX3" fmla="*/ 0 w 4616174"/>
              <a:gd name="connsiteY3" fmla="*/ 1074288 h 1074288"/>
              <a:gd name="connsiteX4" fmla="*/ 0 w 4616174"/>
              <a:gd name="connsiteY4" fmla="*/ 0 h 1074288"/>
              <a:gd name="connsiteX0" fmla="*/ 334245 w 4616174"/>
              <a:gd name="connsiteY0" fmla="*/ 5005 h 1074288"/>
              <a:gd name="connsiteX1" fmla="*/ 4616174 w 4616174"/>
              <a:gd name="connsiteY1" fmla="*/ 0 h 1074288"/>
              <a:gd name="connsiteX2" fmla="*/ 4616174 w 4616174"/>
              <a:gd name="connsiteY2" fmla="*/ 1074288 h 1074288"/>
              <a:gd name="connsiteX3" fmla="*/ 0 w 4616174"/>
              <a:gd name="connsiteY3" fmla="*/ 1074288 h 1074288"/>
              <a:gd name="connsiteX4" fmla="*/ 334245 w 4616174"/>
              <a:gd name="connsiteY4" fmla="*/ 5005 h 1074288"/>
              <a:gd name="connsiteX0" fmla="*/ 334245 w 5077731"/>
              <a:gd name="connsiteY0" fmla="*/ 22359 h 1091642"/>
              <a:gd name="connsiteX1" fmla="*/ 5077731 w 5077731"/>
              <a:gd name="connsiteY1" fmla="*/ 0 h 1091642"/>
              <a:gd name="connsiteX2" fmla="*/ 4616174 w 5077731"/>
              <a:gd name="connsiteY2" fmla="*/ 1091642 h 1091642"/>
              <a:gd name="connsiteX3" fmla="*/ 0 w 5077731"/>
              <a:gd name="connsiteY3" fmla="*/ 1091642 h 1091642"/>
              <a:gd name="connsiteX4" fmla="*/ 334245 w 5077731"/>
              <a:gd name="connsiteY4" fmla="*/ 22359 h 1091642"/>
              <a:gd name="connsiteX0" fmla="*/ 334245 w 5077731"/>
              <a:gd name="connsiteY0" fmla="*/ 22359 h 1091642"/>
              <a:gd name="connsiteX1" fmla="*/ 5077731 w 5077731"/>
              <a:gd name="connsiteY1" fmla="*/ 0 h 1091642"/>
              <a:gd name="connsiteX2" fmla="*/ 4664747 w 5077731"/>
              <a:gd name="connsiteY2" fmla="*/ 1076405 h 1091642"/>
              <a:gd name="connsiteX3" fmla="*/ 0 w 5077731"/>
              <a:gd name="connsiteY3" fmla="*/ 1091642 h 1091642"/>
              <a:gd name="connsiteX4" fmla="*/ 334245 w 5077731"/>
              <a:gd name="connsiteY4" fmla="*/ 22359 h 1091642"/>
              <a:gd name="connsiteX0" fmla="*/ 615704 w 5359190"/>
              <a:gd name="connsiteY0" fmla="*/ 22359 h 1100836"/>
              <a:gd name="connsiteX1" fmla="*/ 5359190 w 5359190"/>
              <a:gd name="connsiteY1" fmla="*/ 0 h 1100836"/>
              <a:gd name="connsiteX2" fmla="*/ 4946206 w 5359190"/>
              <a:gd name="connsiteY2" fmla="*/ 1076405 h 1100836"/>
              <a:gd name="connsiteX3" fmla="*/ 0 w 5359190"/>
              <a:gd name="connsiteY3" fmla="*/ 1100836 h 1100836"/>
              <a:gd name="connsiteX4" fmla="*/ 615704 w 5359190"/>
              <a:gd name="connsiteY4" fmla="*/ 22359 h 1100836"/>
              <a:gd name="connsiteX0" fmla="*/ 1038195 w 5781681"/>
              <a:gd name="connsiteY0" fmla="*/ 22359 h 1076405"/>
              <a:gd name="connsiteX1" fmla="*/ 5781681 w 5781681"/>
              <a:gd name="connsiteY1" fmla="*/ 0 h 1076405"/>
              <a:gd name="connsiteX2" fmla="*/ 5368697 w 5781681"/>
              <a:gd name="connsiteY2" fmla="*/ 1076405 h 1076405"/>
              <a:gd name="connsiteX3" fmla="*/ 0 w 5781681"/>
              <a:gd name="connsiteY3" fmla="*/ 829256 h 1076405"/>
              <a:gd name="connsiteX4" fmla="*/ 1038195 w 5781681"/>
              <a:gd name="connsiteY4" fmla="*/ 22359 h 1076405"/>
              <a:gd name="connsiteX0" fmla="*/ 1038195 w 5781681"/>
              <a:gd name="connsiteY0" fmla="*/ 22359 h 846630"/>
              <a:gd name="connsiteX1" fmla="*/ 5781681 w 5781681"/>
              <a:gd name="connsiteY1" fmla="*/ 0 h 846630"/>
              <a:gd name="connsiteX2" fmla="*/ 4010605 w 5781681"/>
              <a:gd name="connsiteY2" fmla="*/ 846630 h 846630"/>
              <a:gd name="connsiteX3" fmla="*/ 0 w 5781681"/>
              <a:gd name="connsiteY3" fmla="*/ 829256 h 846630"/>
              <a:gd name="connsiteX4" fmla="*/ 1038195 w 5781681"/>
              <a:gd name="connsiteY4" fmla="*/ 22359 h 846630"/>
              <a:gd name="connsiteX0" fmla="*/ 1038195 w 5902544"/>
              <a:gd name="connsiteY0" fmla="*/ 75872 h 900143"/>
              <a:gd name="connsiteX1" fmla="*/ 5902543 w 5902544"/>
              <a:gd name="connsiteY1" fmla="*/ 0 h 900143"/>
              <a:gd name="connsiteX2" fmla="*/ 4010605 w 5902544"/>
              <a:gd name="connsiteY2" fmla="*/ 900143 h 900143"/>
              <a:gd name="connsiteX3" fmla="*/ 0 w 5902544"/>
              <a:gd name="connsiteY3" fmla="*/ 882769 h 900143"/>
              <a:gd name="connsiteX4" fmla="*/ 1038195 w 5902544"/>
              <a:gd name="connsiteY4" fmla="*/ 75872 h 900143"/>
              <a:gd name="connsiteX0" fmla="*/ 1676390 w 5902544"/>
              <a:gd name="connsiteY0" fmla="*/ 0 h 924066"/>
              <a:gd name="connsiteX1" fmla="*/ 5902543 w 5902544"/>
              <a:gd name="connsiteY1" fmla="*/ 23923 h 924066"/>
              <a:gd name="connsiteX2" fmla="*/ 4010605 w 5902544"/>
              <a:gd name="connsiteY2" fmla="*/ 924066 h 924066"/>
              <a:gd name="connsiteX3" fmla="*/ 0 w 5902544"/>
              <a:gd name="connsiteY3" fmla="*/ 906692 h 924066"/>
              <a:gd name="connsiteX4" fmla="*/ 1676390 w 5902544"/>
              <a:gd name="connsiteY4" fmla="*/ 0 h 924066"/>
              <a:gd name="connsiteX0" fmla="*/ 1676390 w 6102079"/>
              <a:gd name="connsiteY0" fmla="*/ 0 h 924066"/>
              <a:gd name="connsiteX1" fmla="*/ 6102081 w 6102079"/>
              <a:gd name="connsiteY1" fmla="*/ 11443 h 924066"/>
              <a:gd name="connsiteX2" fmla="*/ 4010605 w 6102079"/>
              <a:gd name="connsiteY2" fmla="*/ 924066 h 924066"/>
              <a:gd name="connsiteX3" fmla="*/ 0 w 6102079"/>
              <a:gd name="connsiteY3" fmla="*/ 906692 h 924066"/>
              <a:gd name="connsiteX4" fmla="*/ 1676390 w 6102079"/>
              <a:gd name="connsiteY4" fmla="*/ 0 h 924066"/>
              <a:gd name="connsiteX0" fmla="*/ 1676390 w 6217729"/>
              <a:gd name="connsiteY0" fmla="*/ 0 h 924066"/>
              <a:gd name="connsiteX1" fmla="*/ 6217730 w 6217729"/>
              <a:gd name="connsiteY1" fmla="*/ 22312 h 924066"/>
              <a:gd name="connsiteX2" fmla="*/ 4010605 w 6217729"/>
              <a:gd name="connsiteY2" fmla="*/ 924066 h 924066"/>
              <a:gd name="connsiteX3" fmla="*/ 0 w 6217729"/>
              <a:gd name="connsiteY3" fmla="*/ 906692 h 924066"/>
              <a:gd name="connsiteX4" fmla="*/ 1676390 w 6217729"/>
              <a:gd name="connsiteY4" fmla="*/ 0 h 924066"/>
              <a:gd name="connsiteX0" fmla="*/ 1676390 w 6342615"/>
              <a:gd name="connsiteY0" fmla="*/ 0 h 924066"/>
              <a:gd name="connsiteX1" fmla="*/ 6342615 w 6342615"/>
              <a:gd name="connsiteY1" fmla="*/ 25641 h 924066"/>
              <a:gd name="connsiteX2" fmla="*/ 4010605 w 6342615"/>
              <a:gd name="connsiteY2" fmla="*/ 924066 h 924066"/>
              <a:gd name="connsiteX3" fmla="*/ 0 w 6342615"/>
              <a:gd name="connsiteY3" fmla="*/ 906692 h 924066"/>
              <a:gd name="connsiteX4" fmla="*/ 1676390 w 6342615"/>
              <a:gd name="connsiteY4" fmla="*/ 0 h 924066"/>
              <a:gd name="connsiteX0" fmla="*/ 2045121 w 6711346"/>
              <a:gd name="connsiteY0" fmla="*/ 0 h 924066"/>
              <a:gd name="connsiteX1" fmla="*/ 6711346 w 6711346"/>
              <a:gd name="connsiteY1" fmla="*/ 25641 h 924066"/>
              <a:gd name="connsiteX2" fmla="*/ 4379336 w 6711346"/>
              <a:gd name="connsiteY2" fmla="*/ 924066 h 924066"/>
              <a:gd name="connsiteX3" fmla="*/ -1 w 6711346"/>
              <a:gd name="connsiteY3" fmla="*/ 876837 h 924066"/>
              <a:gd name="connsiteX4" fmla="*/ 2045121 w 6711346"/>
              <a:gd name="connsiteY4" fmla="*/ 0 h 924066"/>
              <a:gd name="connsiteX0" fmla="*/ 2148208 w 6814433"/>
              <a:gd name="connsiteY0" fmla="*/ 0 h 924066"/>
              <a:gd name="connsiteX1" fmla="*/ 6814433 w 6814433"/>
              <a:gd name="connsiteY1" fmla="*/ 25641 h 924066"/>
              <a:gd name="connsiteX2" fmla="*/ 4482423 w 6814433"/>
              <a:gd name="connsiteY2" fmla="*/ 924066 h 924066"/>
              <a:gd name="connsiteX3" fmla="*/ 0 w 6814433"/>
              <a:gd name="connsiteY3" fmla="*/ 870751 h 924066"/>
              <a:gd name="connsiteX4" fmla="*/ 2148208 w 6814433"/>
              <a:gd name="connsiteY4" fmla="*/ 0 h 924066"/>
              <a:gd name="connsiteX0" fmla="*/ 2148208 w 6814433"/>
              <a:gd name="connsiteY0" fmla="*/ 0 h 1014556"/>
              <a:gd name="connsiteX1" fmla="*/ 6814433 w 6814433"/>
              <a:gd name="connsiteY1" fmla="*/ 25641 h 1014556"/>
              <a:gd name="connsiteX2" fmla="*/ 4371503 w 6814433"/>
              <a:gd name="connsiteY2" fmla="*/ 1014556 h 1014556"/>
              <a:gd name="connsiteX3" fmla="*/ 0 w 6814433"/>
              <a:gd name="connsiteY3" fmla="*/ 870751 h 1014556"/>
              <a:gd name="connsiteX4" fmla="*/ 2148208 w 6814433"/>
              <a:gd name="connsiteY4" fmla="*/ 0 h 1014556"/>
              <a:gd name="connsiteX0" fmla="*/ 2532605 w 7198830"/>
              <a:gd name="connsiteY0" fmla="*/ 0 h 1034047"/>
              <a:gd name="connsiteX1" fmla="*/ 7198830 w 7198830"/>
              <a:gd name="connsiteY1" fmla="*/ 25641 h 1034047"/>
              <a:gd name="connsiteX2" fmla="*/ 4755900 w 7198830"/>
              <a:gd name="connsiteY2" fmla="*/ 1014556 h 1034047"/>
              <a:gd name="connsiteX3" fmla="*/ -2 w 7198830"/>
              <a:gd name="connsiteY3" fmla="*/ 1034047 h 1034047"/>
              <a:gd name="connsiteX4" fmla="*/ 2532605 w 7198830"/>
              <a:gd name="connsiteY4" fmla="*/ 0 h 1034047"/>
              <a:gd name="connsiteX0" fmla="*/ 2552504 w 7218729"/>
              <a:gd name="connsiteY0" fmla="*/ 0 h 1014556"/>
              <a:gd name="connsiteX1" fmla="*/ 7218729 w 7218729"/>
              <a:gd name="connsiteY1" fmla="*/ 25641 h 1014556"/>
              <a:gd name="connsiteX2" fmla="*/ 4775799 w 7218729"/>
              <a:gd name="connsiteY2" fmla="*/ 1014556 h 1014556"/>
              <a:gd name="connsiteX3" fmla="*/ -2 w 7218729"/>
              <a:gd name="connsiteY3" fmla="*/ 960094 h 1014556"/>
              <a:gd name="connsiteX4" fmla="*/ 2552504 w 7218729"/>
              <a:gd name="connsiteY4" fmla="*/ 0 h 101455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218729" h="1014556">
                <a:moveTo>
                  <a:pt x="2552504" y="0"/>
                </a:moveTo>
                <a:lnTo>
                  <a:pt x="7218729" y="25641"/>
                </a:lnTo>
                <a:lnTo>
                  <a:pt x="4775799" y="1014556"/>
                </a:lnTo>
                <a:lnTo>
                  <a:pt x="-2" y="960094"/>
                </a:lnTo>
                <a:lnTo>
                  <a:pt x="2552504" y="0"/>
                </a:lnTo>
                <a:close/>
              </a:path>
            </a:pathLst>
          </a:custGeom>
          <a:solidFill>
            <a:schemeClr val="bg2">
              <a:lumMod val="25000"/>
            </a:schemeClr>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101" name="Rectangle 75">
            <a:extLst>
              <a:ext uri="{FF2B5EF4-FFF2-40B4-BE49-F238E27FC236}">
                <a16:creationId xmlns:a16="http://schemas.microsoft.com/office/drawing/2014/main" id="{00000000-0008-0000-0100-000065000000}"/>
              </a:ext>
            </a:extLst>
          </xdr:cNvPr>
          <xdr:cNvSpPr/>
        </xdr:nvSpPr>
        <xdr:spPr>
          <a:xfrm rot="2207761">
            <a:off x="4547233" y="17821080"/>
            <a:ext cx="489794" cy="1133263"/>
          </a:xfrm>
          <a:custGeom>
            <a:avLst/>
            <a:gdLst>
              <a:gd name="connsiteX0" fmla="*/ 0 w 4616174"/>
              <a:gd name="connsiteY0" fmla="*/ 0 h 1074288"/>
              <a:gd name="connsiteX1" fmla="*/ 4616174 w 4616174"/>
              <a:gd name="connsiteY1" fmla="*/ 0 h 1074288"/>
              <a:gd name="connsiteX2" fmla="*/ 4616174 w 4616174"/>
              <a:gd name="connsiteY2" fmla="*/ 1074288 h 1074288"/>
              <a:gd name="connsiteX3" fmla="*/ 0 w 4616174"/>
              <a:gd name="connsiteY3" fmla="*/ 1074288 h 1074288"/>
              <a:gd name="connsiteX4" fmla="*/ 0 w 4616174"/>
              <a:gd name="connsiteY4" fmla="*/ 0 h 1074288"/>
              <a:gd name="connsiteX0" fmla="*/ 334245 w 4616174"/>
              <a:gd name="connsiteY0" fmla="*/ 5005 h 1074288"/>
              <a:gd name="connsiteX1" fmla="*/ 4616174 w 4616174"/>
              <a:gd name="connsiteY1" fmla="*/ 0 h 1074288"/>
              <a:gd name="connsiteX2" fmla="*/ 4616174 w 4616174"/>
              <a:gd name="connsiteY2" fmla="*/ 1074288 h 1074288"/>
              <a:gd name="connsiteX3" fmla="*/ 0 w 4616174"/>
              <a:gd name="connsiteY3" fmla="*/ 1074288 h 1074288"/>
              <a:gd name="connsiteX4" fmla="*/ 334245 w 4616174"/>
              <a:gd name="connsiteY4" fmla="*/ 5005 h 1074288"/>
              <a:gd name="connsiteX0" fmla="*/ 334245 w 5077731"/>
              <a:gd name="connsiteY0" fmla="*/ 22359 h 1091642"/>
              <a:gd name="connsiteX1" fmla="*/ 5077731 w 5077731"/>
              <a:gd name="connsiteY1" fmla="*/ 0 h 1091642"/>
              <a:gd name="connsiteX2" fmla="*/ 4616174 w 5077731"/>
              <a:gd name="connsiteY2" fmla="*/ 1091642 h 1091642"/>
              <a:gd name="connsiteX3" fmla="*/ 0 w 5077731"/>
              <a:gd name="connsiteY3" fmla="*/ 1091642 h 1091642"/>
              <a:gd name="connsiteX4" fmla="*/ 334245 w 5077731"/>
              <a:gd name="connsiteY4" fmla="*/ 22359 h 1091642"/>
              <a:gd name="connsiteX0" fmla="*/ 334245 w 5077731"/>
              <a:gd name="connsiteY0" fmla="*/ 22359 h 1091642"/>
              <a:gd name="connsiteX1" fmla="*/ 5077731 w 5077731"/>
              <a:gd name="connsiteY1" fmla="*/ 0 h 1091642"/>
              <a:gd name="connsiteX2" fmla="*/ 4664747 w 5077731"/>
              <a:gd name="connsiteY2" fmla="*/ 1076405 h 1091642"/>
              <a:gd name="connsiteX3" fmla="*/ 0 w 5077731"/>
              <a:gd name="connsiteY3" fmla="*/ 1091642 h 1091642"/>
              <a:gd name="connsiteX4" fmla="*/ 334245 w 5077731"/>
              <a:gd name="connsiteY4" fmla="*/ 22359 h 1091642"/>
              <a:gd name="connsiteX0" fmla="*/ 615704 w 5359190"/>
              <a:gd name="connsiteY0" fmla="*/ 22359 h 1100836"/>
              <a:gd name="connsiteX1" fmla="*/ 5359190 w 5359190"/>
              <a:gd name="connsiteY1" fmla="*/ 0 h 1100836"/>
              <a:gd name="connsiteX2" fmla="*/ 4946206 w 5359190"/>
              <a:gd name="connsiteY2" fmla="*/ 1076405 h 1100836"/>
              <a:gd name="connsiteX3" fmla="*/ 0 w 5359190"/>
              <a:gd name="connsiteY3" fmla="*/ 1100836 h 1100836"/>
              <a:gd name="connsiteX4" fmla="*/ 615704 w 5359190"/>
              <a:gd name="connsiteY4" fmla="*/ 22359 h 1100836"/>
              <a:gd name="connsiteX0" fmla="*/ 1038195 w 5781681"/>
              <a:gd name="connsiteY0" fmla="*/ 22359 h 1076405"/>
              <a:gd name="connsiteX1" fmla="*/ 5781681 w 5781681"/>
              <a:gd name="connsiteY1" fmla="*/ 0 h 1076405"/>
              <a:gd name="connsiteX2" fmla="*/ 5368697 w 5781681"/>
              <a:gd name="connsiteY2" fmla="*/ 1076405 h 1076405"/>
              <a:gd name="connsiteX3" fmla="*/ 0 w 5781681"/>
              <a:gd name="connsiteY3" fmla="*/ 829256 h 1076405"/>
              <a:gd name="connsiteX4" fmla="*/ 1038195 w 5781681"/>
              <a:gd name="connsiteY4" fmla="*/ 22359 h 1076405"/>
              <a:gd name="connsiteX0" fmla="*/ 1038195 w 5781681"/>
              <a:gd name="connsiteY0" fmla="*/ 22359 h 846630"/>
              <a:gd name="connsiteX1" fmla="*/ 5781681 w 5781681"/>
              <a:gd name="connsiteY1" fmla="*/ 0 h 846630"/>
              <a:gd name="connsiteX2" fmla="*/ 4010605 w 5781681"/>
              <a:gd name="connsiteY2" fmla="*/ 846630 h 846630"/>
              <a:gd name="connsiteX3" fmla="*/ 0 w 5781681"/>
              <a:gd name="connsiteY3" fmla="*/ 829256 h 846630"/>
              <a:gd name="connsiteX4" fmla="*/ 1038195 w 5781681"/>
              <a:gd name="connsiteY4" fmla="*/ 22359 h 846630"/>
              <a:gd name="connsiteX0" fmla="*/ 1038195 w 5902544"/>
              <a:gd name="connsiteY0" fmla="*/ 75872 h 900143"/>
              <a:gd name="connsiteX1" fmla="*/ 5902543 w 5902544"/>
              <a:gd name="connsiteY1" fmla="*/ 0 h 900143"/>
              <a:gd name="connsiteX2" fmla="*/ 4010605 w 5902544"/>
              <a:gd name="connsiteY2" fmla="*/ 900143 h 900143"/>
              <a:gd name="connsiteX3" fmla="*/ 0 w 5902544"/>
              <a:gd name="connsiteY3" fmla="*/ 882769 h 900143"/>
              <a:gd name="connsiteX4" fmla="*/ 1038195 w 5902544"/>
              <a:gd name="connsiteY4" fmla="*/ 75872 h 900143"/>
              <a:gd name="connsiteX0" fmla="*/ 1676390 w 5902544"/>
              <a:gd name="connsiteY0" fmla="*/ 0 h 924066"/>
              <a:gd name="connsiteX1" fmla="*/ 5902543 w 5902544"/>
              <a:gd name="connsiteY1" fmla="*/ 23923 h 924066"/>
              <a:gd name="connsiteX2" fmla="*/ 4010605 w 5902544"/>
              <a:gd name="connsiteY2" fmla="*/ 924066 h 924066"/>
              <a:gd name="connsiteX3" fmla="*/ 0 w 5902544"/>
              <a:gd name="connsiteY3" fmla="*/ 906692 h 924066"/>
              <a:gd name="connsiteX4" fmla="*/ 1676390 w 5902544"/>
              <a:gd name="connsiteY4" fmla="*/ 0 h 924066"/>
              <a:gd name="connsiteX0" fmla="*/ 1676390 w 6102079"/>
              <a:gd name="connsiteY0" fmla="*/ 0 h 924066"/>
              <a:gd name="connsiteX1" fmla="*/ 6102081 w 6102079"/>
              <a:gd name="connsiteY1" fmla="*/ 11443 h 924066"/>
              <a:gd name="connsiteX2" fmla="*/ 4010605 w 6102079"/>
              <a:gd name="connsiteY2" fmla="*/ 924066 h 924066"/>
              <a:gd name="connsiteX3" fmla="*/ 0 w 6102079"/>
              <a:gd name="connsiteY3" fmla="*/ 906692 h 924066"/>
              <a:gd name="connsiteX4" fmla="*/ 1676390 w 6102079"/>
              <a:gd name="connsiteY4" fmla="*/ 0 h 924066"/>
              <a:gd name="connsiteX0" fmla="*/ 1676390 w 6217729"/>
              <a:gd name="connsiteY0" fmla="*/ 0 h 924066"/>
              <a:gd name="connsiteX1" fmla="*/ 6217730 w 6217729"/>
              <a:gd name="connsiteY1" fmla="*/ 22312 h 924066"/>
              <a:gd name="connsiteX2" fmla="*/ 4010605 w 6217729"/>
              <a:gd name="connsiteY2" fmla="*/ 924066 h 924066"/>
              <a:gd name="connsiteX3" fmla="*/ 0 w 6217729"/>
              <a:gd name="connsiteY3" fmla="*/ 906692 h 924066"/>
              <a:gd name="connsiteX4" fmla="*/ 1676390 w 6217729"/>
              <a:gd name="connsiteY4" fmla="*/ 0 h 924066"/>
              <a:gd name="connsiteX0" fmla="*/ 1676390 w 6342615"/>
              <a:gd name="connsiteY0" fmla="*/ 0 h 924066"/>
              <a:gd name="connsiteX1" fmla="*/ 6342615 w 6342615"/>
              <a:gd name="connsiteY1" fmla="*/ 25641 h 924066"/>
              <a:gd name="connsiteX2" fmla="*/ 4010605 w 6342615"/>
              <a:gd name="connsiteY2" fmla="*/ 924066 h 924066"/>
              <a:gd name="connsiteX3" fmla="*/ 0 w 6342615"/>
              <a:gd name="connsiteY3" fmla="*/ 906692 h 924066"/>
              <a:gd name="connsiteX4" fmla="*/ 1676390 w 6342615"/>
              <a:gd name="connsiteY4" fmla="*/ 0 h 924066"/>
              <a:gd name="connsiteX0" fmla="*/ 2045121 w 6711346"/>
              <a:gd name="connsiteY0" fmla="*/ 0 h 924066"/>
              <a:gd name="connsiteX1" fmla="*/ 6711346 w 6711346"/>
              <a:gd name="connsiteY1" fmla="*/ 25641 h 924066"/>
              <a:gd name="connsiteX2" fmla="*/ 4379336 w 6711346"/>
              <a:gd name="connsiteY2" fmla="*/ 924066 h 924066"/>
              <a:gd name="connsiteX3" fmla="*/ -1 w 6711346"/>
              <a:gd name="connsiteY3" fmla="*/ 876837 h 924066"/>
              <a:gd name="connsiteX4" fmla="*/ 2045121 w 6711346"/>
              <a:gd name="connsiteY4" fmla="*/ 0 h 924066"/>
              <a:gd name="connsiteX0" fmla="*/ 2148208 w 6814433"/>
              <a:gd name="connsiteY0" fmla="*/ 0 h 924066"/>
              <a:gd name="connsiteX1" fmla="*/ 6814433 w 6814433"/>
              <a:gd name="connsiteY1" fmla="*/ 25641 h 924066"/>
              <a:gd name="connsiteX2" fmla="*/ 4482423 w 6814433"/>
              <a:gd name="connsiteY2" fmla="*/ 924066 h 924066"/>
              <a:gd name="connsiteX3" fmla="*/ 0 w 6814433"/>
              <a:gd name="connsiteY3" fmla="*/ 870751 h 924066"/>
              <a:gd name="connsiteX4" fmla="*/ 2148208 w 6814433"/>
              <a:gd name="connsiteY4" fmla="*/ 0 h 924066"/>
              <a:gd name="connsiteX0" fmla="*/ 2148208 w 6814433"/>
              <a:gd name="connsiteY0" fmla="*/ 0 h 1014556"/>
              <a:gd name="connsiteX1" fmla="*/ 6814433 w 6814433"/>
              <a:gd name="connsiteY1" fmla="*/ 25641 h 1014556"/>
              <a:gd name="connsiteX2" fmla="*/ 4371503 w 6814433"/>
              <a:gd name="connsiteY2" fmla="*/ 1014556 h 1014556"/>
              <a:gd name="connsiteX3" fmla="*/ 0 w 6814433"/>
              <a:gd name="connsiteY3" fmla="*/ 870751 h 1014556"/>
              <a:gd name="connsiteX4" fmla="*/ 2148208 w 6814433"/>
              <a:gd name="connsiteY4" fmla="*/ 0 h 1014556"/>
              <a:gd name="connsiteX0" fmla="*/ 2532605 w 7198830"/>
              <a:gd name="connsiteY0" fmla="*/ 0 h 1034047"/>
              <a:gd name="connsiteX1" fmla="*/ 7198830 w 7198830"/>
              <a:gd name="connsiteY1" fmla="*/ 25641 h 1034047"/>
              <a:gd name="connsiteX2" fmla="*/ 4755900 w 7198830"/>
              <a:gd name="connsiteY2" fmla="*/ 1014556 h 1034047"/>
              <a:gd name="connsiteX3" fmla="*/ -2 w 7198830"/>
              <a:gd name="connsiteY3" fmla="*/ 1034047 h 1034047"/>
              <a:gd name="connsiteX4" fmla="*/ 2532605 w 7198830"/>
              <a:gd name="connsiteY4" fmla="*/ 0 h 1034047"/>
              <a:gd name="connsiteX0" fmla="*/ 2552504 w 7218729"/>
              <a:gd name="connsiteY0" fmla="*/ 0 h 1014556"/>
              <a:gd name="connsiteX1" fmla="*/ 7218729 w 7218729"/>
              <a:gd name="connsiteY1" fmla="*/ 25641 h 1014556"/>
              <a:gd name="connsiteX2" fmla="*/ 4775799 w 7218729"/>
              <a:gd name="connsiteY2" fmla="*/ 1014556 h 1014556"/>
              <a:gd name="connsiteX3" fmla="*/ -2 w 7218729"/>
              <a:gd name="connsiteY3" fmla="*/ 960094 h 1014556"/>
              <a:gd name="connsiteX4" fmla="*/ 2552504 w 7218729"/>
              <a:gd name="connsiteY4" fmla="*/ 0 h 1014556"/>
              <a:gd name="connsiteX0" fmla="*/ 3 w 4666228"/>
              <a:gd name="connsiteY0" fmla="*/ 0 h 1014556"/>
              <a:gd name="connsiteX1" fmla="*/ 4666228 w 4666228"/>
              <a:gd name="connsiteY1" fmla="*/ 25641 h 1014556"/>
              <a:gd name="connsiteX2" fmla="*/ 2223298 w 4666228"/>
              <a:gd name="connsiteY2" fmla="*/ 1014556 h 1014556"/>
              <a:gd name="connsiteX3" fmla="*/ 512016 w 4666228"/>
              <a:gd name="connsiteY3" fmla="*/ 911740 h 1014556"/>
              <a:gd name="connsiteX4" fmla="*/ 3 w 4666228"/>
              <a:gd name="connsiteY4" fmla="*/ 0 h 1014556"/>
              <a:gd name="connsiteX0" fmla="*/ 3 w 11620447"/>
              <a:gd name="connsiteY0" fmla="*/ 59958 h 1074514"/>
              <a:gd name="connsiteX1" fmla="*/ 11620453 w 11620447"/>
              <a:gd name="connsiteY1" fmla="*/ 0 h 1074514"/>
              <a:gd name="connsiteX2" fmla="*/ 2223298 w 11620447"/>
              <a:gd name="connsiteY2" fmla="*/ 1074514 h 1074514"/>
              <a:gd name="connsiteX3" fmla="*/ 512016 w 11620447"/>
              <a:gd name="connsiteY3" fmla="*/ 971698 h 1074514"/>
              <a:gd name="connsiteX4" fmla="*/ 3 w 11620447"/>
              <a:gd name="connsiteY4" fmla="*/ 59958 h 1074514"/>
              <a:gd name="connsiteX0" fmla="*/ 7929130 w 11108435"/>
              <a:gd name="connsiteY0" fmla="*/ 0 h 1146422"/>
              <a:gd name="connsiteX1" fmla="*/ 11108441 w 11108435"/>
              <a:gd name="connsiteY1" fmla="*/ 71908 h 1146422"/>
              <a:gd name="connsiteX2" fmla="*/ 1711286 w 11108435"/>
              <a:gd name="connsiteY2" fmla="*/ 1146422 h 1146422"/>
              <a:gd name="connsiteX3" fmla="*/ 4 w 11108435"/>
              <a:gd name="connsiteY3" fmla="*/ 1043606 h 1146422"/>
              <a:gd name="connsiteX4" fmla="*/ 7929130 w 11108435"/>
              <a:gd name="connsiteY4" fmla="*/ 0 h 1146422"/>
              <a:gd name="connsiteX0" fmla="*/ 6718125 w 11108435"/>
              <a:gd name="connsiteY0" fmla="*/ 0 h 1133263"/>
              <a:gd name="connsiteX1" fmla="*/ 11108441 w 11108435"/>
              <a:gd name="connsiteY1" fmla="*/ 58749 h 1133263"/>
              <a:gd name="connsiteX2" fmla="*/ 1711286 w 11108435"/>
              <a:gd name="connsiteY2" fmla="*/ 1133263 h 1133263"/>
              <a:gd name="connsiteX3" fmla="*/ 4 w 11108435"/>
              <a:gd name="connsiteY3" fmla="*/ 1030447 h 1133263"/>
              <a:gd name="connsiteX4" fmla="*/ 6718125 w 11108435"/>
              <a:gd name="connsiteY4" fmla="*/ 0 h 1133263"/>
              <a:gd name="connsiteX0" fmla="*/ 6718125 w 8135879"/>
              <a:gd name="connsiteY0" fmla="*/ 0 h 1133263"/>
              <a:gd name="connsiteX1" fmla="*/ 8135881 w 8135879"/>
              <a:gd name="connsiteY1" fmla="*/ 96066 h 1133263"/>
              <a:gd name="connsiteX2" fmla="*/ 1711286 w 8135879"/>
              <a:gd name="connsiteY2" fmla="*/ 1133263 h 1133263"/>
              <a:gd name="connsiteX3" fmla="*/ 4 w 8135879"/>
              <a:gd name="connsiteY3" fmla="*/ 1030447 h 1133263"/>
              <a:gd name="connsiteX4" fmla="*/ 6718125 w 8135879"/>
              <a:gd name="connsiteY4" fmla="*/ 0 h 113326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135879" h="1133263">
                <a:moveTo>
                  <a:pt x="6718125" y="0"/>
                </a:moveTo>
                <a:lnTo>
                  <a:pt x="8135881" y="96066"/>
                </a:lnTo>
                <a:lnTo>
                  <a:pt x="1711286" y="1133263"/>
                </a:lnTo>
                <a:lnTo>
                  <a:pt x="4" y="1030447"/>
                </a:lnTo>
                <a:lnTo>
                  <a:pt x="6718125" y="0"/>
                </a:lnTo>
                <a:close/>
              </a:path>
            </a:pathLst>
          </a:custGeom>
          <a:solidFill>
            <a:schemeClr val="bg2">
              <a:lumMod val="25000"/>
            </a:schemeClr>
          </a:solidFill>
          <a:ln>
            <a:no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7</xdr:col>
      <xdr:colOff>273877</xdr:colOff>
      <xdr:row>162</xdr:row>
      <xdr:rowOff>91662</xdr:rowOff>
    </xdr:from>
    <xdr:to>
      <xdr:col>12</xdr:col>
      <xdr:colOff>267255</xdr:colOff>
      <xdr:row>172</xdr:row>
      <xdr:rowOff>103052</xdr:rowOff>
    </xdr:to>
    <xdr:grpSp>
      <xdr:nvGrpSpPr>
        <xdr:cNvPr id="103" name="Group 102">
          <a:extLst>
            <a:ext uri="{FF2B5EF4-FFF2-40B4-BE49-F238E27FC236}">
              <a16:creationId xmlns:a16="http://schemas.microsoft.com/office/drawing/2014/main" id="{00000000-0008-0000-0100-000067000000}"/>
            </a:ext>
          </a:extLst>
        </xdr:cNvPr>
        <xdr:cNvGrpSpPr/>
      </xdr:nvGrpSpPr>
      <xdr:grpSpPr>
        <a:xfrm>
          <a:off x="3446116" y="27208923"/>
          <a:ext cx="1442835" cy="1667912"/>
          <a:chOff x="3564835" y="17010271"/>
          <a:chExt cx="1484248" cy="1667911"/>
        </a:xfrm>
      </xdr:grpSpPr>
      <xdr:grpSp>
        <xdr:nvGrpSpPr>
          <xdr:cNvPr id="87" name="Group 86">
            <a:extLst>
              <a:ext uri="{FF2B5EF4-FFF2-40B4-BE49-F238E27FC236}">
                <a16:creationId xmlns:a16="http://schemas.microsoft.com/office/drawing/2014/main" id="{00000000-0008-0000-0100-000057000000}"/>
              </a:ext>
            </a:extLst>
          </xdr:cNvPr>
          <xdr:cNvGrpSpPr/>
        </xdr:nvGrpSpPr>
        <xdr:grpSpPr>
          <a:xfrm>
            <a:off x="3572566" y="17382436"/>
            <a:ext cx="1476517" cy="1295746"/>
            <a:chOff x="3600175" y="17382436"/>
            <a:chExt cx="1476517" cy="1295746"/>
          </a:xfrm>
        </xdr:grpSpPr>
        <xdr:pic>
          <xdr:nvPicPr>
            <xdr:cNvPr id="83" name="Picture 82" descr="file:///C:/Users/trentm/Desktop/Library/Marketing/Advertising/Presenter%20Media/shipping_box_closed_1600_clr_17464.png">
              <a:extLst>
                <a:ext uri="{FF2B5EF4-FFF2-40B4-BE49-F238E27FC236}">
                  <a16:creationId xmlns:a16="http://schemas.microsoft.com/office/drawing/2014/main" id="{00000000-0008-0000-0100-000053000000}"/>
                </a:ext>
              </a:extLst>
            </xdr:cNvPr>
            <xdr:cNvPicPr>
              <a:picLocks noChangeAspect="1" noChangeArrowheads="1"/>
            </xdr:cNvPicPr>
          </xdr:nvPicPr>
          <xdr:blipFill>
            <a:blip xmlns:r="http://schemas.openxmlformats.org/officeDocument/2006/relationships" r:embed="rId5" cstate="hqprint">
              <a:extLst>
                <a:ext uri="{28A0092B-C50C-407E-A947-70E740481C1C}">
                  <a14:useLocalDpi xmlns:a14="http://schemas.microsoft.com/office/drawing/2010/main"/>
                </a:ext>
              </a:extLst>
            </a:blip>
            <a:srcRect/>
            <a:stretch>
              <a:fillRect/>
            </a:stretch>
          </xdr:blipFill>
          <xdr:spPr bwMode="auto">
            <a:xfrm>
              <a:off x="3939217" y="17382436"/>
              <a:ext cx="808390" cy="89266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84" name="Picture 83" descr="file:///C:/Users/trentm/Desktop/Library/Marketing/Advertising/Presenter%20Media/shipping_box_closed_1600_clr_17464.png">
              <a:extLst>
                <a:ext uri="{FF2B5EF4-FFF2-40B4-BE49-F238E27FC236}">
                  <a16:creationId xmlns:a16="http://schemas.microsoft.com/office/drawing/2014/main" id="{00000000-0008-0000-0100-000054000000}"/>
                </a:ext>
              </a:extLst>
            </xdr:cNvPr>
            <xdr:cNvPicPr>
              <a:picLocks noChangeAspect="1" noChangeArrowheads="1"/>
            </xdr:cNvPicPr>
          </xdr:nvPicPr>
          <xdr:blipFill>
            <a:blip xmlns:r="http://schemas.openxmlformats.org/officeDocument/2006/relationships" r:embed="rId5" cstate="hqprint">
              <a:extLst>
                <a:ext uri="{28A0092B-C50C-407E-A947-70E740481C1C}">
                  <a14:useLocalDpi xmlns:a14="http://schemas.microsoft.com/office/drawing/2010/main"/>
                </a:ext>
              </a:extLst>
            </a:blip>
            <a:srcRect/>
            <a:stretch>
              <a:fillRect/>
            </a:stretch>
          </xdr:blipFill>
          <xdr:spPr bwMode="auto">
            <a:xfrm>
              <a:off x="4268302" y="17586740"/>
              <a:ext cx="808390" cy="89266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85" name="Picture 84" descr="file:///C:/Users/trentm/Desktop/Library/Marketing/Advertising/Presenter%20Media/shipping_box_closed_1600_clr_17464.png">
              <a:extLst>
                <a:ext uri="{FF2B5EF4-FFF2-40B4-BE49-F238E27FC236}">
                  <a16:creationId xmlns:a16="http://schemas.microsoft.com/office/drawing/2014/main" id="{00000000-0008-0000-0100-000055000000}"/>
                </a:ext>
              </a:extLst>
            </xdr:cNvPr>
            <xdr:cNvPicPr>
              <a:picLocks noChangeAspect="1" noChangeArrowheads="1"/>
            </xdr:cNvPicPr>
          </xdr:nvPicPr>
          <xdr:blipFill>
            <a:blip xmlns:r="http://schemas.openxmlformats.org/officeDocument/2006/relationships" r:embed="rId5" cstate="hqprint">
              <a:extLst>
                <a:ext uri="{28A0092B-C50C-407E-A947-70E740481C1C}">
                  <a14:useLocalDpi xmlns:a14="http://schemas.microsoft.com/office/drawing/2010/main"/>
                </a:ext>
              </a:extLst>
            </a:blip>
            <a:srcRect/>
            <a:stretch>
              <a:fillRect/>
            </a:stretch>
          </xdr:blipFill>
          <xdr:spPr bwMode="auto">
            <a:xfrm>
              <a:off x="3600175" y="17586741"/>
              <a:ext cx="808390" cy="89266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86" name="Picture 85" descr="file:///C:/Users/trentm/Desktop/Library/Marketing/Advertising/Presenter%20Media/shipping_box_closed_1600_clr_17464.png">
              <a:extLst>
                <a:ext uri="{FF2B5EF4-FFF2-40B4-BE49-F238E27FC236}">
                  <a16:creationId xmlns:a16="http://schemas.microsoft.com/office/drawing/2014/main" id="{00000000-0008-0000-0100-000056000000}"/>
                </a:ext>
              </a:extLst>
            </xdr:cNvPr>
            <xdr:cNvPicPr>
              <a:picLocks noChangeAspect="1" noChangeArrowheads="1"/>
            </xdr:cNvPicPr>
          </xdr:nvPicPr>
          <xdr:blipFill>
            <a:blip xmlns:r="http://schemas.openxmlformats.org/officeDocument/2006/relationships" r:embed="rId5" cstate="hqprint">
              <a:extLst>
                <a:ext uri="{28A0092B-C50C-407E-A947-70E740481C1C}">
                  <a14:useLocalDpi xmlns:a14="http://schemas.microsoft.com/office/drawing/2010/main"/>
                </a:ext>
              </a:extLst>
            </a:blip>
            <a:srcRect/>
            <a:stretch>
              <a:fillRect/>
            </a:stretch>
          </xdr:blipFill>
          <xdr:spPr bwMode="auto">
            <a:xfrm>
              <a:off x="3934784" y="17785522"/>
              <a:ext cx="808390" cy="892660"/>
            </a:xfrm>
            <a:prstGeom prst="rect">
              <a:avLst/>
            </a:prstGeom>
            <a:noFill/>
            <a:extLst>
              <a:ext uri="{909E8E84-426E-40DD-AFC4-6F175D3DCCD1}">
                <a14:hiddenFill xmlns:a14="http://schemas.microsoft.com/office/drawing/2010/main">
                  <a:solidFill>
                    <a:srgbClr val="FFFFFF"/>
                  </a:solidFill>
                </a14:hiddenFill>
              </a:ext>
            </a:extLst>
          </xdr:spPr>
        </xdr:pic>
      </xdr:grpSp>
      <xdr:grpSp>
        <xdr:nvGrpSpPr>
          <xdr:cNvPr id="88" name="Group 87">
            <a:extLst>
              <a:ext uri="{FF2B5EF4-FFF2-40B4-BE49-F238E27FC236}">
                <a16:creationId xmlns:a16="http://schemas.microsoft.com/office/drawing/2014/main" id="{00000000-0008-0000-0100-000058000000}"/>
              </a:ext>
            </a:extLst>
          </xdr:cNvPr>
          <xdr:cNvGrpSpPr/>
        </xdr:nvGrpSpPr>
        <xdr:grpSpPr>
          <a:xfrm>
            <a:off x="3564835" y="17010271"/>
            <a:ext cx="1476517" cy="1295746"/>
            <a:chOff x="3600175" y="17382436"/>
            <a:chExt cx="1476517" cy="1295746"/>
          </a:xfrm>
        </xdr:grpSpPr>
        <xdr:pic>
          <xdr:nvPicPr>
            <xdr:cNvPr id="89" name="Picture 88" descr="file:///C:/Users/trentm/Desktop/Library/Marketing/Advertising/Presenter%20Media/shipping_box_closed_1600_clr_17464.png">
              <a:extLst>
                <a:ext uri="{FF2B5EF4-FFF2-40B4-BE49-F238E27FC236}">
                  <a16:creationId xmlns:a16="http://schemas.microsoft.com/office/drawing/2014/main" id="{00000000-0008-0000-0100-000059000000}"/>
                </a:ext>
              </a:extLst>
            </xdr:cNvPr>
            <xdr:cNvPicPr>
              <a:picLocks noChangeAspect="1" noChangeArrowheads="1"/>
            </xdr:cNvPicPr>
          </xdr:nvPicPr>
          <xdr:blipFill>
            <a:blip xmlns:r="http://schemas.openxmlformats.org/officeDocument/2006/relationships" r:embed="rId5" cstate="hqprint">
              <a:extLst>
                <a:ext uri="{28A0092B-C50C-407E-A947-70E740481C1C}">
                  <a14:useLocalDpi xmlns:a14="http://schemas.microsoft.com/office/drawing/2010/main"/>
                </a:ext>
              </a:extLst>
            </a:blip>
            <a:srcRect/>
            <a:stretch>
              <a:fillRect/>
            </a:stretch>
          </xdr:blipFill>
          <xdr:spPr bwMode="auto">
            <a:xfrm>
              <a:off x="3939217" y="17382436"/>
              <a:ext cx="808390" cy="89266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90" name="Picture 89" descr="file:///C:/Users/trentm/Desktop/Library/Marketing/Advertising/Presenter%20Media/shipping_box_closed_1600_clr_17464.png">
              <a:extLst>
                <a:ext uri="{FF2B5EF4-FFF2-40B4-BE49-F238E27FC236}">
                  <a16:creationId xmlns:a16="http://schemas.microsoft.com/office/drawing/2014/main" id="{00000000-0008-0000-0100-00005A000000}"/>
                </a:ext>
              </a:extLst>
            </xdr:cNvPr>
            <xdr:cNvPicPr>
              <a:picLocks noChangeAspect="1" noChangeArrowheads="1"/>
            </xdr:cNvPicPr>
          </xdr:nvPicPr>
          <xdr:blipFill>
            <a:blip xmlns:r="http://schemas.openxmlformats.org/officeDocument/2006/relationships" r:embed="rId5" cstate="hqprint">
              <a:extLst>
                <a:ext uri="{28A0092B-C50C-407E-A947-70E740481C1C}">
                  <a14:useLocalDpi xmlns:a14="http://schemas.microsoft.com/office/drawing/2010/main"/>
                </a:ext>
              </a:extLst>
            </a:blip>
            <a:srcRect/>
            <a:stretch>
              <a:fillRect/>
            </a:stretch>
          </xdr:blipFill>
          <xdr:spPr bwMode="auto">
            <a:xfrm>
              <a:off x="4268302" y="17586740"/>
              <a:ext cx="808390" cy="89266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91" name="Picture 90" descr="file:///C:/Users/trentm/Desktop/Library/Marketing/Advertising/Presenter%20Media/shipping_box_closed_1600_clr_17464.png">
              <a:extLst>
                <a:ext uri="{FF2B5EF4-FFF2-40B4-BE49-F238E27FC236}">
                  <a16:creationId xmlns:a16="http://schemas.microsoft.com/office/drawing/2014/main" id="{00000000-0008-0000-0100-00005B000000}"/>
                </a:ext>
              </a:extLst>
            </xdr:cNvPr>
            <xdr:cNvPicPr>
              <a:picLocks noChangeAspect="1" noChangeArrowheads="1"/>
            </xdr:cNvPicPr>
          </xdr:nvPicPr>
          <xdr:blipFill>
            <a:blip xmlns:r="http://schemas.openxmlformats.org/officeDocument/2006/relationships" r:embed="rId5" cstate="hqprint">
              <a:extLst>
                <a:ext uri="{28A0092B-C50C-407E-A947-70E740481C1C}">
                  <a14:useLocalDpi xmlns:a14="http://schemas.microsoft.com/office/drawing/2010/main"/>
                </a:ext>
              </a:extLst>
            </a:blip>
            <a:srcRect/>
            <a:stretch>
              <a:fillRect/>
            </a:stretch>
          </xdr:blipFill>
          <xdr:spPr bwMode="auto">
            <a:xfrm>
              <a:off x="3600175" y="17586741"/>
              <a:ext cx="808390" cy="89266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92" name="Picture 91" descr="file:///C:/Users/trentm/Desktop/Library/Marketing/Advertising/Presenter%20Media/shipping_box_closed_1600_clr_17464.png">
              <a:extLst>
                <a:ext uri="{FF2B5EF4-FFF2-40B4-BE49-F238E27FC236}">
                  <a16:creationId xmlns:a16="http://schemas.microsoft.com/office/drawing/2014/main" id="{00000000-0008-0000-0100-00005C000000}"/>
                </a:ext>
              </a:extLst>
            </xdr:cNvPr>
            <xdr:cNvPicPr>
              <a:picLocks noChangeAspect="1" noChangeArrowheads="1"/>
            </xdr:cNvPicPr>
          </xdr:nvPicPr>
          <xdr:blipFill>
            <a:blip xmlns:r="http://schemas.openxmlformats.org/officeDocument/2006/relationships" r:embed="rId5" cstate="hqprint">
              <a:extLst>
                <a:ext uri="{28A0092B-C50C-407E-A947-70E740481C1C}">
                  <a14:useLocalDpi xmlns:a14="http://schemas.microsoft.com/office/drawing/2010/main"/>
                </a:ext>
              </a:extLst>
            </a:blip>
            <a:srcRect/>
            <a:stretch>
              <a:fillRect/>
            </a:stretch>
          </xdr:blipFill>
          <xdr:spPr bwMode="auto">
            <a:xfrm>
              <a:off x="3934784" y="17785522"/>
              <a:ext cx="808390" cy="892660"/>
            </a:xfrm>
            <a:prstGeom prst="rect">
              <a:avLst/>
            </a:prstGeom>
            <a:noFill/>
            <a:extLst>
              <a:ext uri="{909E8E84-426E-40DD-AFC4-6F175D3DCCD1}">
                <a14:hiddenFill xmlns:a14="http://schemas.microsoft.com/office/drawing/2010/main">
                  <a:solidFill>
                    <a:srgbClr val="FFFFFF"/>
                  </a:solidFill>
                </a14:hiddenFill>
              </a:ext>
            </a:extLst>
          </xdr:spPr>
        </xdr:pic>
      </xdr:grpSp>
    </xdr:grpSp>
    <xdr:clientData/>
  </xdr:twoCellAnchor>
  <xdr:twoCellAnchor>
    <xdr:from>
      <xdr:col>9</xdr:col>
      <xdr:colOff>80126</xdr:colOff>
      <xdr:row>174</xdr:row>
      <xdr:rowOff>62825</xdr:rowOff>
    </xdr:from>
    <xdr:to>
      <xdr:col>13</xdr:col>
      <xdr:colOff>255430</xdr:colOff>
      <xdr:row>175</xdr:row>
      <xdr:rowOff>161733</xdr:rowOff>
    </xdr:to>
    <xdr:grpSp>
      <xdr:nvGrpSpPr>
        <xdr:cNvPr id="116" name="Group 115">
          <a:extLst>
            <a:ext uri="{FF2B5EF4-FFF2-40B4-BE49-F238E27FC236}">
              <a16:creationId xmlns:a16="http://schemas.microsoft.com/office/drawing/2014/main" id="{00000000-0008-0000-0100-000074000000}"/>
            </a:ext>
          </a:extLst>
        </xdr:cNvPr>
        <xdr:cNvGrpSpPr/>
      </xdr:nvGrpSpPr>
      <xdr:grpSpPr>
        <a:xfrm>
          <a:off x="3832148" y="29167912"/>
          <a:ext cx="1334869" cy="264560"/>
          <a:chOff x="7836544" y="13476987"/>
          <a:chExt cx="2267238" cy="264560"/>
        </a:xfrm>
      </xdr:grpSpPr>
      <xdr:sp macro="" textlink="">
        <xdr:nvSpPr>
          <xdr:cNvPr id="117" name="Left Bracket 116">
            <a:extLst>
              <a:ext uri="{FF2B5EF4-FFF2-40B4-BE49-F238E27FC236}">
                <a16:creationId xmlns:a16="http://schemas.microsoft.com/office/drawing/2014/main" id="{00000000-0008-0000-0100-000075000000}"/>
              </a:ext>
            </a:extLst>
          </xdr:cNvPr>
          <xdr:cNvSpPr/>
        </xdr:nvSpPr>
        <xdr:spPr>
          <a:xfrm rot="14335518">
            <a:off x="8947303" y="12386848"/>
            <a:ext cx="45719" cy="2267238"/>
          </a:xfrm>
          <a:prstGeom prst="leftBracket">
            <a:avLst/>
          </a:prstGeom>
        </xdr:spPr>
        <xdr:style>
          <a:lnRef idx="1">
            <a:schemeClr val="accent3"/>
          </a:lnRef>
          <a:fillRef idx="0">
            <a:schemeClr val="accent3"/>
          </a:fillRef>
          <a:effectRef idx="0">
            <a:schemeClr val="accent3"/>
          </a:effectRef>
          <a:fontRef idx="minor">
            <a:schemeClr val="tx1"/>
          </a:fontRef>
        </xdr:style>
        <xdr:txBody>
          <a:bodyPr vertOverflow="clip" horzOverflow="clip" rtlCol="0" anchor="t"/>
          <a:lstStyle/>
          <a:p>
            <a:pPr algn="l"/>
            <a:endParaRPr lang="en-AU" sz="1100"/>
          </a:p>
        </xdr:txBody>
      </xdr:sp>
      <xdr:sp macro="" textlink="">
        <xdr:nvSpPr>
          <xdr:cNvPr id="118" name="TextBox 117">
            <a:extLst>
              <a:ext uri="{FF2B5EF4-FFF2-40B4-BE49-F238E27FC236}">
                <a16:creationId xmlns:a16="http://schemas.microsoft.com/office/drawing/2014/main" id="{00000000-0008-0000-0100-000076000000}"/>
              </a:ext>
            </a:extLst>
          </xdr:cNvPr>
          <xdr:cNvSpPr txBox="1"/>
        </xdr:nvSpPr>
        <xdr:spPr>
          <a:xfrm rot="19759004">
            <a:off x="8090403" y="13476987"/>
            <a:ext cx="199234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chemeClr val="accent3">
                    <a:lumMod val="60000"/>
                    <a:lumOff val="40000"/>
                  </a:schemeClr>
                </a:solidFill>
              </a:rPr>
              <a:t>Stroke Length</a:t>
            </a:r>
          </a:p>
        </xdr:txBody>
      </xdr:sp>
    </xdr:grpSp>
    <xdr:clientData/>
  </xdr:twoCellAnchor>
  <xdr:twoCellAnchor>
    <xdr:from>
      <xdr:col>5</xdr:col>
      <xdr:colOff>83415</xdr:colOff>
      <xdr:row>166</xdr:row>
      <xdr:rowOff>89193</xdr:rowOff>
    </xdr:from>
    <xdr:to>
      <xdr:col>6</xdr:col>
      <xdr:colOff>52578</xdr:colOff>
      <xdr:row>175</xdr:row>
      <xdr:rowOff>62250</xdr:rowOff>
    </xdr:to>
    <xdr:grpSp>
      <xdr:nvGrpSpPr>
        <xdr:cNvPr id="120" name="Group 119">
          <a:extLst>
            <a:ext uri="{FF2B5EF4-FFF2-40B4-BE49-F238E27FC236}">
              <a16:creationId xmlns:a16="http://schemas.microsoft.com/office/drawing/2014/main" id="{00000000-0008-0000-0100-000078000000}"/>
            </a:ext>
          </a:extLst>
        </xdr:cNvPr>
        <xdr:cNvGrpSpPr/>
      </xdr:nvGrpSpPr>
      <xdr:grpSpPr>
        <a:xfrm rot="3510164">
          <a:off x="2073436" y="28471499"/>
          <a:ext cx="1463926" cy="259054"/>
          <a:chOff x="7896858" y="12445226"/>
          <a:chExt cx="1822174" cy="267337"/>
        </a:xfrm>
      </xdr:grpSpPr>
      <xdr:sp macro="" textlink="">
        <xdr:nvSpPr>
          <xdr:cNvPr id="121" name="Left Bracket 120">
            <a:extLst>
              <a:ext uri="{FF2B5EF4-FFF2-40B4-BE49-F238E27FC236}">
                <a16:creationId xmlns:a16="http://schemas.microsoft.com/office/drawing/2014/main" id="{00000000-0008-0000-0100-000079000000}"/>
              </a:ext>
            </a:extLst>
          </xdr:cNvPr>
          <xdr:cNvSpPr/>
        </xdr:nvSpPr>
        <xdr:spPr>
          <a:xfrm rot="18035973">
            <a:off x="8785085" y="11556999"/>
            <a:ext cx="45719" cy="1822174"/>
          </a:xfrm>
          <a:prstGeom prst="leftBracket">
            <a:avLst/>
          </a:prstGeom>
        </xdr:spPr>
        <xdr:style>
          <a:lnRef idx="1">
            <a:schemeClr val="accent3"/>
          </a:lnRef>
          <a:fillRef idx="0">
            <a:schemeClr val="accent3"/>
          </a:fillRef>
          <a:effectRef idx="0">
            <a:schemeClr val="accent3"/>
          </a:effectRef>
          <a:fontRef idx="minor">
            <a:schemeClr val="tx1"/>
          </a:fontRef>
        </xdr:style>
        <xdr:txBody>
          <a:bodyPr vertOverflow="clip" horzOverflow="clip" rtlCol="0" anchor="t"/>
          <a:lstStyle/>
          <a:p>
            <a:pPr algn="l"/>
            <a:endParaRPr lang="en-AU" sz="1100"/>
          </a:p>
        </xdr:txBody>
      </xdr:sp>
      <xdr:sp macro="" textlink="">
        <xdr:nvSpPr>
          <xdr:cNvPr id="122" name="TextBox 121">
            <a:extLst>
              <a:ext uri="{FF2B5EF4-FFF2-40B4-BE49-F238E27FC236}">
                <a16:creationId xmlns:a16="http://schemas.microsoft.com/office/drawing/2014/main" id="{00000000-0008-0000-0100-00007A000000}"/>
              </a:ext>
            </a:extLst>
          </xdr:cNvPr>
          <xdr:cNvSpPr txBox="1"/>
        </xdr:nvSpPr>
        <xdr:spPr>
          <a:xfrm rot="1916470">
            <a:off x="8013607" y="12448003"/>
            <a:ext cx="130938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chemeClr val="accent3">
                    <a:lumMod val="60000"/>
                    <a:lumOff val="40000"/>
                  </a:schemeClr>
                </a:solidFill>
              </a:rPr>
              <a:t>Height to Label</a:t>
            </a:r>
          </a:p>
        </xdr:txBody>
      </xdr:sp>
    </xdr:grpSp>
    <xdr:clientData/>
  </xdr:twoCellAnchor>
  <xdr:twoCellAnchor>
    <xdr:from>
      <xdr:col>5</xdr:col>
      <xdr:colOff>71783</xdr:colOff>
      <xdr:row>174</xdr:row>
      <xdr:rowOff>22087</xdr:rowOff>
    </xdr:from>
    <xdr:to>
      <xdr:col>11</xdr:col>
      <xdr:colOff>129553</xdr:colOff>
      <xdr:row>175</xdr:row>
      <xdr:rowOff>120995</xdr:rowOff>
    </xdr:to>
    <xdr:grpSp>
      <xdr:nvGrpSpPr>
        <xdr:cNvPr id="150" name="Group 149">
          <a:extLst>
            <a:ext uri="{FF2B5EF4-FFF2-40B4-BE49-F238E27FC236}">
              <a16:creationId xmlns:a16="http://schemas.microsoft.com/office/drawing/2014/main" id="{00000000-0008-0000-0100-000096000000}"/>
            </a:ext>
          </a:extLst>
        </xdr:cNvPr>
        <xdr:cNvGrpSpPr/>
      </xdr:nvGrpSpPr>
      <xdr:grpSpPr>
        <a:xfrm>
          <a:off x="2664240" y="29127174"/>
          <a:ext cx="1797117" cy="264560"/>
          <a:chOff x="7800520" y="13555869"/>
          <a:chExt cx="2050844" cy="264560"/>
        </a:xfrm>
      </xdr:grpSpPr>
      <xdr:sp macro="" textlink="">
        <xdr:nvSpPr>
          <xdr:cNvPr id="151" name="Left Bracket 150">
            <a:extLst>
              <a:ext uri="{FF2B5EF4-FFF2-40B4-BE49-F238E27FC236}">
                <a16:creationId xmlns:a16="http://schemas.microsoft.com/office/drawing/2014/main" id="{00000000-0008-0000-0100-000097000000}"/>
              </a:ext>
            </a:extLst>
          </xdr:cNvPr>
          <xdr:cNvSpPr/>
        </xdr:nvSpPr>
        <xdr:spPr>
          <a:xfrm rot="14335518">
            <a:off x="8756705" y="12678686"/>
            <a:ext cx="45719" cy="1822174"/>
          </a:xfrm>
          <a:prstGeom prst="leftBracket">
            <a:avLst/>
          </a:prstGeom>
        </xdr:spPr>
        <xdr:style>
          <a:lnRef idx="1">
            <a:schemeClr val="accent3"/>
          </a:lnRef>
          <a:fillRef idx="0">
            <a:schemeClr val="accent3"/>
          </a:fillRef>
          <a:effectRef idx="0">
            <a:schemeClr val="accent3"/>
          </a:effectRef>
          <a:fontRef idx="minor">
            <a:schemeClr val="tx1"/>
          </a:fontRef>
        </xdr:style>
        <xdr:txBody>
          <a:bodyPr vertOverflow="clip" horzOverflow="clip" rtlCol="0" anchor="t"/>
          <a:lstStyle/>
          <a:p>
            <a:pPr algn="l"/>
            <a:endParaRPr lang="en-AU" sz="1100"/>
          </a:p>
        </xdr:txBody>
      </xdr:sp>
      <xdr:sp macro="" textlink="">
        <xdr:nvSpPr>
          <xdr:cNvPr id="152" name="TextBox 151">
            <a:extLst>
              <a:ext uri="{FF2B5EF4-FFF2-40B4-BE49-F238E27FC236}">
                <a16:creationId xmlns:a16="http://schemas.microsoft.com/office/drawing/2014/main" id="{00000000-0008-0000-0100-000098000000}"/>
              </a:ext>
            </a:extLst>
          </xdr:cNvPr>
          <xdr:cNvSpPr txBox="1"/>
        </xdr:nvSpPr>
        <xdr:spPr>
          <a:xfrm rot="19759004">
            <a:off x="7800520" y="13555869"/>
            <a:ext cx="205084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chemeClr val="accent3">
                    <a:lumMod val="60000"/>
                    <a:lumOff val="40000"/>
                  </a:schemeClr>
                </a:solidFill>
              </a:rPr>
              <a:t>Distance to</a:t>
            </a:r>
            <a:r>
              <a:rPr lang="en-AU" sz="1100" baseline="0">
                <a:solidFill>
                  <a:schemeClr val="accent3">
                    <a:lumMod val="60000"/>
                    <a:lumOff val="40000"/>
                  </a:schemeClr>
                </a:solidFill>
              </a:rPr>
              <a:t> applicator</a:t>
            </a:r>
            <a:endParaRPr lang="en-AU" sz="1100">
              <a:solidFill>
                <a:schemeClr val="accent3">
                  <a:lumMod val="60000"/>
                  <a:lumOff val="40000"/>
                </a:schemeClr>
              </a:solidFill>
            </a:endParaRPr>
          </a:p>
        </xdr:txBody>
      </xdr:sp>
    </xdr:grpSp>
    <xdr:clientData/>
  </xdr:twoCellAnchor>
  <xdr:twoCellAnchor editAs="oneCell">
    <xdr:from>
      <xdr:col>18</xdr:col>
      <xdr:colOff>231912</xdr:colOff>
      <xdr:row>88</xdr:row>
      <xdr:rowOff>88350</xdr:rowOff>
    </xdr:from>
    <xdr:to>
      <xdr:col>22</xdr:col>
      <xdr:colOff>22087</xdr:colOff>
      <xdr:row>93</xdr:row>
      <xdr:rowOff>162153</xdr:rowOff>
    </xdr:to>
    <xdr:pic>
      <xdr:nvPicPr>
        <xdr:cNvPr id="119" name="Picture 118" descr="https://sharepoint.matthews.com.au/sales/Application%20Photos%20%20Videos/Autolabel/Photos/T63.jpg">
          <a:extLst>
            <a:ext uri="{FF2B5EF4-FFF2-40B4-BE49-F238E27FC236}">
              <a16:creationId xmlns:a16="http://schemas.microsoft.com/office/drawing/2014/main" id="{00000000-0008-0000-0100-000077000000}"/>
            </a:ext>
          </a:extLst>
        </xdr:cNvPr>
        <xdr:cNvPicPr>
          <a:picLocks noChangeAspect="1" noChangeArrowheads="1"/>
        </xdr:cNvPicPr>
      </xdr:nvPicPr>
      <xdr:blipFill>
        <a:blip xmlns:r="http://schemas.openxmlformats.org/officeDocument/2006/relationships" r:embed="rId6" cstate="hqprint">
          <a:extLst>
            <a:ext uri="{BEBA8EAE-BF5A-486C-A8C5-ECC9F3942E4B}">
              <a14:imgProps xmlns:a14="http://schemas.microsoft.com/office/drawing/2010/main">
                <a14:imgLayer r:embed="rId7">
                  <a14:imgEffect>
                    <a14:backgroundRemoval t="0" b="93633" l="10000" r="90000">
                      <a14:foregroundMark x1="33125" y1="33333" x2="52756" y2="8396"/>
                      <a14:foregroundMark x1="52756" y1="8396" x2="52756" y2="8396"/>
                      <a14:foregroundMark x1="43438" y1="93664" x2="50313" y2="91105"/>
                      <a14:foregroundMark x1="63920" y1="28340" x2="68693" y2="26186"/>
                      <a14:foregroundMark x1="54347" y1="6648" x2="62585" y2="7772"/>
                      <a14:foregroundMark x1="62585" y1="7772" x2="69631" y2="7366"/>
                      <a14:foregroundMark x1="74034" y1="8396" x2="74034" y2="0"/>
                      <a14:foregroundMark x1="33324" y1="22285" x2="38210" y2="13795"/>
                      <a14:foregroundMark x1="38210" y1="13795" x2="45455" y2="9395"/>
                      <a14:foregroundMark x1="45455" y1="9395" x2="52841" y2="8989"/>
                      <a14:foregroundMark x1="52642" y1="6242" x2="59773" y2="6866"/>
                      <a14:foregroundMark x1="73210" y1="2871" x2="72727" y2="718"/>
                    </a14:backgroundRemoval>
                  </a14:imgEffect>
                </a14:imgLayer>
              </a14:imgProps>
            </a:ext>
            <a:ext uri="{28A0092B-C50C-407E-A947-70E740481C1C}">
              <a14:useLocalDpi xmlns:a14="http://schemas.microsoft.com/office/drawing/2010/main"/>
            </a:ext>
          </a:extLst>
        </a:blip>
        <a:srcRect/>
        <a:stretch>
          <a:fillRect/>
        </a:stretch>
      </xdr:blipFill>
      <xdr:spPr bwMode="auto">
        <a:xfrm>
          <a:off x="6786216" y="10855741"/>
          <a:ext cx="982871" cy="902064"/>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22</xdr:col>
      <xdr:colOff>228228</xdr:colOff>
      <xdr:row>88</xdr:row>
      <xdr:rowOff>88350</xdr:rowOff>
    </xdr:from>
    <xdr:to>
      <xdr:col>25</xdr:col>
      <xdr:colOff>397563</xdr:colOff>
      <xdr:row>94</xdr:row>
      <xdr:rowOff>70829</xdr:rowOff>
    </xdr:to>
    <xdr:pic>
      <xdr:nvPicPr>
        <xdr:cNvPr id="126" name="Picture 125" descr="https://sharepoint.matthews.com.au/sales/Application%20Photos%20%20Videos/Autolabel/Photos/T63.jpg">
          <a:extLst>
            <a:ext uri="{FF2B5EF4-FFF2-40B4-BE49-F238E27FC236}">
              <a16:creationId xmlns:a16="http://schemas.microsoft.com/office/drawing/2014/main" id="{00000000-0008-0000-0100-00007E000000}"/>
            </a:ext>
          </a:extLst>
        </xdr:cNvPr>
        <xdr:cNvPicPr>
          <a:picLocks noChangeAspect="1" noChangeArrowheads="1"/>
        </xdr:cNvPicPr>
      </xdr:nvPicPr>
      <xdr:blipFill>
        <a:blip xmlns:r="http://schemas.openxmlformats.org/officeDocument/2006/relationships" r:embed="rId8" cstate="hqprint">
          <a:extLst>
            <a:ext uri="{BEBA8EAE-BF5A-486C-A8C5-ECC9F3942E4B}">
              <a14:imgProps xmlns:a14="http://schemas.microsoft.com/office/drawing/2010/main">
                <a14:imgLayer r:embed="rId9">
                  <a14:imgEffect>
                    <a14:backgroundRemoval t="0" b="93633" l="10000" r="90000">
                      <a14:foregroundMark x1="33125" y1="33333" x2="52756" y2="8396"/>
                      <a14:foregroundMark x1="52756" y1="8396" x2="52756" y2="8396"/>
                      <a14:foregroundMark x1="43438" y1="93664" x2="50313" y2="91105"/>
                      <a14:foregroundMark x1="63920" y1="28340" x2="68693" y2="26186"/>
                      <a14:foregroundMark x1="54347" y1="6648" x2="62585" y2="7772"/>
                      <a14:foregroundMark x1="62585" y1="7772" x2="69631" y2="7366"/>
                      <a14:foregroundMark x1="74034" y1="8396" x2="74034" y2="0"/>
                      <a14:foregroundMark x1="33324" y1="22285" x2="38210" y2="13795"/>
                      <a14:foregroundMark x1="38210" y1="13795" x2="45455" y2="9395"/>
                      <a14:foregroundMark x1="45455" y1="9395" x2="52841" y2="8989"/>
                      <a14:foregroundMark x1="52642" y1="6242" x2="59773" y2="6866"/>
                      <a14:foregroundMark x1="73210" y1="2871" x2="72727" y2="718"/>
                    </a14:backgroundRemoval>
                  </a14:imgEffect>
                </a14:imgLayer>
              </a14:imgProps>
            </a:ext>
            <a:ext uri="{28A0092B-C50C-407E-A947-70E740481C1C}">
              <a14:useLocalDpi xmlns:a14="http://schemas.microsoft.com/office/drawing/2010/main"/>
            </a:ext>
          </a:extLst>
        </a:blip>
        <a:srcRect/>
        <a:stretch>
          <a:fillRect/>
        </a:stretch>
      </xdr:blipFill>
      <xdr:spPr bwMode="auto">
        <a:xfrm>
          <a:off x="7975228" y="10855741"/>
          <a:ext cx="1063857" cy="976392"/>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oneCellAnchor>
    <xdr:from>
      <xdr:col>2</xdr:col>
      <xdr:colOff>568739</xdr:colOff>
      <xdr:row>90</xdr:row>
      <xdr:rowOff>160131</xdr:rowOff>
    </xdr:from>
    <xdr:ext cx="1893147" cy="264560"/>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1667565" y="11496261"/>
          <a:ext cx="189314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chemeClr val="accent6">
                  <a:lumMod val="75000"/>
                </a:schemeClr>
              </a:solidFill>
            </a:rPr>
            <a:t>1. Select &amp; Place Machine -</a:t>
          </a:r>
          <a:r>
            <a:rPr lang="en-AU" sz="1100" baseline="0">
              <a:solidFill>
                <a:schemeClr val="accent6">
                  <a:lumMod val="75000"/>
                </a:schemeClr>
              </a:solidFill>
            </a:rPr>
            <a:t>--</a:t>
          </a:r>
          <a:r>
            <a:rPr lang="en-AU" sz="1100">
              <a:solidFill>
                <a:schemeClr val="accent6">
                  <a:lumMod val="75000"/>
                </a:schemeClr>
              </a:solidFill>
            </a:rPr>
            <a:t>&gt;</a:t>
          </a:r>
        </a:p>
      </xdr:txBody>
    </xdr:sp>
    <xdr:clientData/>
  </xdr:oneCellAnchor>
  <xdr:oneCellAnchor>
    <xdr:from>
      <xdr:col>2</xdr:col>
      <xdr:colOff>568739</xdr:colOff>
      <xdr:row>97</xdr:row>
      <xdr:rowOff>115957</xdr:rowOff>
    </xdr:from>
    <xdr:ext cx="2405338" cy="264560"/>
    <xdr:sp macro="" textlink="">
      <xdr:nvSpPr>
        <xdr:cNvPr id="214" name="TextBox 213">
          <a:extLst>
            <a:ext uri="{FF2B5EF4-FFF2-40B4-BE49-F238E27FC236}">
              <a16:creationId xmlns:a16="http://schemas.microsoft.com/office/drawing/2014/main" id="{00000000-0008-0000-0100-0000D6000000}"/>
            </a:ext>
          </a:extLst>
        </xdr:cNvPr>
        <xdr:cNvSpPr txBox="1"/>
      </xdr:nvSpPr>
      <xdr:spPr>
        <a:xfrm>
          <a:off x="1667565" y="12611653"/>
          <a:ext cx="240533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AU" sz="1100">
              <a:solidFill>
                <a:schemeClr val="accent6">
                  <a:lumMod val="75000"/>
                </a:schemeClr>
              </a:solidFill>
            </a:rPr>
            <a:t>2. Select &amp; place Label onto carton </a:t>
          </a:r>
          <a:r>
            <a:rPr lang="en-AU" sz="1100">
              <a:solidFill>
                <a:schemeClr val="accent6">
                  <a:lumMod val="75000"/>
                </a:schemeClr>
              </a:solidFill>
              <a:effectLst/>
              <a:latin typeface="+mn-lt"/>
              <a:ea typeface="+mn-ea"/>
              <a:cs typeface="+mn-cs"/>
            </a:rPr>
            <a:t>-</a:t>
          </a:r>
          <a:r>
            <a:rPr lang="en-AU" sz="1100" baseline="0">
              <a:solidFill>
                <a:schemeClr val="accent6">
                  <a:lumMod val="75000"/>
                </a:schemeClr>
              </a:solidFill>
              <a:effectLst/>
              <a:latin typeface="+mn-lt"/>
              <a:ea typeface="+mn-ea"/>
              <a:cs typeface="+mn-cs"/>
            </a:rPr>
            <a:t>--</a:t>
          </a:r>
          <a:r>
            <a:rPr lang="en-AU" sz="1100">
              <a:solidFill>
                <a:schemeClr val="accent6">
                  <a:lumMod val="75000"/>
                </a:schemeClr>
              </a:solidFill>
              <a:effectLst/>
              <a:latin typeface="+mn-lt"/>
              <a:ea typeface="+mn-ea"/>
              <a:cs typeface="+mn-cs"/>
            </a:rPr>
            <a:t>&gt;</a:t>
          </a:r>
          <a:endParaRPr lang="en-AU">
            <a:solidFill>
              <a:schemeClr val="accent6">
                <a:lumMod val="75000"/>
              </a:schemeClr>
            </a:solidFill>
            <a:effectLst/>
          </a:endParaRPr>
        </a:p>
      </xdr:txBody>
    </xdr:sp>
    <xdr:clientData/>
  </xdr:oneCellAnchor>
  <xdr:oneCellAnchor>
    <xdr:from>
      <xdr:col>2</xdr:col>
      <xdr:colOff>574261</xdr:colOff>
      <xdr:row>130</xdr:row>
      <xdr:rowOff>60740</xdr:rowOff>
    </xdr:from>
    <xdr:ext cx="1746119" cy="264560"/>
    <xdr:sp macro="" textlink="">
      <xdr:nvSpPr>
        <xdr:cNvPr id="215" name="TextBox 214">
          <a:extLst>
            <a:ext uri="{FF2B5EF4-FFF2-40B4-BE49-F238E27FC236}">
              <a16:creationId xmlns:a16="http://schemas.microsoft.com/office/drawing/2014/main" id="{00000000-0008-0000-0100-0000D7000000}"/>
            </a:ext>
          </a:extLst>
        </xdr:cNvPr>
        <xdr:cNvSpPr txBox="1"/>
      </xdr:nvSpPr>
      <xdr:spPr>
        <a:xfrm>
          <a:off x="1673087" y="18022957"/>
          <a:ext cx="174611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chemeClr val="accent6">
                  <a:lumMod val="75000"/>
                </a:schemeClr>
              </a:solidFill>
            </a:rPr>
            <a:t>4. Fill in measurements ---&gt;</a:t>
          </a:r>
        </a:p>
      </xdr:txBody>
    </xdr:sp>
    <xdr:clientData/>
  </xdr:oneCellAnchor>
  <xdr:twoCellAnchor editAs="oneCell">
    <xdr:from>
      <xdr:col>20</xdr:col>
      <xdr:colOff>215350</xdr:colOff>
      <xdr:row>141</xdr:row>
      <xdr:rowOff>176694</xdr:rowOff>
    </xdr:from>
    <xdr:to>
      <xdr:col>23</xdr:col>
      <xdr:colOff>216974</xdr:colOff>
      <xdr:row>146</xdr:row>
      <xdr:rowOff>115685</xdr:rowOff>
    </xdr:to>
    <xdr:pic>
      <xdr:nvPicPr>
        <xdr:cNvPr id="216" name="Picture 215" descr="https://sharepoint.matthews.com.au/sales/Application%20Photos%20%20Videos/Autolabel/Photos/T63.jpg">
          <a:extLst>
            <a:ext uri="{FF2B5EF4-FFF2-40B4-BE49-F238E27FC236}">
              <a16:creationId xmlns:a16="http://schemas.microsoft.com/office/drawing/2014/main" id="{00000000-0008-0000-0100-0000D8000000}"/>
            </a:ext>
          </a:extLst>
        </xdr:cNvPr>
        <xdr:cNvPicPr>
          <a:picLocks noChangeAspect="1" noChangeArrowheads="1"/>
        </xdr:cNvPicPr>
      </xdr:nvPicPr>
      <xdr:blipFill>
        <a:blip xmlns:r="http://schemas.openxmlformats.org/officeDocument/2006/relationships" r:embed="rId6" cstate="hqprint">
          <a:extLst>
            <a:ext uri="{BEBA8EAE-BF5A-486C-A8C5-ECC9F3942E4B}">
              <a14:imgProps xmlns:a14="http://schemas.microsoft.com/office/drawing/2010/main">
                <a14:imgLayer r:embed="rId7">
                  <a14:imgEffect>
                    <a14:backgroundRemoval t="0" b="93633" l="10000" r="90000">
                      <a14:foregroundMark x1="33125" y1="33333" x2="52756" y2="8396"/>
                      <a14:foregroundMark x1="52756" y1="8396" x2="52756" y2="8396"/>
                      <a14:foregroundMark x1="43438" y1="93664" x2="50313" y2="91105"/>
                      <a14:foregroundMark x1="63920" y1="28340" x2="68693" y2="26186"/>
                      <a14:foregroundMark x1="54347" y1="6648" x2="62585" y2="7772"/>
                      <a14:foregroundMark x1="62585" y1="7772" x2="69631" y2="7366"/>
                      <a14:foregroundMark x1="74034" y1="8396" x2="74034" y2="0"/>
                      <a14:foregroundMark x1="33324" y1="22285" x2="38210" y2="13795"/>
                      <a14:foregroundMark x1="38210" y1="13795" x2="45455" y2="9395"/>
                      <a14:foregroundMark x1="45455" y1="9395" x2="52841" y2="8989"/>
                      <a14:foregroundMark x1="52642" y1="6242" x2="59773" y2="6866"/>
                      <a14:foregroundMark x1="73210" y1="2871" x2="72727" y2="718"/>
                    </a14:backgroundRemoval>
                  </a14:imgEffect>
                </a14:imgLayer>
              </a14:imgProps>
            </a:ext>
            <a:ext uri="{28A0092B-C50C-407E-A947-70E740481C1C}">
              <a14:useLocalDpi xmlns:a14="http://schemas.microsoft.com/office/drawing/2010/main"/>
            </a:ext>
          </a:extLst>
        </a:blip>
        <a:srcRect/>
        <a:stretch>
          <a:fillRect/>
        </a:stretch>
      </xdr:blipFill>
      <xdr:spPr bwMode="auto">
        <a:xfrm>
          <a:off x="7366002" y="19718129"/>
          <a:ext cx="896146" cy="822469"/>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24</xdr:col>
      <xdr:colOff>84667</xdr:colOff>
      <xdr:row>141</xdr:row>
      <xdr:rowOff>176694</xdr:rowOff>
    </xdr:from>
    <xdr:to>
      <xdr:col>26</xdr:col>
      <xdr:colOff>176697</xdr:colOff>
      <xdr:row>147</xdr:row>
      <xdr:rowOff>6760</xdr:rowOff>
    </xdr:to>
    <xdr:pic>
      <xdr:nvPicPr>
        <xdr:cNvPr id="217" name="Picture 216" descr="https://sharepoint.matthews.com.au/sales/Application%20Photos%20%20Videos/Autolabel/Photos/T63.jpg">
          <a:extLst>
            <a:ext uri="{FF2B5EF4-FFF2-40B4-BE49-F238E27FC236}">
              <a16:creationId xmlns:a16="http://schemas.microsoft.com/office/drawing/2014/main" id="{00000000-0008-0000-0100-0000D9000000}"/>
            </a:ext>
          </a:extLst>
        </xdr:cNvPr>
        <xdr:cNvPicPr>
          <a:picLocks noChangeAspect="1" noChangeArrowheads="1"/>
        </xdr:cNvPicPr>
      </xdr:nvPicPr>
      <xdr:blipFill>
        <a:blip xmlns:r="http://schemas.openxmlformats.org/officeDocument/2006/relationships" r:embed="rId8" cstate="hqprint">
          <a:extLst>
            <a:ext uri="{BEBA8EAE-BF5A-486C-A8C5-ECC9F3942E4B}">
              <a14:imgProps xmlns:a14="http://schemas.microsoft.com/office/drawing/2010/main">
                <a14:imgLayer r:embed="rId9">
                  <a14:imgEffect>
                    <a14:backgroundRemoval t="0" b="93633" l="10000" r="90000">
                      <a14:foregroundMark x1="33125" y1="33333" x2="52756" y2="8396"/>
                      <a14:foregroundMark x1="52756" y1="8396" x2="52756" y2="8396"/>
                      <a14:foregroundMark x1="43438" y1="93664" x2="50313" y2="91105"/>
                      <a14:foregroundMark x1="63920" y1="28340" x2="68693" y2="26186"/>
                      <a14:foregroundMark x1="54347" y1="6648" x2="62585" y2="7772"/>
                      <a14:foregroundMark x1="62585" y1="7772" x2="69631" y2="7366"/>
                      <a14:foregroundMark x1="74034" y1="8396" x2="74034" y2="0"/>
                      <a14:foregroundMark x1="33324" y1="22285" x2="38210" y2="13795"/>
                      <a14:foregroundMark x1="38210" y1="13795" x2="45455" y2="9395"/>
                      <a14:foregroundMark x1="45455" y1="9395" x2="52841" y2="8989"/>
                      <a14:foregroundMark x1="52642" y1="6242" x2="59773" y2="6866"/>
                      <a14:foregroundMark x1="73210" y1="2871" x2="72727" y2="718"/>
                    </a14:backgroundRemoval>
                  </a14:imgEffect>
                </a14:imgLayer>
              </a14:imgProps>
            </a:ext>
            <a:ext uri="{28A0092B-C50C-407E-A947-70E740481C1C}">
              <a14:useLocalDpi xmlns:a14="http://schemas.microsoft.com/office/drawing/2010/main"/>
            </a:ext>
          </a:extLst>
        </a:blip>
        <a:srcRect/>
        <a:stretch>
          <a:fillRect/>
        </a:stretch>
      </xdr:blipFill>
      <xdr:spPr bwMode="auto">
        <a:xfrm>
          <a:off x="8428015" y="19718129"/>
          <a:ext cx="969986" cy="890239"/>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oneCellAnchor>
    <xdr:from>
      <xdr:col>2</xdr:col>
      <xdr:colOff>585304</xdr:colOff>
      <xdr:row>143</xdr:row>
      <xdr:rowOff>154607</xdr:rowOff>
    </xdr:from>
    <xdr:ext cx="1893147" cy="264560"/>
    <xdr:sp macro="" textlink="">
      <xdr:nvSpPr>
        <xdr:cNvPr id="220" name="TextBox 219">
          <a:extLst>
            <a:ext uri="{FF2B5EF4-FFF2-40B4-BE49-F238E27FC236}">
              <a16:creationId xmlns:a16="http://schemas.microsoft.com/office/drawing/2014/main" id="{00000000-0008-0000-0100-0000DC000000}"/>
            </a:ext>
          </a:extLst>
        </xdr:cNvPr>
        <xdr:cNvSpPr txBox="1"/>
      </xdr:nvSpPr>
      <xdr:spPr>
        <a:xfrm>
          <a:off x="1684130" y="20297911"/>
          <a:ext cx="189314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chemeClr val="accent6">
                  <a:lumMod val="75000"/>
                </a:schemeClr>
              </a:solidFill>
            </a:rPr>
            <a:t>1. Select &amp; Place Machine -</a:t>
          </a:r>
          <a:r>
            <a:rPr lang="en-AU" sz="1100" baseline="0">
              <a:solidFill>
                <a:schemeClr val="accent6">
                  <a:lumMod val="75000"/>
                </a:schemeClr>
              </a:solidFill>
            </a:rPr>
            <a:t>--</a:t>
          </a:r>
          <a:r>
            <a:rPr lang="en-AU" sz="1100">
              <a:solidFill>
                <a:schemeClr val="accent6">
                  <a:lumMod val="75000"/>
                </a:schemeClr>
              </a:solidFill>
            </a:rPr>
            <a:t>&gt;</a:t>
          </a:r>
        </a:p>
      </xdr:txBody>
    </xdr:sp>
    <xdr:clientData/>
  </xdr:oneCellAnchor>
  <xdr:oneCellAnchor>
    <xdr:from>
      <xdr:col>2</xdr:col>
      <xdr:colOff>585304</xdr:colOff>
      <xdr:row>150</xdr:row>
      <xdr:rowOff>77304</xdr:rowOff>
    </xdr:from>
    <xdr:ext cx="2355901" cy="264560"/>
    <xdr:sp macro="" textlink="">
      <xdr:nvSpPr>
        <xdr:cNvPr id="221" name="TextBox 220">
          <a:extLst>
            <a:ext uri="{FF2B5EF4-FFF2-40B4-BE49-F238E27FC236}">
              <a16:creationId xmlns:a16="http://schemas.microsoft.com/office/drawing/2014/main" id="{00000000-0008-0000-0100-0000DD000000}"/>
            </a:ext>
          </a:extLst>
        </xdr:cNvPr>
        <xdr:cNvSpPr txBox="1"/>
      </xdr:nvSpPr>
      <xdr:spPr>
        <a:xfrm>
          <a:off x="1684130" y="21457478"/>
          <a:ext cx="23559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AU" sz="1100">
              <a:solidFill>
                <a:schemeClr val="accent6">
                  <a:lumMod val="75000"/>
                </a:schemeClr>
              </a:solidFill>
            </a:rPr>
            <a:t>2. Select &amp; Place Label onto pallet </a:t>
          </a:r>
          <a:r>
            <a:rPr lang="en-AU" sz="1100">
              <a:solidFill>
                <a:schemeClr val="accent6">
                  <a:lumMod val="75000"/>
                </a:schemeClr>
              </a:solidFill>
              <a:effectLst/>
              <a:latin typeface="+mn-lt"/>
              <a:ea typeface="+mn-ea"/>
              <a:cs typeface="+mn-cs"/>
            </a:rPr>
            <a:t>-</a:t>
          </a:r>
          <a:r>
            <a:rPr lang="en-AU" sz="1100" baseline="0">
              <a:solidFill>
                <a:schemeClr val="accent6">
                  <a:lumMod val="75000"/>
                </a:schemeClr>
              </a:solidFill>
              <a:effectLst/>
              <a:latin typeface="+mn-lt"/>
              <a:ea typeface="+mn-ea"/>
              <a:cs typeface="+mn-cs"/>
            </a:rPr>
            <a:t>--</a:t>
          </a:r>
          <a:r>
            <a:rPr lang="en-AU" sz="1100">
              <a:solidFill>
                <a:schemeClr val="accent6">
                  <a:lumMod val="75000"/>
                </a:schemeClr>
              </a:solidFill>
              <a:effectLst/>
              <a:latin typeface="+mn-lt"/>
              <a:ea typeface="+mn-ea"/>
              <a:cs typeface="+mn-cs"/>
            </a:rPr>
            <a:t>&gt;</a:t>
          </a:r>
          <a:endParaRPr lang="en-AU">
            <a:solidFill>
              <a:schemeClr val="accent6">
                <a:lumMod val="75000"/>
              </a:schemeClr>
            </a:solidFill>
            <a:effectLst/>
          </a:endParaRPr>
        </a:p>
      </xdr:txBody>
    </xdr:sp>
    <xdr:clientData/>
  </xdr:oneCellAnchor>
  <xdr:oneCellAnchor>
    <xdr:from>
      <xdr:col>2</xdr:col>
      <xdr:colOff>585304</xdr:colOff>
      <xdr:row>162</xdr:row>
      <xdr:rowOff>44174</xdr:rowOff>
    </xdr:from>
    <xdr:ext cx="1746119" cy="264560"/>
    <xdr:sp macro="" textlink="">
      <xdr:nvSpPr>
        <xdr:cNvPr id="222" name="TextBox 221">
          <a:extLst>
            <a:ext uri="{FF2B5EF4-FFF2-40B4-BE49-F238E27FC236}">
              <a16:creationId xmlns:a16="http://schemas.microsoft.com/office/drawing/2014/main" id="{00000000-0008-0000-0100-0000DE000000}"/>
            </a:ext>
          </a:extLst>
        </xdr:cNvPr>
        <xdr:cNvSpPr txBox="1"/>
      </xdr:nvSpPr>
      <xdr:spPr>
        <a:xfrm>
          <a:off x="1684130" y="23533652"/>
          <a:ext cx="174611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chemeClr val="accent6">
                  <a:lumMod val="75000"/>
                </a:schemeClr>
              </a:solidFill>
            </a:rPr>
            <a:t>4. Fill in measurements ---&gt;</a:t>
          </a:r>
        </a:p>
      </xdr:txBody>
    </xdr:sp>
    <xdr:clientData/>
  </xdr:oneCellAnchor>
  <mc:AlternateContent xmlns:mc="http://schemas.openxmlformats.org/markup-compatibility/2006">
    <mc:Choice xmlns:a14="http://schemas.microsoft.com/office/drawing/2010/main" Requires="a14">
      <xdr:twoCellAnchor editAs="oneCell">
        <xdr:from>
          <xdr:col>7</xdr:col>
          <xdr:colOff>19050</xdr:colOff>
          <xdr:row>23</xdr:row>
          <xdr:rowOff>133350</xdr:rowOff>
        </xdr:from>
        <xdr:to>
          <xdr:col>20</xdr:col>
          <xdr:colOff>247650</xdr:colOff>
          <xdr:row>32</xdr:row>
          <xdr:rowOff>19050</xdr:rowOff>
        </xdr:to>
        <xdr:sp macro="" textlink="">
          <xdr:nvSpPr>
            <xdr:cNvPr id="5156" name="Group Box 36" hidden="1">
              <a:extLst>
                <a:ext uri="{63B3BB69-23CF-44E3-9099-C40C66FF867C}">
                  <a14:compatExt spid="_x0000_s5156"/>
                </a:ext>
                <a:ext uri="{FF2B5EF4-FFF2-40B4-BE49-F238E27FC236}">
                  <a16:creationId xmlns:a16="http://schemas.microsoft.com/office/drawing/2014/main" id="{00000000-0008-0000-0100-0000241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25</xdr:row>
          <xdr:rowOff>76200</xdr:rowOff>
        </xdr:from>
        <xdr:to>
          <xdr:col>11</xdr:col>
          <xdr:colOff>142875</xdr:colOff>
          <xdr:row>26</xdr:row>
          <xdr:rowOff>142875</xdr:rowOff>
        </xdr:to>
        <xdr:sp macro="" textlink="">
          <xdr:nvSpPr>
            <xdr:cNvPr id="5157" name="Option Button 37" hidden="1">
              <a:extLst>
                <a:ext uri="{63B3BB69-23CF-44E3-9099-C40C66FF867C}">
                  <a14:compatExt spid="_x0000_s5157"/>
                </a:ext>
                <a:ext uri="{FF2B5EF4-FFF2-40B4-BE49-F238E27FC236}">
                  <a16:creationId xmlns:a16="http://schemas.microsoft.com/office/drawing/2014/main" id="{00000000-0008-0000-0100-00002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Timber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25</xdr:row>
          <xdr:rowOff>76200</xdr:rowOff>
        </xdr:from>
        <xdr:to>
          <xdr:col>17</xdr:col>
          <xdr:colOff>171450</xdr:colOff>
          <xdr:row>26</xdr:row>
          <xdr:rowOff>142875</xdr:rowOff>
        </xdr:to>
        <xdr:sp macro="" textlink="">
          <xdr:nvSpPr>
            <xdr:cNvPr id="5159" name="Option Button 39" hidden="1">
              <a:extLst>
                <a:ext uri="{63B3BB69-23CF-44E3-9099-C40C66FF867C}">
                  <a14:compatExt spid="_x0000_s5159"/>
                </a:ext>
                <a:ext uri="{FF2B5EF4-FFF2-40B4-BE49-F238E27FC236}">
                  <a16:creationId xmlns:a16="http://schemas.microsoft.com/office/drawing/2014/main" id="{00000000-0008-0000-0100-00002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Metal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28</xdr:row>
          <xdr:rowOff>95250</xdr:rowOff>
        </xdr:from>
        <xdr:to>
          <xdr:col>15</xdr:col>
          <xdr:colOff>228600</xdr:colOff>
          <xdr:row>29</xdr:row>
          <xdr:rowOff>142875</xdr:rowOff>
        </xdr:to>
        <xdr:sp macro="" textlink="">
          <xdr:nvSpPr>
            <xdr:cNvPr id="5160" name="Option Button 40" hidden="1">
              <a:extLst>
                <a:ext uri="{63B3BB69-23CF-44E3-9099-C40C66FF867C}">
                  <a14:compatExt spid="_x0000_s5160"/>
                </a:ext>
                <a:ext uri="{FF2B5EF4-FFF2-40B4-BE49-F238E27FC236}">
                  <a16:creationId xmlns:a16="http://schemas.microsoft.com/office/drawing/2014/main" id="{00000000-0008-0000-0100-00002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Mixture / Other, please specify below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23</xdr:row>
          <xdr:rowOff>171450</xdr:rowOff>
        </xdr:from>
        <xdr:to>
          <xdr:col>11</xdr:col>
          <xdr:colOff>142875</xdr:colOff>
          <xdr:row>25</xdr:row>
          <xdr:rowOff>57150</xdr:rowOff>
        </xdr:to>
        <xdr:sp macro="" textlink="">
          <xdr:nvSpPr>
            <xdr:cNvPr id="5161" name="Option Button 41" hidden="1">
              <a:extLst>
                <a:ext uri="{63B3BB69-23CF-44E3-9099-C40C66FF867C}">
                  <a14:compatExt spid="_x0000_s5161"/>
                </a:ext>
                <a:ext uri="{FF2B5EF4-FFF2-40B4-BE49-F238E27FC236}">
                  <a16:creationId xmlns:a16="http://schemas.microsoft.com/office/drawing/2014/main" id="{00000000-0008-0000-0100-00002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Cardboard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23</xdr:row>
          <xdr:rowOff>171450</xdr:rowOff>
        </xdr:from>
        <xdr:to>
          <xdr:col>17</xdr:col>
          <xdr:colOff>171450</xdr:colOff>
          <xdr:row>25</xdr:row>
          <xdr:rowOff>66675</xdr:rowOff>
        </xdr:to>
        <xdr:sp macro="" textlink="">
          <xdr:nvSpPr>
            <xdr:cNvPr id="5162" name="Option Button 42" hidden="1">
              <a:extLst>
                <a:ext uri="{63B3BB69-23CF-44E3-9099-C40C66FF867C}">
                  <a14:compatExt spid="_x0000_s5162"/>
                </a:ext>
                <a:ext uri="{FF2B5EF4-FFF2-40B4-BE49-F238E27FC236}">
                  <a16:creationId xmlns:a16="http://schemas.microsoft.com/office/drawing/2014/main" id="{00000000-0008-0000-0100-00002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Flexible Plastic (Film)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26</xdr:row>
          <xdr:rowOff>171450</xdr:rowOff>
        </xdr:from>
        <xdr:to>
          <xdr:col>11</xdr:col>
          <xdr:colOff>142875</xdr:colOff>
          <xdr:row>28</xdr:row>
          <xdr:rowOff>57150</xdr:rowOff>
        </xdr:to>
        <xdr:sp macro="" textlink="">
          <xdr:nvSpPr>
            <xdr:cNvPr id="5164" name="Option Button 44" hidden="1">
              <a:extLst>
                <a:ext uri="{63B3BB69-23CF-44E3-9099-C40C66FF867C}">
                  <a14:compatExt spid="_x0000_s5164"/>
                </a:ext>
                <a:ext uri="{FF2B5EF4-FFF2-40B4-BE49-F238E27FC236}">
                  <a16:creationId xmlns:a16="http://schemas.microsoft.com/office/drawing/2014/main" id="{00000000-0008-0000-0100-00002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Plastic (Solid)</a:t>
              </a:r>
            </a:p>
          </xdr:txBody>
        </xdr:sp>
        <xdr:clientData/>
      </xdr:twoCellAnchor>
    </mc:Choice>
    <mc:Fallback/>
  </mc:AlternateContent>
  <xdr:twoCellAnchor>
    <xdr:from>
      <xdr:col>10</xdr:col>
      <xdr:colOff>187740</xdr:colOff>
      <xdr:row>104</xdr:row>
      <xdr:rowOff>93870</xdr:rowOff>
    </xdr:from>
    <xdr:to>
      <xdr:col>14</xdr:col>
      <xdr:colOff>204305</xdr:colOff>
      <xdr:row>107</xdr:row>
      <xdr:rowOff>16565</xdr:rowOff>
    </xdr:to>
    <xdr:grpSp>
      <xdr:nvGrpSpPr>
        <xdr:cNvPr id="226" name="Group 225">
          <a:extLst>
            <a:ext uri="{FF2B5EF4-FFF2-40B4-BE49-F238E27FC236}">
              <a16:creationId xmlns:a16="http://schemas.microsoft.com/office/drawing/2014/main" id="{00000000-0008-0000-0100-0000E2000000}"/>
            </a:ext>
          </a:extLst>
        </xdr:cNvPr>
        <xdr:cNvGrpSpPr/>
      </xdr:nvGrpSpPr>
      <xdr:grpSpPr>
        <a:xfrm rot="10800000">
          <a:off x="4229653" y="17106348"/>
          <a:ext cx="1176130" cy="419652"/>
          <a:chOff x="960782" y="13312911"/>
          <a:chExt cx="1209261" cy="419652"/>
        </a:xfrm>
      </xdr:grpSpPr>
      <xdr:sp macro="" textlink="">
        <xdr:nvSpPr>
          <xdr:cNvPr id="227" name="Arrow: Up 226">
            <a:extLst>
              <a:ext uri="{FF2B5EF4-FFF2-40B4-BE49-F238E27FC236}">
                <a16:creationId xmlns:a16="http://schemas.microsoft.com/office/drawing/2014/main" id="{00000000-0008-0000-0100-0000E3000000}"/>
              </a:ext>
            </a:extLst>
          </xdr:cNvPr>
          <xdr:cNvSpPr/>
        </xdr:nvSpPr>
        <xdr:spPr>
          <a:xfrm rot="7235037">
            <a:off x="1355587" y="12918106"/>
            <a:ext cx="419652" cy="1209261"/>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t"/>
          <a:lstStyle/>
          <a:p>
            <a:pPr algn="l"/>
            <a:endParaRPr lang="en-AU" sz="800"/>
          </a:p>
        </xdr:txBody>
      </xdr:sp>
      <xdr:pic>
        <xdr:nvPicPr>
          <xdr:cNvPr id="230" name="Picture 22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4"/>
          <a:stretch>
            <a:fillRect/>
          </a:stretch>
        </xdr:blipFill>
        <xdr:spPr>
          <a:xfrm rot="1794003">
            <a:off x="1060172" y="13368130"/>
            <a:ext cx="823031" cy="231668"/>
          </a:xfrm>
          <a:prstGeom prst="rect">
            <a:avLst/>
          </a:prstGeom>
        </xdr:spPr>
      </xdr:pic>
    </xdr:grpSp>
    <xdr:clientData fLocksWithSheet="0"/>
  </xdr:twoCellAnchor>
  <xdr:oneCellAnchor>
    <xdr:from>
      <xdr:col>2</xdr:col>
      <xdr:colOff>568739</xdr:colOff>
      <xdr:row>104</xdr:row>
      <xdr:rowOff>149087</xdr:rowOff>
    </xdr:from>
    <xdr:ext cx="1926425" cy="264560"/>
    <xdr:sp macro="" textlink="">
      <xdr:nvSpPr>
        <xdr:cNvPr id="232" name="TextBox 231">
          <a:extLst>
            <a:ext uri="{FF2B5EF4-FFF2-40B4-BE49-F238E27FC236}">
              <a16:creationId xmlns:a16="http://schemas.microsoft.com/office/drawing/2014/main" id="{00000000-0008-0000-0100-0000E8000000}"/>
            </a:ext>
          </a:extLst>
        </xdr:cNvPr>
        <xdr:cNvSpPr txBox="1"/>
      </xdr:nvSpPr>
      <xdr:spPr>
        <a:xfrm>
          <a:off x="1667565" y="13804348"/>
          <a:ext cx="19264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AU" sz="1100">
              <a:solidFill>
                <a:schemeClr val="accent6">
                  <a:lumMod val="75000"/>
                </a:schemeClr>
              </a:solidFill>
            </a:rPr>
            <a:t>3. Confirm Travel</a:t>
          </a:r>
          <a:r>
            <a:rPr lang="en-AU" sz="1100" baseline="0">
              <a:solidFill>
                <a:schemeClr val="accent6">
                  <a:lumMod val="75000"/>
                </a:schemeClr>
              </a:solidFill>
            </a:rPr>
            <a:t> Direction</a:t>
          </a:r>
          <a:r>
            <a:rPr lang="en-AU" sz="1100">
              <a:solidFill>
                <a:schemeClr val="accent6">
                  <a:lumMod val="75000"/>
                </a:schemeClr>
              </a:solidFill>
              <a:effectLst/>
              <a:latin typeface="+mn-lt"/>
              <a:ea typeface="+mn-ea"/>
              <a:cs typeface="+mn-cs"/>
            </a:rPr>
            <a:t>-</a:t>
          </a:r>
          <a:r>
            <a:rPr lang="en-AU" sz="1100" baseline="0">
              <a:solidFill>
                <a:schemeClr val="accent6">
                  <a:lumMod val="75000"/>
                </a:schemeClr>
              </a:solidFill>
              <a:effectLst/>
              <a:latin typeface="+mn-lt"/>
              <a:ea typeface="+mn-ea"/>
              <a:cs typeface="+mn-cs"/>
            </a:rPr>
            <a:t>--</a:t>
          </a:r>
          <a:r>
            <a:rPr lang="en-AU" sz="1100">
              <a:solidFill>
                <a:schemeClr val="accent6">
                  <a:lumMod val="75000"/>
                </a:schemeClr>
              </a:solidFill>
              <a:effectLst/>
              <a:latin typeface="+mn-lt"/>
              <a:ea typeface="+mn-ea"/>
              <a:cs typeface="+mn-cs"/>
            </a:rPr>
            <a:t>&gt;</a:t>
          </a:r>
          <a:endParaRPr lang="en-AU">
            <a:solidFill>
              <a:schemeClr val="accent6">
                <a:lumMod val="75000"/>
              </a:schemeClr>
            </a:solidFill>
            <a:effectLst/>
          </a:endParaRPr>
        </a:p>
      </xdr:txBody>
    </xdr:sp>
    <xdr:clientData/>
  </xdr:oneCellAnchor>
  <xdr:oneCellAnchor>
    <xdr:from>
      <xdr:col>2</xdr:col>
      <xdr:colOff>585304</xdr:colOff>
      <xdr:row>156</xdr:row>
      <xdr:rowOff>138044</xdr:rowOff>
    </xdr:from>
    <xdr:ext cx="1926425" cy="264560"/>
    <xdr:sp macro="" textlink="">
      <xdr:nvSpPr>
        <xdr:cNvPr id="237" name="TextBox 236">
          <a:extLst>
            <a:ext uri="{FF2B5EF4-FFF2-40B4-BE49-F238E27FC236}">
              <a16:creationId xmlns:a16="http://schemas.microsoft.com/office/drawing/2014/main" id="{00000000-0008-0000-0100-0000ED000000}"/>
            </a:ext>
          </a:extLst>
        </xdr:cNvPr>
        <xdr:cNvSpPr txBox="1"/>
      </xdr:nvSpPr>
      <xdr:spPr>
        <a:xfrm>
          <a:off x="1684130" y="22578392"/>
          <a:ext cx="19264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AU" sz="1100">
              <a:solidFill>
                <a:schemeClr val="accent6">
                  <a:lumMod val="75000"/>
                </a:schemeClr>
              </a:solidFill>
            </a:rPr>
            <a:t>3. Confirm Travel</a:t>
          </a:r>
          <a:r>
            <a:rPr lang="en-AU" sz="1100" baseline="0">
              <a:solidFill>
                <a:schemeClr val="accent6">
                  <a:lumMod val="75000"/>
                </a:schemeClr>
              </a:solidFill>
            </a:rPr>
            <a:t> Direction</a:t>
          </a:r>
          <a:r>
            <a:rPr lang="en-AU" sz="1100">
              <a:solidFill>
                <a:schemeClr val="accent6">
                  <a:lumMod val="75000"/>
                </a:schemeClr>
              </a:solidFill>
              <a:effectLst/>
              <a:latin typeface="+mn-lt"/>
              <a:ea typeface="+mn-ea"/>
              <a:cs typeface="+mn-cs"/>
            </a:rPr>
            <a:t>-</a:t>
          </a:r>
          <a:r>
            <a:rPr lang="en-AU" sz="1100" baseline="0">
              <a:solidFill>
                <a:schemeClr val="accent6">
                  <a:lumMod val="75000"/>
                </a:schemeClr>
              </a:solidFill>
              <a:effectLst/>
              <a:latin typeface="+mn-lt"/>
              <a:ea typeface="+mn-ea"/>
              <a:cs typeface="+mn-cs"/>
            </a:rPr>
            <a:t>--</a:t>
          </a:r>
          <a:r>
            <a:rPr lang="en-AU" sz="1100">
              <a:solidFill>
                <a:schemeClr val="accent6">
                  <a:lumMod val="75000"/>
                </a:schemeClr>
              </a:solidFill>
              <a:effectLst/>
              <a:latin typeface="+mn-lt"/>
              <a:ea typeface="+mn-ea"/>
              <a:cs typeface="+mn-cs"/>
            </a:rPr>
            <a:t>&gt;</a:t>
          </a:r>
          <a:endParaRPr lang="en-AU">
            <a:solidFill>
              <a:schemeClr val="accent6">
                <a:lumMod val="75000"/>
              </a:schemeClr>
            </a:solidFill>
            <a:effectLst/>
          </a:endParaRPr>
        </a:p>
      </xdr:txBody>
    </xdr:sp>
    <xdr:clientData/>
  </xdr:oneCellAnchor>
  <mc:AlternateContent xmlns:mc="http://schemas.openxmlformats.org/markup-compatibility/2006">
    <mc:Choice xmlns:a14="http://schemas.microsoft.com/office/drawing/2010/main" Requires="a14">
      <xdr:twoCellAnchor editAs="oneCell">
        <xdr:from>
          <xdr:col>6</xdr:col>
          <xdr:colOff>209550</xdr:colOff>
          <xdr:row>11</xdr:row>
          <xdr:rowOff>142875</xdr:rowOff>
        </xdr:from>
        <xdr:to>
          <xdr:col>9</xdr:col>
          <xdr:colOff>28575</xdr:colOff>
          <xdr:row>13</xdr:row>
          <xdr:rowOff>28575</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100-00003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Carton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142875</xdr:colOff>
          <xdr:row>11</xdr:row>
          <xdr:rowOff>142875</xdr:rowOff>
        </xdr:from>
        <xdr:to>
          <xdr:col>13</xdr:col>
          <xdr:colOff>180975</xdr:colOff>
          <xdr:row>13</xdr:row>
          <xdr:rowOff>28575</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100-00003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Pallet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11</xdr:row>
          <xdr:rowOff>142875</xdr:rowOff>
        </xdr:from>
        <xdr:to>
          <xdr:col>20</xdr:col>
          <xdr:colOff>180975</xdr:colOff>
          <xdr:row>13</xdr:row>
          <xdr:rowOff>28575</xdr:rowOff>
        </xdr:to>
        <xdr:sp macro="" textlink="">
          <xdr:nvSpPr>
            <xdr:cNvPr id="5171" name="Check Box 51" hidden="1">
              <a:extLst>
                <a:ext uri="{63B3BB69-23CF-44E3-9099-C40C66FF867C}">
                  <a14:compatExt spid="_x0000_s5171"/>
                </a:ext>
                <a:ext uri="{FF2B5EF4-FFF2-40B4-BE49-F238E27FC236}">
                  <a16:creationId xmlns:a16="http://schemas.microsoft.com/office/drawing/2014/main" id="{00000000-0008-0000-0100-00003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Direct onto Product (eg. Pipe)</a:t>
              </a:r>
            </a:p>
          </xdr:txBody>
        </xdr:sp>
        <xdr:clientData/>
      </xdr:twoCellAnchor>
    </mc:Choice>
    <mc:Fallback/>
  </mc:AlternateContent>
  <xdr:twoCellAnchor>
    <xdr:from>
      <xdr:col>11</xdr:col>
      <xdr:colOff>242957</xdr:colOff>
      <xdr:row>246</xdr:row>
      <xdr:rowOff>60738</xdr:rowOff>
    </xdr:from>
    <xdr:to>
      <xdr:col>15</xdr:col>
      <xdr:colOff>96188</xdr:colOff>
      <xdr:row>250</xdr:row>
      <xdr:rowOff>112367</xdr:rowOff>
    </xdr:to>
    <xdr:grpSp>
      <xdr:nvGrpSpPr>
        <xdr:cNvPr id="256" name="Group 255">
          <a:hlinkClick xmlns:r="http://schemas.openxmlformats.org/officeDocument/2006/relationships" r:id="rId10"/>
          <a:extLst>
            <a:ext uri="{FF2B5EF4-FFF2-40B4-BE49-F238E27FC236}">
              <a16:creationId xmlns:a16="http://schemas.microsoft.com/office/drawing/2014/main" id="{00000000-0008-0000-0100-000000010000}"/>
            </a:ext>
          </a:extLst>
        </xdr:cNvPr>
        <xdr:cNvGrpSpPr/>
      </xdr:nvGrpSpPr>
      <xdr:grpSpPr>
        <a:xfrm>
          <a:off x="4574761" y="41233586"/>
          <a:ext cx="1012797" cy="714238"/>
          <a:chOff x="4718050" y="2025650"/>
          <a:chExt cx="1045927" cy="692150"/>
        </a:xfrm>
      </xdr:grpSpPr>
      <xdr:pic>
        <xdr:nvPicPr>
          <xdr:cNvPr id="257" name="Graphic 256" descr="Gears">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a:ext>
              <a:ext uri="{96DAC541-7B7A-43D3-8B79-37D633B846F1}">
                <asvg:svgBlip xmlns:asvg="http://schemas.microsoft.com/office/drawing/2016/SVG/main" r:embed="rId12"/>
              </a:ext>
            </a:extLst>
          </a:blip>
          <a:stretch>
            <a:fillRect/>
          </a:stretch>
        </xdr:blipFill>
        <xdr:spPr>
          <a:xfrm>
            <a:off x="4946650" y="2266950"/>
            <a:ext cx="450850" cy="450850"/>
          </a:xfrm>
          <a:prstGeom prst="rect">
            <a:avLst/>
          </a:prstGeom>
        </xdr:spPr>
      </xdr:pic>
      <xdr:sp macro="" textlink="">
        <xdr:nvSpPr>
          <xdr:cNvPr id="259" name="TextBox 258">
            <a:extLst>
              <a:ext uri="{FF2B5EF4-FFF2-40B4-BE49-F238E27FC236}">
                <a16:creationId xmlns:a16="http://schemas.microsoft.com/office/drawing/2014/main" id="{00000000-0008-0000-0100-000003010000}"/>
              </a:ext>
            </a:extLst>
          </xdr:cNvPr>
          <xdr:cNvSpPr txBox="1"/>
        </xdr:nvSpPr>
        <xdr:spPr>
          <a:xfrm>
            <a:off x="4718050" y="2025650"/>
            <a:ext cx="10459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t>Bill</a:t>
            </a:r>
            <a:r>
              <a:rPr lang="en-AU" sz="1100" baseline="0"/>
              <a:t> Of Material</a:t>
            </a:r>
            <a:endParaRPr lang="en-AU" sz="1100"/>
          </a:p>
        </xdr:txBody>
      </xdr:sp>
    </xdr:grpSp>
    <xdr:clientData/>
  </xdr:twoCellAnchor>
  <mc:AlternateContent xmlns:mc="http://schemas.openxmlformats.org/markup-compatibility/2006">
    <mc:Choice xmlns:a14="http://schemas.microsoft.com/office/drawing/2010/main" Requires="a14">
      <xdr:twoCellAnchor editAs="oneCell">
        <xdr:from>
          <xdr:col>6</xdr:col>
          <xdr:colOff>209550</xdr:colOff>
          <xdr:row>14</xdr:row>
          <xdr:rowOff>0</xdr:rowOff>
        </xdr:from>
        <xdr:to>
          <xdr:col>9</xdr:col>
          <xdr:colOff>28575</xdr:colOff>
          <xdr:row>15</xdr:row>
          <xdr:rowOff>57150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100-00003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Apply to Side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142875</xdr:colOff>
          <xdr:row>14</xdr:row>
          <xdr:rowOff>0</xdr:rowOff>
        </xdr:from>
        <xdr:to>
          <xdr:col>14</xdr:col>
          <xdr:colOff>180975</xdr:colOff>
          <xdr:row>15</xdr:row>
          <xdr:rowOff>57150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100-00003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Apply Downwards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14</xdr:row>
          <xdr:rowOff>0</xdr:rowOff>
        </xdr:from>
        <xdr:to>
          <xdr:col>20</xdr:col>
          <xdr:colOff>180975</xdr:colOff>
          <xdr:row>15</xdr:row>
          <xdr:rowOff>57150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100-00003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Apply Upwards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17</xdr:row>
          <xdr:rowOff>142875</xdr:rowOff>
        </xdr:from>
        <xdr:to>
          <xdr:col>9</xdr:col>
          <xdr:colOff>38100</xdr:colOff>
          <xdr:row>19</xdr:row>
          <xdr:rowOff>28575</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100-00003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Nose 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142875</xdr:colOff>
          <xdr:row>17</xdr:row>
          <xdr:rowOff>142875</xdr:rowOff>
        </xdr:from>
        <xdr:to>
          <xdr:col>15</xdr:col>
          <xdr:colOff>0</xdr:colOff>
          <xdr:row>19</xdr:row>
          <xdr:rowOff>28575</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100-00004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Nose Down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17</xdr:row>
          <xdr:rowOff>142875</xdr:rowOff>
        </xdr:from>
        <xdr:to>
          <xdr:col>18</xdr:col>
          <xdr:colOff>219075</xdr:colOff>
          <xdr:row>19</xdr:row>
          <xdr:rowOff>28575</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100-00004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on Back</a:t>
              </a:r>
            </a:p>
          </xdr:txBody>
        </xdr:sp>
        <xdr:clientData/>
      </xdr:twoCellAnchor>
    </mc:Choice>
    <mc:Fallback/>
  </mc:AlternateContent>
  <xdr:twoCellAnchor editAs="oneCell">
    <xdr:from>
      <xdr:col>10</xdr:col>
      <xdr:colOff>204304</xdr:colOff>
      <xdr:row>88</xdr:row>
      <xdr:rowOff>88350</xdr:rowOff>
    </xdr:from>
    <xdr:to>
      <xdr:col>13</xdr:col>
      <xdr:colOff>283128</xdr:colOff>
      <xdr:row>93</xdr:row>
      <xdr:rowOff>162153</xdr:rowOff>
    </xdr:to>
    <xdr:pic>
      <xdr:nvPicPr>
        <xdr:cNvPr id="172" name="Picture 171" descr="https://sharepoint.matthews.com.au/sales/Application%20Photos%20%20Videos/Autolabel/Photos/T63.jpg">
          <a:extLst>
            <a:ext uri="{FF2B5EF4-FFF2-40B4-BE49-F238E27FC236}">
              <a16:creationId xmlns:a16="http://schemas.microsoft.com/office/drawing/2014/main" id="{00000000-0008-0000-0100-0000AC000000}"/>
            </a:ext>
          </a:extLst>
        </xdr:cNvPr>
        <xdr:cNvPicPr>
          <a:picLocks noChangeAspect="1" noChangeArrowheads="1"/>
        </xdr:cNvPicPr>
      </xdr:nvPicPr>
      <xdr:blipFill>
        <a:blip xmlns:r="http://schemas.openxmlformats.org/officeDocument/2006/relationships" r:embed="rId6" cstate="hqprint">
          <a:extLst>
            <a:ext uri="{BEBA8EAE-BF5A-486C-A8C5-ECC9F3942E4B}">
              <a14:imgProps xmlns:a14="http://schemas.microsoft.com/office/drawing/2010/main">
                <a14:imgLayer r:embed="rId7">
                  <a14:imgEffect>
                    <a14:backgroundRemoval t="0" b="93633" l="10000" r="90000">
                      <a14:foregroundMark x1="33125" y1="33333" x2="52756" y2="8396"/>
                      <a14:foregroundMark x1="52756" y1="8396" x2="52756" y2="8396"/>
                      <a14:foregroundMark x1="43438" y1="93664" x2="50313" y2="91105"/>
                      <a14:foregroundMark x1="63920" y1="28340" x2="68693" y2="26186"/>
                      <a14:foregroundMark x1="54347" y1="6648" x2="62585" y2="7772"/>
                      <a14:foregroundMark x1="62585" y1="7772" x2="69631" y2="7366"/>
                      <a14:foregroundMark x1="74034" y1="8396" x2="74034" y2="0"/>
                      <a14:foregroundMark x1="33324" y1="22285" x2="38210" y2="13795"/>
                      <a14:foregroundMark x1="38210" y1="13795" x2="45455" y2="9395"/>
                      <a14:foregroundMark x1="45455" y1="9395" x2="52841" y2="8989"/>
                      <a14:foregroundMark x1="52642" y1="6242" x2="59773" y2="6866"/>
                      <a14:foregroundMark x1="73210" y1="2871" x2="72727" y2="718"/>
                    </a14:backgroundRemoval>
                  </a14:imgEffect>
                </a14:imgLayer>
              </a14:imgProps>
            </a:ext>
            <a:ext uri="{28A0092B-C50C-407E-A947-70E740481C1C}">
              <a14:useLocalDpi xmlns:a14="http://schemas.microsoft.com/office/drawing/2010/main"/>
            </a:ext>
          </a:extLst>
        </a:blip>
        <a:srcRect/>
        <a:stretch>
          <a:fillRect/>
        </a:stretch>
      </xdr:blipFill>
      <xdr:spPr bwMode="auto">
        <a:xfrm>
          <a:off x="4373217" y="10855741"/>
          <a:ext cx="982871" cy="902064"/>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14</xdr:col>
      <xdr:colOff>200620</xdr:colOff>
      <xdr:row>88</xdr:row>
      <xdr:rowOff>88350</xdr:rowOff>
    </xdr:from>
    <xdr:to>
      <xdr:col>18</xdr:col>
      <xdr:colOff>71782</xdr:colOff>
      <xdr:row>94</xdr:row>
      <xdr:rowOff>70829</xdr:rowOff>
    </xdr:to>
    <xdr:pic>
      <xdr:nvPicPr>
        <xdr:cNvPr id="173" name="Picture 172" descr="https://sharepoint.matthews.com.au/sales/Application%20Photos%20%20Videos/Autolabel/Photos/T63.jpg">
          <a:extLst>
            <a:ext uri="{FF2B5EF4-FFF2-40B4-BE49-F238E27FC236}">
              <a16:creationId xmlns:a16="http://schemas.microsoft.com/office/drawing/2014/main" id="{00000000-0008-0000-0100-0000AD000000}"/>
            </a:ext>
          </a:extLst>
        </xdr:cNvPr>
        <xdr:cNvPicPr>
          <a:picLocks noChangeAspect="1" noChangeArrowheads="1"/>
        </xdr:cNvPicPr>
      </xdr:nvPicPr>
      <xdr:blipFill>
        <a:blip xmlns:r="http://schemas.openxmlformats.org/officeDocument/2006/relationships" r:embed="rId8" cstate="hqprint">
          <a:extLst>
            <a:ext uri="{BEBA8EAE-BF5A-486C-A8C5-ECC9F3942E4B}">
              <a14:imgProps xmlns:a14="http://schemas.microsoft.com/office/drawing/2010/main">
                <a14:imgLayer r:embed="rId9">
                  <a14:imgEffect>
                    <a14:backgroundRemoval t="0" b="93633" l="10000" r="90000">
                      <a14:foregroundMark x1="33125" y1="33333" x2="52756" y2="8396"/>
                      <a14:foregroundMark x1="52756" y1="8396" x2="52756" y2="8396"/>
                      <a14:foregroundMark x1="43438" y1="93664" x2="50313" y2="91105"/>
                      <a14:foregroundMark x1="63920" y1="28340" x2="68693" y2="26186"/>
                      <a14:foregroundMark x1="54347" y1="6648" x2="62585" y2="7772"/>
                      <a14:foregroundMark x1="62585" y1="7772" x2="69631" y2="7366"/>
                      <a14:foregroundMark x1="74034" y1="8396" x2="74034" y2="0"/>
                      <a14:foregroundMark x1="33324" y1="22285" x2="38210" y2="13795"/>
                      <a14:foregroundMark x1="38210" y1="13795" x2="45455" y2="9395"/>
                      <a14:foregroundMark x1="45455" y1="9395" x2="52841" y2="8989"/>
                      <a14:foregroundMark x1="52642" y1="6242" x2="59773" y2="6866"/>
                      <a14:foregroundMark x1="73210" y1="2871" x2="72727" y2="718"/>
                    </a14:backgroundRemoval>
                  </a14:imgEffect>
                </a14:imgLayer>
              </a14:imgProps>
            </a:ext>
            <a:ext uri="{28A0092B-C50C-407E-A947-70E740481C1C}">
              <a14:useLocalDpi xmlns:a14="http://schemas.microsoft.com/office/drawing/2010/main"/>
            </a:ext>
          </a:extLst>
        </a:blip>
        <a:srcRect/>
        <a:stretch>
          <a:fillRect/>
        </a:stretch>
      </xdr:blipFill>
      <xdr:spPr bwMode="auto">
        <a:xfrm>
          <a:off x="5562229" y="10855741"/>
          <a:ext cx="1063857" cy="976392"/>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12</xdr:col>
      <xdr:colOff>270565</xdr:colOff>
      <xdr:row>141</xdr:row>
      <xdr:rowOff>176694</xdr:rowOff>
    </xdr:from>
    <xdr:to>
      <xdr:col>15</xdr:col>
      <xdr:colOff>272189</xdr:colOff>
      <xdr:row>146</xdr:row>
      <xdr:rowOff>115685</xdr:rowOff>
    </xdr:to>
    <xdr:pic>
      <xdr:nvPicPr>
        <xdr:cNvPr id="174" name="Picture 173" descr="https://sharepoint.matthews.com.au/sales/Application%20Photos%20%20Videos/Autolabel/Photos/T63.jpg">
          <a:extLst>
            <a:ext uri="{FF2B5EF4-FFF2-40B4-BE49-F238E27FC236}">
              <a16:creationId xmlns:a16="http://schemas.microsoft.com/office/drawing/2014/main" id="{00000000-0008-0000-0100-0000AE000000}"/>
            </a:ext>
          </a:extLst>
        </xdr:cNvPr>
        <xdr:cNvPicPr>
          <a:picLocks noChangeAspect="1" noChangeArrowheads="1"/>
        </xdr:cNvPicPr>
      </xdr:nvPicPr>
      <xdr:blipFill>
        <a:blip xmlns:r="http://schemas.openxmlformats.org/officeDocument/2006/relationships" r:embed="rId6" cstate="hqprint">
          <a:extLst>
            <a:ext uri="{BEBA8EAE-BF5A-486C-A8C5-ECC9F3942E4B}">
              <a14:imgProps xmlns:a14="http://schemas.microsoft.com/office/drawing/2010/main">
                <a14:imgLayer r:embed="rId7">
                  <a14:imgEffect>
                    <a14:backgroundRemoval t="0" b="93633" l="10000" r="90000">
                      <a14:foregroundMark x1="33125" y1="33333" x2="52756" y2="8396"/>
                      <a14:foregroundMark x1="52756" y1="8396" x2="52756" y2="8396"/>
                      <a14:foregroundMark x1="43438" y1="93664" x2="50313" y2="91105"/>
                      <a14:foregroundMark x1="63920" y1="28340" x2="68693" y2="26186"/>
                      <a14:foregroundMark x1="54347" y1="6648" x2="62585" y2="7772"/>
                      <a14:foregroundMark x1="62585" y1="7772" x2="69631" y2="7366"/>
                      <a14:foregroundMark x1="74034" y1="8396" x2="74034" y2="0"/>
                      <a14:foregroundMark x1="33324" y1="22285" x2="38210" y2="13795"/>
                      <a14:foregroundMark x1="38210" y1="13795" x2="45455" y2="9395"/>
                      <a14:foregroundMark x1="45455" y1="9395" x2="52841" y2="8989"/>
                      <a14:foregroundMark x1="52642" y1="6242" x2="59773" y2="6866"/>
                      <a14:foregroundMark x1="73210" y1="2871" x2="72727" y2="718"/>
                    </a14:backgroundRemoval>
                  </a14:imgEffect>
                </a14:imgLayer>
              </a14:imgProps>
            </a:ext>
            <a:ext uri="{28A0092B-C50C-407E-A947-70E740481C1C}">
              <a14:useLocalDpi xmlns:a14="http://schemas.microsoft.com/office/drawing/2010/main"/>
            </a:ext>
          </a:extLst>
        </a:blip>
        <a:srcRect/>
        <a:stretch>
          <a:fillRect/>
        </a:stretch>
      </xdr:blipFill>
      <xdr:spPr bwMode="auto">
        <a:xfrm>
          <a:off x="5035826" y="19718129"/>
          <a:ext cx="896146" cy="822469"/>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xdr:twoCellAnchor editAs="oneCell">
    <xdr:from>
      <xdr:col>16</xdr:col>
      <xdr:colOff>139882</xdr:colOff>
      <xdr:row>141</xdr:row>
      <xdr:rowOff>176694</xdr:rowOff>
    </xdr:from>
    <xdr:to>
      <xdr:col>19</xdr:col>
      <xdr:colOff>215347</xdr:colOff>
      <xdr:row>147</xdr:row>
      <xdr:rowOff>6760</xdr:rowOff>
    </xdr:to>
    <xdr:pic>
      <xdr:nvPicPr>
        <xdr:cNvPr id="175" name="Picture 174" descr="https://sharepoint.matthews.com.au/sales/Application%20Photos%20%20Videos/Autolabel/Photos/T63.jpg">
          <a:extLst>
            <a:ext uri="{FF2B5EF4-FFF2-40B4-BE49-F238E27FC236}">
              <a16:creationId xmlns:a16="http://schemas.microsoft.com/office/drawing/2014/main" id="{00000000-0008-0000-0100-0000AF000000}"/>
            </a:ext>
          </a:extLst>
        </xdr:cNvPr>
        <xdr:cNvPicPr>
          <a:picLocks noChangeAspect="1" noChangeArrowheads="1"/>
        </xdr:cNvPicPr>
      </xdr:nvPicPr>
      <xdr:blipFill>
        <a:blip xmlns:r="http://schemas.openxmlformats.org/officeDocument/2006/relationships" r:embed="rId8" cstate="hqprint">
          <a:extLst>
            <a:ext uri="{BEBA8EAE-BF5A-486C-A8C5-ECC9F3942E4B}">
              <a14:imgProps xmlns:a14="http://schemas.microsoft.com/office/drawing/2010/main">
                <a14:imgLayer r:embed="rId9">
                  <a14:imgEffect>
                    <a14:backgroundRemoval t="0" b="93633" l="10000" r="90000">
                      <a14:foregroundMark x1="33125" y1="33333" x2="52756" y2="8396"/>
                      <a14:foregroundMark x1="52756" y1="8396" x2="52756" y2="8396"/>
                      <a14:foregroundMark x1="43438" y1="93664" x2="50313" y2="91105"/>
                      <a14:foregroundMark x1="63920" y1="28340" x2="68693" y2="26186"/>
                      <a14:foregroundMark x1="54347" y1="6648" x2="62585" y2="7772"/>
                      <a14:foregroundMark x1="62585" y1="7772" x2="69631" y2="7366"/>
                      <a14:foregroundMark x1="74034" y1="8396" x2="74034" y2="0"/>
                      <a14:foregroundMark x1="33324" y1="22285" x2="38210" y2="13795"/>
                      <a14:foregroundMark x1="38210" y1="13795" x2="45455" y2="9395"/>
                      <a14:foregroundMark x1="45455" y1="9395" x2="52841" y2="8989"/>
                      <a14:foregroundMark x1="52642" y1="6242" x2="59773" y2="6866"/>
                      <a14:foregroundMark x1="73210" y1="2871" x2="72727" y2="718"/>
                    </a14:backgroundRemoval>
                  </a14:imgEffect>
                </a14:imgLayer>
              </a14:imgProps>
            </a:ext>
            <a:ext uri="{28A0092B-C50C-407E-A947-70E740481C1C}">
              <a14:useLocalDpi xmlns:a14="http://schemas.microsoft.com/office/drawing/2010/main"/>
            </a:ext>
          </a:extLst>
        </a:blip>
        <a:srcRect/>
        <a:stretch>
          <a:fillRect/>
        </a:stretch>
      </xdr:blipFill>
      <xdr:spPr bwMode="auto">
        <a:xfrm>
          <a:off x="6097839" y="19718129"/>
          <a:ext cx="969986" cy="890239"/>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xdr:twoCellAnchor>
  <mc:AlternateContent xmlns:mc="http://schemas.openxmlformats.org/markup-compatibility/2006">
    <mc:Choice xmlns:a14="http://schemas.microsoft.com/office/drawing/2010/main" Requires="a14">
      <xdr:twoCellAnchor editAs="oneCell">
        <xdr:from>
          <xdr:col>19</xdr:col>
          <xdr:colOff>142875</xdr:colOff>
          <xdr:row>17</xdr:row>
          <xdr:rowOff>142875</xdr:rowOff>
        </xdr:from>
        <xdr:to>
          <xdr:col>23</xdr:col>
          <xdr:colOff>180975</xdr:colOff>
          <xdr:row>19</xdr:row>
          <xdr:rowOff>28575</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100-00004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Top Mount</a:t>
              </a:r>
            </a:p>
          </xdr:txBody>
        </xdr:sp>
        <xdr:clientData/>
      </xdr:twoCellAnchor>
    </mc:Choice>
    <mc:Fallback/>
  </mc:AlternateContent>
  <xdr:twoCellAnchor editAs="oneCell">
    <xdr:from>
      <xdr:col>15</xdr:col>
      <xdr:colOff>66262</xdr:colOff>
      <xdr:row>48</xdr:row>
      <xdr:rowOff>0</xdr:rowOff>
    </xdr:from>
    <xdr:to>
      <xdr:col>15</xdr:col>
      <xdr:colOff>185002</xdr:colOff>
      <xdr:row>48</xdr:row>
      <xdr:rowOff>120915</xdr:rowOff>
    </xdr:to>
    <xdr:sp macro="" textlink="">
      <xdr:nvSpPr>
        <xdr:cNvPr id="171" name="Isosceles Triangle 170">
          <a:extLst>
            <a:ext uri="{FF2B5EF4-FFF2-40B4-BE49-F238E27FC236}">
              <a16:creationId xmlns:a16="http://schemas.microsoft.com/office/drawing/2014/main" id="{00000000-0008-0000-0100-0000AB000000}"/>
            </a:ext>
          </a:extLst>
        </xdr:cNvPr>
        <xdr:cNvSpPr/>
      </xdr:nvSpPr>
      <xdr:spPr>
        <a:xfrm rot="17862365">
          <a:off x="5724957" y="7753610"/>
          <a:ext cx="120915" cy="11874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21</xdr:col>
      <xdr:colOff>93179</xdr:colOff>
      <xdr:row>48</xdr:row>
      <xdr:rowOff>0</xdr:rowOff>
    </xdr:from>
    <xdr:to>
      <xdr:col>21</xdr:col>
      <xdr:colOff>211919</xdr:colOff>
      <xdr:row>48</xdr:row>
      <xdr:rowOff>113185</xdr:rowOff>
    </xdr:to>
    <xdr:sp macro="" textlink="">
      <xdr:nvSpPr>
        <xdr:cNvPr id="176" name="Isosceles Triangle 175">
          <a:extLst>
            <a:ext uri="{FF2B5EF4-FFF2-40B4-BE49-F238E27FC236}">
              <a16:creationId xmlns:a16="http://schemas.microsoft.com/office/drawing/2014/main" id="{00000000-0008-0000-0100-0000B0000000}"/>
            </a:ext>
          </a:extLst>
        </xdr:cNvPr>
        <xdr:cNvSpPr/>
      </xdr:nvSpPr>
      <xdr:spPr>
        <a:xfrm rot="17862365">
          <a:off x="7544782" y="7749745"/>
          <a:ext cx="113185" cy="11874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mc:AlternateContent xmlns:mc="http://schemas.openxmlformats.org/markup-compatibility/2006">
    <mc:Choice xmlns:a14="http://schemas.microsoft.com/office/drawing/2010/main" Requires="a14">
      <xdr:twoCellAnchor editAs="oneCell">
        <xdr:from>
          <xdr:col>6</xdr:col>
          <xdr:colOff>209550</xdr:colOff>
          <xdr:row>9</xdr:row>
          <xdr:rowOff>142875</xdr:rowOff>
        </xdr:from>
        <xdr:to>
          <xdr:col>9</xdr:col>
          <xdr:colOff>247650</xdr:colOff>
          <xdr:row>11</xdr:row>
          <xdr:rowOff>28575</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100-00004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Direct Thermal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142875</xdr:colOff>
          <xdr:row>9</xdr:row>
          <xdr:rowOff>142875</xdr:rowOff>
        </xdr:from>
        <xdr:to>
          <xdr:col>13</xdr:col>
          <xdr:colOff>257175</xdr:colOff>
          <xdr:row>11</xdr:row>
          <xdr:rowOff>28575</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100-00004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Thermal Transfer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15</xdr:row>
          <xdr:rowOff>171450</xdr:rowOff>
        </xdr:from>
        <xdr:to>
          <xdr:col>9</xdr:col>
          <xdr:colOff>38100</xdr:colOff>
          <xdr:row>17</xdr:row>
          <xdr:rowOff>57150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100-00004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Landscape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142875</xdr:colOff>
          <xdr:row>15</xdr:row>
          <xdr:rowOff>171450</xdr:rowOff>
        </xdr:from>
        <xdr:to>
          <xdr:col>14</xdr:col>
          <xdr:colOff>180975</xdr:colOff>
          <xdr:row>17</xdr:row>
          <xdr:rowOff>57150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100-00004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Portrait</a:t>
              </a:r>
            </a:p>
          </xdr:txBody>
        </xdr:sp>
        <xdr:clientData/>
      </xdr:twoCellAnchor>
    </mc:Choice>
    <mc:Fallback/>
  </mc:AlternateContent>
  <xdr:twoCellAnchor editAs="oneCell">
    <xdr:from>
      <xdr:col>20</xdr:col>
      <xdr:colOff>16566</xdr:colOff>
      <xdr:row>102</xdr:row>
      <xdr:rowOff>93868</xdr:rowOff>
    </xdr:from>
    <xdr:to>
      <xdr:col>23</xdr:col>
      <xdr:colOff>146261</xdr:colOff>
      <xdr:row>108</xdr:row>
      <xdr:rowOff>148557</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3"/>
        <a:stretch>
          <a:fillRect/>
        </a:stretch>
      </xdr:blipFill>
      <xdr:spPr>
        <a:xfrm rot="440863">
          <a:off x="7167218" y="13180390"/>
          <a:ext cx="1024217" cy="1048603"/>
        </a:xfrm>
        <a:prstGeom prst="rect">
          <a:avLst/>
        </a:prstGeom>
      </xdr:spPr>
    </xdr:pic>
    <xdr:clientData/>
  </xdr:twoCellAnchor>
  <xdr:twoCellAnchor editAs="oneCell">
    <xdr:from>
      <xdr:col>10</xdr:col>
      <xdr:colOff>176696</xdr:colOff>
      <xdr:row>94</xdr:row>
      <xdr:rowOff>138045</xdr:rowOff>
    </xdr:from>
    <xdr:to>
      <xdr:col>13</xdr:col>
      <xdr:colOff>80819</xdr:colOff>
      <xdr:row>102</xdr:row>
      <xdr:rowOff>13844</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4"/>
        <a:stretch>
          <a:fillRect/>
        </a:stretch>
      </xdr:blipFill>
      <xdr:spPr>
        <a:xfrm>
          <a:off x="4345609" y="11899349"/>
          <a:ext cx="798645" cy="1201016"/>
        </a:xfrm>
        <a:prstGeom prst="rect">
          <a:avLst/>
        </a:prstGeom>
      </xdr:spPr>
    </xdr:pic>
    <xdr:clientData/>
  </xdr:twoCellAnchor>
  <xdr:twoCellAnchor editAs="oneCell">
    <xdr:from>
      <xdr:col>13</xdr:col>
      <xdr:colOff>149086</xdr:colOff>
      <xdr:row>95</xdr:row>
      <xdr:rowOff>27610</xdr:rowOff>
    </xdr:from>
    <xdr:to>
      <xdr:col>16</xdr:col>
      <xdr:colOff>47113</xdr:colOff>
      <xdr:row>101</xdr:row>
      <xdr:rowOff>76203</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5"/>
        <a:stretch>
          <a:fillRect/>
        </a:stretch>
      </xdr:blipFill>
      <xdr:spPr>
        <a:xfrm>
          <a:off x="5212521" y="11954567"/>
          <a:ext cx="792549" cy="1042506"/>
        </a:xfrm>
        <a:prstGeom prst="rect">
          <a:avLst/>
        </a:prstGeom>
      </xdr:spPr>
    </xdr:pic>
    <xdr:clientData/>
  </xdr:twoCellAnchor>
  <xdr:twoCellAnchor editAs="oneCell">
    <xdr:from>
      <xdr:col>16</xdr:col>
      <xdr:colOff>33130</xdr:colOff>
      <xdr:row>95</xdr:row>
      <xdr:rowOff>115956</xdr:rowOff>
    </xdr:from>
    <xdr:to>
      <xdr:col>19</xdr:col>
      <xdr:colOff>175019</xdr:colOff>
      <xdr:row>100</xdr:row>
      <xdr:rowOff>55857</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6"/>
        <a:stretch>
          <a:fillRect/>
        </a:stretch>
      </xdr:blipFill>
      <xdr:spPr>
        <a:xfrm>
          <a:off x="5991087" y="12042913"/>
          <a:ext cx="1036410" cy="768163"/>
        </a:xfrm>
        <a:prstGeom prst="rect">
          <a:avLst/>
        </a:prstGeom>
      </xdr:spPr>
    </xdr:pic>
    <xdr:clientData/>
  </xdr:twoCellAnchor>
  <xdr:twoCellAnchor editAs="oneCell">
    <xdr:from>
      <xdr:col>19</xdr:col>
      <xdr:colOff>248479</xdr:colOff>
      <xdr:row>95</xdr:row>
      <xdr:rowOff>104913</xdr:rowOff>
    </xdr:from>
    <xdr:to>
      <xdr:col>23</xdr:col>
      <xdr:colOff>98289</xdr:colOff>
      <xdr:row>100</xdr:row>
      <xdr:rowOff>38717</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7"/>
        <a:stretch>
          <a:fillRect/>
        </a:stretch>
      </xdr:blipFill>
      <xdr:spPr>
        <a:xfrm>
          <a:off x="7100957" y="12031870"/>
          <a:ext cx="1042506" cy="762066"/>
        </a:xfrm>
        <a:prstGeom prst="rect">
          <a:avLst/>
        </a:prstGeom>
      </xdr:spPr>
    </xdr:pic>
    <xdr:clientData/>
  </xdr:twoCellAnchor>
  <xdr:twoCellAnchor editAs="oneCell">
    <xdr:from>
      <xdr:col>23</xdr:col>
      <xdr:colOff>138044</xdr:colOff>
      <xdr:row>94</xdr:row>
      <xdr:rowOff>143566</xdr:rowOff>
    </xdr:from>
    <xdr:to>
      <xdr:col>26</xdr:col>
      <xdr:colOff>260475</xdr:colOff>
      <xdr:row>100</xdr:row>
      <xdr:rowOff>45843</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8"/>
        <a:stretch>
          <a:fillRect/>
        </a:stretch>
      </xdr:blipFill>
      <xdr:spPr>
        <a:xfrm>
          <a:off x="8183218" y="11904870"/>
          <a:ext cx="1298561" cy="896190"/>
        </a:xfrm>
        <a:prstGeom prst="rect">
          <a:avLst/>
        </a:prstGeom>
      </xdr:spPr>
    </xdr:pic>
    <xdr:clientData/>
  </xdr:twoCellAnchor>
  <xdr:twoCellAnchor editAs="oneCell">
    <xdr:from>
      <xdr:col>12</xdr:col>
      <xdr:colOff>77304</xdr:colOff>
      <xdr:row>149</xdr:row>
      <xdr:rowOff>0</xdr:rowOff>
    </xdr:from>
    <xdr:to>
      <xdr:col>15</xdr:col>
      <xdr:colOff>170420</xdr:colOff>
      <xdr:row>152</xdr:row>
      <xdr:rowOff>158821</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9"/>
        <a:stretch>
          <a:fillRect/>
        </a:stretch>
      </xdr:blipFill>
      <xdr:spPr>
        <a:xfrm>
          <a:off x="4842565" y="20955000"/>
          <a:ext cx="987638" cy="688908"/>
        </a:xfrm>
        <a:prstGeom prst="rect">
          <a:avLst/>
        </a:prstGeom>
      </xdr:spPr>
    </xdr:pic>
    <xdr:clientData/>
  </xdr:twoCellAnchor>
  <xdr:twoCellAnchor editAs="oneCell">
    <xdr:from>
      <xdr:col>15</xdr:col>
      <xdr:colOff>165653</xdr:colOff>
      <xdr:row>148</xdr:row>
      <xdr:rowOff>143566</xdr:rowOff>
    </xdr:from>
    <xdr:to>
      <xdr:col>18</xdr:col>
      <xdr:colOff>179515</xdr:colOff>
      <xdr:row>152</xdr:row>
      <xdr:rowOff>119594</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20"/>
        <a:stretch>
          <a:fillRect/>
        </a:stretch>
      </xdr:blipFill>
      <xdr:spPr>
        <a:xfrm>
          <a:off x="5825436" y="20921870"/>
          <a:ext cx="908383" cy="682811"/>
        </a:xfrm>
        <a:prstGeom prst="rect">
          <a:avLst/>
        </a:prstGeom>
      </xdr:spPr>
    </xdr:pic>
    <xdr:clientData/>
  </xdr:twoCellAnchor>
  <xdr:twoCellAnchor editAs="oneCell">
    <xdr:from>
      <xdr:col>19</xdr:col>
      <xdr:colOff>16566</xdr:colOff>
      <xdr:row>148</xdr:row>
      <xdr:rowOff>55215</xdr:rowOff>
    </xdr:from>
    <xdr:to>
      <xdr:col>24</xdr:col>
      <xdr:colOff>202241</xdr:colOff>
      <xdr:row>152</xdr:row>
      <xdr:rowOff>134884</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21"/>
        <a:stretch>
          <a:fillRect/>
        </a:stretch>
      </xdr:blipFill>
      <xdr:spPr>
        <a:xfrm>
          <a:off x="6869044" y="20833519"/>
          <a:ext cx="1676545" cy="786452"/>
        </a:xfrm>
        <a:prstGeom prst="rect">
          <a:avLst/>
        </a:prstGeom>
      </xdr:spPr>
    </xdr:pic>
    <xdr:clientData/>
  </xdr:twoCellAnchor>
  <xdr:twoCellAnchor editAs="oneCell">
    <xdr:from>
      <xdr:col>22</xdr:col>
      <xdr:colOff>198783</xdr:colOff>
      <xdr:row>148</xdr:row>
      <xdr:rowOff>88348</xdr:rowOff>
    </xdr:from>
    <xdr:to>
      <xdr:col>26</xdr:col>
      <xdr:colOff>224225</xdr:colOff>
      <xdr:row>151</xdr:row>
      <xdr:rowOff>143528</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22"/>
        <a:stretch>
          <a:fillRect/>
        </a:stretch>
      </xdr:blipFill>
      <xdr:spPr>
        <a:xfrm>
          <a:off x="7945783" y="20866652"/>
          <a:ext cx="1499746" cy="585267"/>
        </a:xfrm>
        <a:prstGeom prst="rect">
          <a:avLst/>
        </a:prstGeom>
      </xdr:spPr>
    </xdr:pic>
    <xdr:clientData/>
  </xdr:twoCellAnchor>
  <xdr:twoCellAnchor editAs="oneCell">
    <xdr:from>
      <xdr:col>12</xdr:col>
      <xdr:colOff>165651</xdr:colOff>
      <xdr:row>154</xdr:row>
      <xdr:rowOff>176695</xdr:rowOff>
    </xdr:from>
    <xdr:to>
      <xdr:col>16</xdr:col>
      <xdr:colOff>149585</xdr:colOff>
      <xdr:row>159</xdr:row>
      <xdr:rowOff>140635</xdr:rowOff>
    </xdr:to>
    <xdr:pic>
      <xdr:nvPicPr>
        <xdr:cNvPr id="238" name="Picture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23"/>
        <a:stretch>
          <a:fillRect/>
        </a:stretch>
      </xdr:blipFill>
      <xdr:spPr>
        <a:xfrm rot="307198">
          <a:off x="4930912" y="22015173"/>
          <a:ext cx="1176630" cy="847417"/>
        </a:xfrm>
        <a:prstGeom prst="rect">
          <a:avLst/>
        </a:prstGeom>
      </xdr:spPr>
    </xdr:pic>
    <xdr:clientData/>
  </xdr:twoCellAnchor>
  <xdr:twoCellAnchor editAs="oneCell">
    <xdr:from>
      <xdr:col>15</xdr:col>
      <xdr:colOff>182217</xdr:colOff>
      <xdr:row>154</xdr:row>
      <xdr:rowOff>60739</xdr:rowOff>
    </xdr:from>
    <xdr:to>
      <xdr:col>19</xdr:col>
      <xdr:colOff>166152</xdr:colOff>
      <xdr:row>159</xdr:row>
      <xdr:rowOff>6390</xdr:rowOff>
    </xdr:to>
    <xdr:pic>
      <xdr:nvPicPr>
        <xdr:cNvPr id="5158" name="Picture 5157">
          <a:extLst>
            <a:ext uri="{FF2B5EF4-FFF2-40B4-BE49-F238E27FC236}">
              <a16:creationId xmlns:a16="http://schemas.microsoft.com/office/drawing/2014/main" id="{00000000-0008-0000-0100-000026140000}"/>
            </a:ext>
          </a:extLst>
        </xdr:cNvPr>
        <xdr:cNvPicPr>
          <a:picLocks noChangeAspect="1"/>
        </xdr:cNvPicPr>
      </xdr:nvPicPr>
      <xdr:blipFill>
        <a:blip xmlns:r="http://schemas.openxmlformats.org/officeDocument/2006/relationships" r:embed="rId24"/>
        <a:stretch>
          <a:fillRect/>
        </a:stretch>
      </xdr:blipFill>
      <xdr:spPr>
        <a:xfrm rot="286088">
          <a:off x="5842000" y="21899217"/>
          <a:ext cx="1176630" cy="829128"/>
        </a:xfrm>
        <a:prstGeom prst="rect">
          <a:avLst/>
        </a:prstGeom>
      </xdr:spPr>
    </xdr:pic>
    <xdr:clientData/>
  </xdr:twoCellAnchor>
  <xdr:twoCellAnchor editAs="oneCell">
    <xdr:from>
      <xdr:col>19</xdr:col>
      <xdr:colOff>198782</xdr:colOff>
      <xdr:row>154</xdr:row>
      <xdr:rowOff>44174</xdr:rowOff>
    </xdr:from>
    <xdr:to>
      <xdr:col>23</xdr:col>
      <xdr:colOff>133944</xdr:colOff>
      <xdr:row>159</xdr:row>
      <xdr:rowOff>81273</xdr:rowOff>
    </xdr:to>
    <xdr:pic>
      <xdr:nvPicPr>
        <xdr:cNvPr id="5163" name="Picture 5162">
          <a:extLst>
            <a:ext uri="{FF2B5EF4-FFF2-40B4-BE49-F238E27FC236}">
              <a16:creationId xmlns:a16="http://schemas.microsoft.com/office/drawing/2014/main" id="{00000000-0008-0000-0100-00002B140000}"/>
            </a:ext>
          </a:extLst>
        </xdr:cNvPr>
        <xdr:cNvPicPr>
          <a:picLocks noChangeAspect="1"/>
        </xdr:cNvPicPr>
      </xdr:nvPicPr>
      <xdr:blipFill>
        <a:blip xmlns:r="http://schemas.openxmlformats.org/officeDocument/2006/relationships" r:embed="rId25"/>
        <a:stretch>
          <a:fillRect/>
        </a:stretch>
      </xdr:blipFill>
      <xdr:spPr>
        <a:xfrm>
          <a:off x="7051260" y="21882652"/>
          <a:ext cx="1127858" cy="920576"/>
        </a:xfrm>
        <a:prstGeom prst="rect">
          <a:avLst/>
        </a:prstGeom>
      </xdr:spPr>
    </xdr:pic>
    <xdr:clientData/>
  </xdr:twoCellAnchor>
  <xdr:twoCellAnchor editAs="oneCell">
    <xdr:from>
      <xdr:col>22</xdr:col>
      <xdr:colOff>287129</xdr:colOff>
      <xdr:row>154</xdr:row>
      <xdr:rowOff>66261</xdr:rowOff>
    </xdr:from>
    <xdr:to>
      <xdr:col>25</xdr:col>
      <xdr:colOff>514368</xdr:colOff>
      <xdr:row>159</xdr:row>
      <xdr:rowOff>115553</xdr:rowOff>
    </xdr:to>
    <xdr:pic>
      <xdr:nvPicPr>
        <xdr:cNvPr id="5167" name="Picture 5166">
          <a:extLst>
            <a:ext uri="{FF2B5EF4-FFF2-40B4-BE49-F238E27FC236}">
              <a16:creationId xmlns:a16="http://schemas.microsoft.com/office/drawing/2014/main" id="{00000000-0008-0000-0100-00002F140000}"/>
            </a:ext>
          </a:extLst>
        </xdr:cNvPr>
        <xdr:cNvPicPr>
          <a:picLocks noChangeAspect="1"/>
        </xdr:cNvPicPr>
      </xdr:nvPicPr>
      <xdr:blipFill>
        <a:blip xmlns:r="http://schemas.openxmlformats.org/officeDocument/2006/relationships" r:embed="rId26"/>
        <a:stretch>
          <a:fillRect/>
        </a:stretch>
      </xdr:blipFill>
      <xdr:spPr>
        <a:xfrm>
          <a:off x="8034129" y="21904739"/>
          <a:ext cx="1121761" cy="93276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0</xdr:colOff>
          <xdr:row>72</xdr:row>
          <xdr:rowOff>133350</xdr:rowOff>
        </xdr:from>
        <xdr:to>
          <xdr:col>11</xdr:col>
          <xdr:colOff>285750</xdr:colOff>
          <xdr:row>74</xdr:row>
          <xdr:rowOff>19050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100-00004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Washdown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72</xdr:row>
          <xdr:rowOff>133350</xdr:rowOff>
        </xdr:from>
        <xdr:to>
          <xdr:col>15</xdr:col>
          <xdr:colOff>190500</xdr:colOff>
          <xdr:row>74</xdr:row>
          <xdr:rowOff>19050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100-00004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Humidity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74</xdr:row>
          <xdr:rowOff>133350</xdr:rowOff>
        </xdr:from>
        <xdr:to>
          <xdr:col>18</xdr:col>
          <xdr:colOff>38100</xdr:colOff>
          <xdr:row>76</xdr:row>
          <xdr:rowOff>19050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100-00004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Damp / Condensing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74</xdr:row>
          <xdr:rowOff>133350</xdr:rowOff>
        </xdr:from>
        <xdr:to>
          <xdr:col>11</xdr:col>
          <xdr:colOff>285750</xdr:colOff>
          <xdr:row>76</xdr:row>
          <xdr:rowOff>19050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100-00004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Tahoma"/>
                  <a:ea typeface="Tahoma"/>
                  <a:cs typeface="Tahoma"/>
                </a:rPr>
                <a:t>Dusty</a:t>
              </a:r>
            </a:p>
          </xdr:txBody>
        </xdr:sp>
        <xdr:clientData/>
      </xdr:twoCellAnchor>
    </mc:Choice>
    <mc:Fallback/>
  </mc:AlternateContent>
  <xdr:twoCellAnchor editAs="oneCell">
    <xdr:from>
      <xdr:col>15</xdr:col>
      <xdr:colOff>66262</xdr:colOff>
      <xdr:row>54</xdr:row>
      <xdr:rowOff>0</xdr:rowOff>
    </xdr:from>
    <xdr:to>
      <xdr:col>15</xdr:col>
      <xdr:colOff>185002</xdr:colOff>
      <xdr:row>54</xdr:row>
      <xdr:rowOff>120915</xdr:rowOff>
    </xdr:to>
    <xdr:sp macro="" textlink="">
      <xdr:nvSpPr>
        <xdr:cNvPr id="112" name="Isosceles Triangle 111">
          <a:extLst>
            <a:ext uri="{FF2B5EF4-FFF2-40B4-BE49-F238E27FC236}">
              <a16:creationId xmlns:a16="http://schemas.microsoft.com/office/drawing/2014/main" id="{00000000-0008-0000-0100-000070000000}"/>
            </a:ext>
          </a:extLst>
        </xdr:cNvPr>
        <xdr:cNvSpPr/>
      </xdr:nvSpPr>
      <xdr:spPr>
        <a:xfrm rot="17862365">
          <a:off x="5724957" y="8615001"/>
          <a:ext cx="120915" cy="11874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21</xdr:col>
      <xdr:colOff>93179</xdr:colOff>
      <xdr:row>54</xdr:row>
      <xdr:rowOff>0</xdr:rowOff>
    </xdr:from>
    <xdr:to>
      <xdr:col>21</xdr:col>
      <xdr:colOff>211919</xdr:colOff>
      <xdr:row>54</xdr:row>
      <xdr:rowOff>113185</xdr:rowOff>
    </xdr:to>
    <xdr:sp macro="" textlink="">
      <xdr:nvSpPr>
        <xdr:cNvPr id="113" name="Isosceles Triangle 112">
          <a:extLst>
            <a:ext uri="{FF2B5EF4-FFF2-40B4-BE49-F238E27FC236}">
              <a16:creationId xmlns:a16="http://schemas.microsoft.com/office/drawing/2014/main" id="{00000000-0008-0000-0100-000071000000}"/>
            </a:ext>
          </a:extLst>
        </xdr:cNvPr>
        <xdr:cNvSpPr/>
      </xdr:nvSpPr>
      <xdr:spPr>
        <a:xfrm rot="17862365">
          <a:off x="7544782" y="8611136"/>
          <a:ext cx="113185" cy="11874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138043</xdr:colOff>
      <xdr:row>46</xdr:row>
      <xdr:rowOff>77303</xdr:rowOff>
    </xdr:from>
    <xdr:to>
      <xdr:col>5</xdr:col>
      <xdr:colOff>204304</xdr:colOff>
      <xdr:row>48</xdr:row>
      <xdr:rowOff>143564</xdr:rowOff>
    </xdr:to>
    <xdr:sp macro="" textlink="">
      <xdr:nvSpPr>
        <xdr:cNvPr id="2" name="Left Brace 1">
          <a:extLst>
            <a:ext uri="{FF2B5EF4-FFF2-40B4-BE49-F238E27FC236}">
              <a16:creationId xmlns:a16="http://schemas.microsoft.com/office/drawing/2014/main" id="{00000000-0008-0000-0100-000002000000}"/>
            </a:ext>
          </a:extLst>
        </xdr:cNvPr>
        <xdr:cNvSpPr/>
      </xdr:nvSpPr>
      <xdr:spPr>
        <a:xfrm>
          <a:off x="2816086" y="6283738"/>
          <a:ext cx="66261" cy="397565"/>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AU" sz="1100"/>
        </a:p>
      </xdr:txBody>
    </xdr:sp>
    <xdr:clientData/>
  </xdr:twoCellAnchor>
  <xdr:twoCellAnchor>
    <xdr:from>
      <xdr:col>5</xdr:col>
      <xdr:colOff>138043</xdr:colOff>
      <xdr:row>52</xdr:row>
      <xdr:rowOff>66261</xdr:rowOff>
    </xdr:from>
    <xdr:to>
      <xdr:col>5</xdr:col>
      <xdr:colOff>204304</xdr:colOff>
      <xdr:row>54</xdr:row>
      <xdr:rowOff>132522</xdr:rowOff>
    </xdr:to>
    <xdr:sp macro="" textlink="">
      <xdr:nvSpPr>
        <xdr:cNvPr id="115" name="Left Brace 114">
          <a:extLst>
            <a:ext uri="{FF2B5EF4-FFF2-40B4-BE49-F238E27FC236}">
              <a16:creationId xmlns:a16="http://schemas.microsoft.com/office/drawing/2014/main" id="{00000000-0008-0000-0100-000073000000}"/>
            </a:ext>
          </a:extLst>
        </xdr:cNvPr>
        <xdr:cNvSpPr/>
      </xdr:nvSpPr>
      <xdr:spPr>
        <a:xfrm>
          <a:off x="2816086" y="7134087"/>
          <a:ext cx="66261" cy="397565"/>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AU" sz="1100"/>
        </a:p>
      </xdr:txBody>
    </xdr:sp>
    <xdr:clientData/>
  </xdr:twoCellAnchor>
  <xdr:twoCellAnchor editAs="oneCell">
    <xdr:from>
      <xdr:col>15</xdr:col>
      <xdr:colOff>66262</xdr:colOff>
      <xdr:row>52</xdr:row>
      <xdr:rowOff>2</xdr:rowOff>
    </xdr:from>
    <xdr:to>
      <xdr:col>15</xdr:col>
      <xdr:colOff>185002</xdr:colOff>
      <xdr:row>52</xdr:row>
      <xdr:rowOff>120917</xdr:rowOff>
    </xdr:to>
    <xdr:sp macro="" textlink="">
      <xdr:nvSpPr>
        <xdr:cNvPr id="123" name="Isosceles Triangle 122">
          <a:extLst>
            <a:ext uri="{FF2B5EF4-FFF2-40B4-BE49-F238E27FC236}">
              <a16:creationId xmlns:a16="http://schemas.microsoft.com/office/drawing/2014/main" id="{00000000-0008-0000-0100-00007B000000}"/>
            </a:ext>
          </a:extLst>
        </xdr:cNvPr>
        <xdr:cNvSpPr/>
      </xdr:nvSpPr>
      <xdr:spPr>
        <a:xfrm rot="17862365">
          <a:off x="5724957" y="8283699"/>
          <a:ext cx="120915" cy="11874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21</xdr:col>
      <xdr:colOff>94976</xdr:colOff>
      <xdr:row>52</xdr:row>
      <xdr:rowOff>3313</xdr:rowOff>
    </xdr:from>
    <xdr:to>
      <xdr:col>21</xdr:col>
      <xdr:colOff>213716</xdr:colOff>
      <xdr:row>52</xdr:row>
      <xdr:rowOff>124228</xdr:rowOff>
    </xdr:to>
    <xdr:sp macro="" textlink="">
      <xdr:nvSpPr>
        <xdr:cNvPr id="124" name="Isosceles Triangle 123">
          <a:extLst>
            <a:ext uri="{FF2B5EF4-FFF2-40B4-BE49-F238E27FC236}">
              <a16:creationId xmlns:a16="http://schemas.microsoft.com/office/drawing/2014/main" id="{00000000-0008-0000-0100-00007C000000}"/>
            </a:ext>
          </a:extLst>
        </xdr:cNvPr>
        <xdr:cNvSpPr/>
      </xdr:nvSpPr>
      <xdr:spPr>
        <a:xfrm rot="17862365">
          <a:off x="7542714" y="8287010"/>
          <a:ext cx="120915" cy="11874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21</xdr:col>
      <xdr:colOff>94976</xdr:colOff>
      <xdr:row>46</xdr:row>
      <xdr:rowOff>1104</xdr:rowOff>
    </xdr:from>
    <xdr:to>
      <xdr:col>21</xdr:col>
      <xdr:colOff>213716</xdr:colOff>
      <xdr:row>46</xdr:row>
      <xdr:rowOff>122019</xdr:rowOff>
    </xdr:to>
    <xdr:sp macro="" textlink="">
      <xdr:nvSpPr>
        <xdr:cNvPr id="125" name="Isosceles Triangle 124">
          <a:extLst>
            <a:ext uri="{FF2B5EF4-FFF2-40B4-BE49-F238E27FC236}">
              <a16:creationId xmlns:a16="http://schemas.microsoft.com/office/drawing/2014/main" id="{00000000-0008-0000-0100-00007D000000}"/>
            </a:ext>
          </a:extLst>
        </xdr:cNvPr>
        <xdr:cNvSpPr/>
      </xdr:nvSpPr>
      <xdr:spPr>
        <a:xfrm rot="17862365">
          <a:off x="7542714" y="7495192"/>
          <a:ext cx="120915" cy="11874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15</xdr:col>
      <xdr:colOff>66262</xdr:colOff>
      <xdr:row>45</xdr:row>
      <xdr:rowOff>37548</xdr:rowOff>
    </xdr:from>
    <xdr:to>
      <xdr:col>15</xdr:col>
      <xdr:colOff>185002</xdr:colOff>
      <xdr:row>46</xdr:row>
      <xdr:rowOff>114289</xdr:rowOff>
    </xdr:to>
    <xdr:sp macro="" textlink="">
      <xdr:nvSpPr>
        <xdr:cNvPr id="127" name="Isosceles Triangle 126">
          <a:extLst>
            <a:ext uri="{FF2B5EF4-FFF2-40B4-BE49-F238E27FC236}">
              <a16:creationId xmlns:a16="http://schemas.microsoft.com/office/drawing/2014/main" id="{00000000-0008-0000-0100-00007F000000}"/>
            </a:ext>
          </a:extLst>
        </xdr:cNvPr>
        <xdr:cNvSpPr/>
      </xdr:nvSpPr>
      <xdr:spPr>
        <a:xfrm rot="17862365">
          <a:off x="5724957" y="7487462"/>
          <a:ext cx="120915" cy="11874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561975</xdr:colOff>
      <xdr:row>2</xdr:row>
      <xdr:rowOff>0</xdr:rowOff>
    </xdr:from>
    <xdr:to>
      <xdr:col>11</xdr:col>
      <xdr:colOff>236025</xdr:colOff>
      <xdr:row>41</xdr:row>
      <xdr:rowOff>19050</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8267700" y="323850"/>
          <a:ext cx="283650" cy="776287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xdr:col>
      <xdr:colOff>9525</xdr:colOff>
      <xdr:row>40</xdr:row>
      <xdr:rowOff>142875</xdr:rowOff>
    </xdr:from>
    <xdr:to>
      <xdr:col>11</xdr:col>
      <xdr:colOff>221400</xdr:colOff>
      <xdr:row>41</xdr:row>
      <xdr:rowOff>28575</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flipH="1">
          <a:off x="619125" y="8048625"/>
          <a:ext cx="7917600"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oneCellAnchor>
    <xdr:from>
      <xdr:col>1</xdr:col>
      <xdr:colOff>133350</xdr:colOff>
      <xdr:row>2</xdr:row>
      <xdr:rowOff>95250</xdr:rowOff>
    </xdr:from>
    <xdr:ext cx="4351576" cy="468013"/>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742950" y="419100"/>
          <a:ext cx="4351576"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t>Special Price Authorisation</a:t>
          </a:r>
          <a:r>
            <a:rPr lang="en-AU" sz="2400" b="1" baseline="0"/>
            <a:t> Form</a:t>
          </a:r>
          <a:endParaRPr lang="en-AU" sz="2400" b="1"/>
        </a:p>
      </xdr:txBody>
    </xdr:sp>
    <xdr:clientData/>
  </xdr:oneCellAnchor>
  <xdr:twoCellAnchor>
    <xdr:from>
      <xdr:col>13</xdr:col>
      <xdr:colOff>2190750</xdr:colOff>
      <xdr:row>5</xdr:row>
      <xdr:rowOff>152400</xdr:rowOff>
    </xdr:from>
    <xdr:to>
      <xdr:col>14</xdr:col>
      <xdr:colOff>245550</xdr:colOff>
      <xdr:row>26</xdr:row>
      <xdr:rowOff>9525</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11725275" y="962025"/>
          <a:ext cx="283650" cy="468630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13</xdr:col>
      <xdr:colOff>0</xdr:colOff>
      <xdr:row>25</xdr:row>
      <xdr:rowOff>47625</xdr:rowOff>
    </xdr:from>
    <xdr:to>
      <xdr:col>14</xdr:col>
      <xdr:colOff>247950</xdr:colOff>
      <xdr:row>26</xdr:row>
      <xdr:rowOff>28575</xdr:rowOff>
    </xdr:to>
    <xdr:sp macro="" textlink="">
      <xdr:nvSpPr>
        <xdr:cNvPr id="6" name="Rectangle 5">
          <a:extLst>
            <a:ext uri="{FF2B5EF4-FFF2-40B4-BE49-F238E27FC236}">
              <a16:creationId xmlns:a16="http://schemas.microsoft.com/office/drawing/2014/main" id="{00000000-0008-0000-0200-000006000000}"/>
            </a:ext>
          </a:extLst>
        </xdr:cNvPr>
        <xdr:cNvSpPr/>
      </xdr:nvSpPr>
      <xdr:spPr>
        <a:xfrm flipH="1">
          <a:off x="9534525" y="5619750"/>
          <a:ext cx="2476800"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238124</xdr:colOff>
      <xdr:row>2</xdr:row>
      <xdr:rowOff>9525</xdr:rowOff>
    </xdr:from>
    <xdr:to>
      <xdr:col>8</xdr:col>
      <xdr:colOff>16949</xdr:colOff>
      <xdr:row>284</xdr:row>
      <xdr:rowOff>3975</xdr:rowOff>
    </xdr:to>
    <xdr:sp macro="" textlink="">
      <xdr:nvSpPr>
        <xdr:cNvPr id="6" name="Rectangle 5">
          <a:extLst>
            <a:ext uri="{FF2B5EF4-FFF2-40B4-BE49-F238E27FC236}">
              <a16:creationId xmlns:a16="http://schemas.microsoft.com/office/drawing/2014/main" id="{00000000-0008-0000-0300-000006000000}"/>
            </a:ext>
          </a:extLst>
        </xdr:cNvPr>
        <xdr:cNvSpPr/>
      </xdr:nvSpPr>
      <xdr:spPr>
        <a:xfrm>
          <a:off x="9143999" y="333375"/>
          <a:ext cx="36000" cy="1134825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4</xdr:col>
      <xdr:colOff>2819400</xdr:colOff>
      <xdr:row>232</xdr:row>
      <xdr:rowOff>8830</xdr:rowOff>
    </xdr:from>
    <xdr:to>
      <xdr:col>6</xdr:col>
      <xdr:colOff>38652</xdr:colOff>
      <xdr:row>234</xdr:row>
      <xdr:rowOff>14352</xdr:rowOff>
    </xdr:to>
    <xdr:grpSp>
      <xdr:nvGrpSpPr>
        <xdr:cNvPr id="10" name="Group 9">
          <a:extLst>
            <a:ext uri="{FF2B5EF4-FFF2-40B4-BE49-F238E27FC236}">
              <a16:creationId xmlns:a16="http://schemas.microsoft.com/office/drawing/2014/main" id="{00000000-0008-0000-0300-00000A000000}"/>
            </a:ext>
          </a:extLst>
        </xdr:cNvPr>
        <xdr:cNvGrpSpPr/>
      </xdr:nvGrpSpPr>
      <xdr:grpSpPr>
        <a:xfrm>
          <a:off x="6524625" y="30850780"/>
          <a:ext cx="2077002" cy="376997"/>
          <a:chOff x="6745534" y="9887223"/>
          <a:chExt cx="1907031" cy="408609"/>
        </a:xfrm>
      </xdr:grpSpPr>
      <xdr:pic macro="[0]!MailitoError">
        <xdr:nvPicPr>
          <xdr:cNvPr id="4" name="Graphic 3" descr="Envelope">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8243956" y="9887223"/>
            <a:ext cx="408609" cy="408609"/>
          </a:xfrm>
          <a:prstGeom prst="rect">
            <a:avLst/>
          </a:prstGeom>
        </xdr:spPr>
      </xdr:pic>
      <xdr:sp macro="[0]!MailitoError" textlink="">
        <xdr:nvSpPr>
          <xdr:cNvPr id="9" name="TextBox 8">
            <a:extLst>
              <a:ext uri="{FF2B5EF4-FFF2-40B4-BE49-F238E27FC236}">
                <a16:creationId xmlns:a16="http://schemas.microsoft.com/office/drawing/2014/main" id="{00000000-0008-0000-0300-000009000000}"/>
              </a:ext>
            </a:extLst>
          </xdr:cNvPr>
          <xdr:cNvSpPr txBox="1"/>
        </xdr:nvSpPr>
        <xdr:spPr>
          <a:xfrm>
            <a:off x="6745534" y="9983305"/>
            <a:ext cx="1534652"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r"/>
            <a:r>
              <a:rPr lang="en-AU" sz="1000" b="1" i="0">
                <a:solidFill>
                  <a:schemeClr val="accent2">
                    <a:lumMod val="60000"/>
                    <a:lumOff val="40000"/>
                  </a:schemeClr>
                </a:solidFill>
                <a:latin typeface="Times New Roman" panose="02020603050405020304" pitchFamily="18" charset="0"/>
                <a:cs typeface="Times New Roman" panose="02020603050405020304" pitchFamily="18" charset="0"/>
              </a:rPr>
              <a:t>Report Error / Omission</a:t>
            </a:r>
          </a:p>
        </xdr:txBody>
      </xdr:sp>
    </xdr:grpSp>
    <xdr:clientData/>
  </xdr:twoCellAnchor>
  <xdr:twoCellAnchor editAs="oneCell">
    <xdr:from>
      <xdr:col>2</xdr:col>
      <xdr:colOff>0</xdr:colOff>
      <xdr:row>235</xdr:row>
      <xdr:rowOff>12700</xdr:rowOff>
    </xdr:from>
    <xdr:to>
      <xdr:col>5</xdr:col>
      <xdr:colOff>1381125</xdr:colOff>
      <xdr:row>270</xdr:row>
      <xdr:rowOff>69850</xdr:rowOff>
    </xdr:to>
    <xdr:sp macro="" textlink="" fLocksText="0">
      <xdr:nvSpPr>
        <xdr:cNvPr id="11" name="PM_Feedback">
          <a:extLst>
            <a:ext uri="{FF2B5EF4-FFF2-40B4-BE49-F238E27FC236}">
              <a16:creationId xmlns:a16="http://schemas.microsoft.com/office/drawing/2014/main" id="{00000000-0008-0000-0300-00000B000000}"/>
            </a:ext>
          </a:extLst>
        </xdr:cNvPr>
        <xdr:cNvSpPr txBox="1"/>
      </xdr:nvSpPr>
      <xdr:spPr>
        <a:xfrm>
          <a:off x="1219200" y="28273375"/>
          <a:ext cx="7286625" cy="3495675"/>
        </a:xfrm>
        <a:prstGeom prst="rect">
          <a:avLst/>
        </a:prstGeom>
        <a:solidFill>
          <a:schemeClr val="lt1"/>
        </a:solidFill>
        <a:ln w="3175" cmpd="sng">
          <a:solidFill>
            <a:schemeClr val="accent2">
              <a:lumMod val="40000"/>
              <a:lumOff val="6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u="sng">
              <a:solidFill>
                <a:schemeClr val="accent2">
                  <a:lumMod val="75000"/>
                </a:schemeClr>
              </a:solidFill>
            </a:rPr>
            <a:t>Project Manager:</a:t>
          </a:r>
          <a:r>
            <a:rPr lang="en-AU" sz="1100" b="1" u="sng" baseline="0">
              <a:solidFill>
                <a:schemeClr val="accent2">
                  <a:lumMod val="75000"/>
                </a:schemeClr>
              </a:solidFill>
            </a:rPr>
            <a:t> CHOP </a:t>
          </a:r>
          <a:r>
            <a:rPr lang="en-AU" sz="1100" b="1" u="sng">
              <a:solidFill>
                <a:schemeClr val="accent2">
                  <a:lumMod val="75000"/>
                </a:schemeClr>
              </a:solidFill>
            </a:rPr>
            <a:t>Feedback</a:t>
          </a:r>
          <a:endParaRPr lang="en-AU" sz="1100" b="1" u="sng" baseline="0">
            <a:solidFill>
              <a:schemeClr val="accent2">
                <a:lumMod val="75000"/>
              </a:schemeClr>
            </a:solidFill>
          </a:endParaRPr>
        </a:p>
        <a:p>
          <a:endParaRPr lang="en-AU" sz="1100"/>
        </a:p>
        <a:p>
          <a:endParaRPr lang="en-AU" sz="1100"/>
        </a:p>
        <a:p>
          <a:endParaRPr lang="en-AU" sz="1100"/>
        </a:p>
      </xdr:txBody>
    </xdr:sp>
    <xdr:clientData/>
  </xdr:twoCellAnchor>
  <xdr:twoCellAnchor>
    <xdr:from>
      <xdr:col>5</xdr:col>
      <xdr:colOff>834060</xdr:colOff>
      <xdr:row>3</xdr:row>
      <xdr:rowOff>97183</xdr:rowOff>
    </xdr:from>
    <xdr:to>
      <xdr:col>6</xdr:col>
      <xdr:colOff>552727</xdr:colOff>
      <xdr:row>4</xdr:row>
      <xdr:rowOff>230532</xdr:rowOff>
    </xdr:to>
    <xdr:grpSp>
      <xdr:nvGrpSpPr>
        <xdr:cNvPr id="14" name="Group 13">
          <a:extLst>
            <a:ext uri="{FF2B5EF4-FFF2-40B4-BE49-F238E27FC236}">
              <a16:creationId xmlns:a16="http://schemas.microsoft.com/office/drawing/2014/main" id="{00000000-0008-0000-0300-00000E000000}"/>
            </a:ext>
          </a:extLst>
        </xdr:cNvPr>
        <xdr:cNvGrpSpPr/>
      </xdr:nvGrpSpPr>
      <xdr:grpSpPr>
        <a:xfrm>
          <a:off x="7977810" y="582958"/>
          <a:ext cx="1137892" cy="295274"/>
          <a:chOff x="5383696" y="9955696"/>
          <a:chExt cx="1198217" cy="292651"/>
        </a:xfrm>
      </xdr:grpSpPr>
      <xdr:pic macro="[0]!PrintSelectKey">
        <xdr:nvPicPr>
          <xdr:cNvPr id="12" name="Graphic 11" descr="Printer">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 uri="{96DAC541-7B7A-43D3-8B79-37D633B846F1}">
                <asvg:svgBlip xmlns:asvg="http://schemas.microsoft.com/office/drawing/2016/SVG/main" r:embed="rId4"/>
              </a:ext>
            </a:extLst>
          </a:blip>
          <a:stretch>
            <a:fillRect/>
          </a:stretch>
        </xdr:blipFill>
        <xdr:spPr>
          <a:xfrm>
            <a:off x="6289262" y="9955696"/>
            <a:ext cx="292651" cy="292651"/>
          </a:xfrm>
          <a:prstGeom prst="rect">
            <a:avLst/>
          </a:prstGeom>
        </xdr:spPr>
      </xdr:pic>
      <xdr:sp macro="[0]!PrintSelectKey" textlink="">
        <xdr:nvSpPr>
          <xdr:cNvPr id="13" name="TextBox 12">
            <a:extLst>
              <a:ext uri="{FF2B5EF4-FFF2-40B4-BE49-F238E27FC236}">
                <a16:creationId xmlns:a16="http://schemas.microsoft.com/office/drawing/2014/main" id="{00000000-0008-0000-0300-00000D000000}"/>
              </a:ext>
            </a:extLst>
          </xdr:cNvPr>
          <xdr:cNvSpPr txBox="1"/>
        </xdr:nvSpPr>
        <xdr:spPr>
          <a:xfrm>
            <a:off x="5383696" y="9966739"/>
            <a:ext cx="971804" cy="2544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50" b="1">
                <a:solidFill>
                  <a:schemeClr val="accent3">
                    <a:lumMod val="60000"/>
                    <a:lumOff val="40000"/>
                  </a:schemeClr>
                </a:solidFill>
                <a:latin typeface="Times New Roman" panose="02020603050405020304" pitchFamily="18" charset="0"/>
                <a:cs typeface="Times New Roman" panose="02020603050405020304" pitchFamily="18" charset="0"/>
              </a:rPr>
              <a:t>Print Project</a:t>
            </a:r>
          </a:p>
        </xdr:txBody>
      </xdr:sp>
    </xdr:grpSp>
    <xdr:clientData/>
  </xdr:twoCellAnchor>
  <xdr:twoCellAnchor>
    <xdr:from>
      <xdr:col>5</xdr:col>
      <xdr:colOff>793750</xdr:colOff>
      <xdr:row>275</xdr:row>
      <xdr:rowOff>6350</xdr:rowOff>
    </xdr:from>
    <xdr:to>
      <xdr:col>6</xdr:col>
      <xdr:colOff>360127</xdr:colOff>
      <xdr:row>279</xdr:row>
      <xdr:rowOff>95250</xdr:rowOff>
    </xdr:to>
    <xdr:grpSp>
      <xdr:nvGrpSpPr>
        <xdr:cNvPr id="15" name="Group 14">
          <a:hlinkClick xmlns:r="http://schemas.openxmlformats.org/officeDocument/2006/relationships" r:id="rId5"/>
          <a:extLst>
            <a:ext uri="{FF2B5EF4-FFF2-40B4-BE49-F238E27FC236}">
              <a16:creationId xmlns:a16="http://schemas.microsoft.com/office/drawing/2014/main" id="{00000000-0008-0000-0300-00000F000000}"/>
            </a:ext>
          </a:extLst>
        </xdr:cNvPr>
        <xdr:cNvGrpSpPr/>
      </xdr:nvGrpSpPr>
      <xdr:grpSpPr>
        <a:xfrm>
          <a:off x="7937500" y="35629850"/>
          <a:ext cx="985602" cy="736600"/>
          <a:chOff x="6788150" y="2019300"/>
          <a:chExt cx="1045927" cy="723900"/>
        </a:xfrm>
      </xdr:grpSpPr>
      <xdr:pic>
        <xdr:nvPicPr>
          <xdr:cNvPr id="16" name="Graphic 15" descr="Box trolley">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a:ext>
              <a:ext uri="{96DAC541-7B7A-43D3-8B79-37D633B846F1}">
                <asvg:svgBlip xmlns:asvg="http://schemas.microsoft.com/office/drawing/2016/SVG/main" r:embed="rId7"/>
              </a:ext>
            </a:extLst>
          </a:blip>
          <a:stretch>
            <a:fillRect/>
          </a:stretch>
        </xdr:blipFill>
        <xdr:spPr>
          <a:xfrm>
            <a:off x="6965950" y="2260600"/>
            <a:ext cx="482600" cy="482600"/>
          </a:xfrm>
          <a:prstGeom prst="rect">
            <a:avLst/>
          </a:prstGeom>
        </xdr:spPr>
      </xdr:pic>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6788150" y="2019300"/>
            <a:ext cx="104592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AU" sz="1100" b="1"/>
              <a:t>Picking Slip</a:t>
            </a:r>
          </a:p>
        </xdr:txBody>
      </xdr:sp>
    </xdr:grpSp>
    <xdr:clientData/>
  </xdr:twoCellAnchor>
  <xdr:twoCellAnchor>
    <xdr:from>
      <xdr:col>4</xdr:col>
      <xdr:colOff>3028950</xdr:colOff>
      <xdr:row>275</xdr:row>
      <xdr:rowOff>12699</xdr:rowOff>
    </xdr:from>
    <xdr:to>
      <xdr:col>5</xdr:col>
      <xdr:colOff>663732</xdr:colOff>
      <xdr:row>279</xdr:row>
      <xdr:rowOff>88899</xdr:rowOff>
    </xdr:to>
    <xdr:grpSp>
      <xdr:nvGrpSpPr>
        <xdr:cNvPr id="18" name="Group 17">
          <a:hlinkClick xmlns:r="http://schemas.openxmlformats.org/officeDocument/2006/relationships" r:id="rId8"/>
          <a:extLst>
            <a:ext uri="{FF2B5EF4-FFF2-40B4-BE49-F238E27FC236}">
              <a16:creationId xmlns:a16="http://schemas.microsoft.com/office/drawing/2014/main" id="{00000000-0008-0000-0300-000012000000}"/>
            </a:ext>
          </a:extLst>
        </xdr:cNvPr>
        <xdr:cNvGrpSpPr/>
      </xdr:nvGrpSpPr>
      <xdr:grpSpPr>
        <a:xfrm>
          <a:off x="6734175" y="35636199"/>
          <a:ext cx="1073307" cy="723900"/>
          <a:chOff x="4718050" y="2006943"/>
          <a:chExt cx="1076575" cy="710857"/>
        </a:xfrm>
      </xdr:grpSpPr>
      <xdr:pic>
        <xdr:nvPicPr>
          <xdr:cNvPr id="19" name="Graphic 18" descr="Gears">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a:ext>
              <a:ext uri="{96DAC541-7B7A-43D3-8B79-37D633B846F1}">
                <asvg:svgBlip xmlns:asvg="http://schemas.microsoft.com/office/drawing/2016/SVG/main" r:embed="rId10"/>
              </a:ext>
            </a:extLst>
          </a:blip>
          <a:stretch>
            <a:fillRect/>
          </a:stretch>
        </xdr:blipFill>
        <xdr:spPr>
          <a:xfrm>
            <a:off x="4946650" y="2266950"/>
            <a:ext cx="450850" cy="450850"/>
          </a:xfrm>
          <a:prstGeom prst="rect">
            <a:avLst/>
          </a:prstGeom>
        </xdr:spPr>
      </xdr:pic>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4718050" y="2006943"/>
            <a:ext cx="1076575" cy="259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b="1"/>
              <a:t>Bill</a:t>
            </a:r>
            <a:r>
              <a:rPr lang="en-AU" sz="1100" b="1" baseline="0"/>
              <a:t> Of Material</a:t>
            </a:r>
            <a:endParaRPr lang="en-AU" sz="1100" b="1"/>
          </a:p>
        </xdr:txBody>
      </xdr:sp>
    </xdr:grpSp>
    <xdr:clientData/>
  </xdr:twoCellAnchor>
  <xdr:twoCellAnchor>
    <xdr:from>
      <xdr:col>1</xdr:col>
      <xdr:colOff>43069</xdr:colOff>
      <xdr:row>283</xdr:row>
      <xdr:rowOff>146049</xdr:rowOff>
    </xdr:from>
    <xdr:to>
      <xdr:col>8</xdr:col>
      <xdr:colOff>19963</xdr:colOff>
      <xdr:row>284</xdr:row>
      <xdr:rowOff>13251</xdr:rowOff>
    </xdr:to>
    <xdr:sp macro="" textlink="">
      <xdr:nvSpPr>
        <xdr:cNvPr id="8" name="Rectangle 7">
          <a:extLst>
            <a:ext uri="{FF2B5EF4-FFF2-40B4-BE49-F238E27FC236}">
              <a16:creationId xmlns:a16="http://schemas.microsoft.com/office/drawing/2014/main" id="{00000000-0008-0000-0300-000008000000}"/>
            </a:ext>
          </a:extLst>
        </xdr:cNvPr>
        <xdr:cNvSpPr/>
      </xdr:nvSpPr>
      <xdr:spPr>
        <a:xfrm flipH="1">
          <a:off x="684419" y="27038299"/>
          <a:ext cx="8854194" cy="32302"/>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584199</xdr:colOff>
      <xdr:row>3</xdr:row>
      <xdr:rowOff>88900</xdr:rowOff>
    </xdr:from>
    <xdr:to>
      <xdr:col>9</xdr:col>
      <xdr:colOff>28299</xdr:colOff>
      <xdr:row>3</xdr:row>
      <xdr:rowOff>134619</xdr:rowOff>
    </xdr:to>
    <xdr:sp macro="" textlink="">
      <xdr:nvSpPr>
        <xdr:cNvPr id="7" name="Rectangle 6">
          <a:extLst>
            <a:ext uri="{FF2B5EF4-FFF2-40B4-BE49-F238E27FC236}">
              <a16:creationId xmlns:a16="http://schemas.microsoft.com/office/drawing/2014/main" id="{00000000-0008-0000-0400-000007000000}"/>
            </a:ext>
          </a:extLst>
        </xdr:cNvPr>
        <xdr:cNvSpPr/>
      </xdr:nvSpPr>
      <xdr:spPr>
        <a:xfrm>
          <a:off x="9169399" y="565150"/>
          <a:ext cx="1692000" cy="45719"/>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5</xdr:col>
      <xdr:colOff>3089197</xdr:colOff>
      <xdr:row>3</xdr:row>
      <xdr:rowOff>89511</xdr:rowOff>
    </xdr:from>
    <xdr:to>
      <xdr:col>6</xdr:col>
      <xdr:colOff>104552</xdr:colOff>
      <xdr:row>3</xdr:row>
      <xdr:rowOff>135230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8842297" y="565761"/>
          <a:ext cx="1561955" cy="45719"/>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AU" sz="1100"/>
        </a:p>
      </xdr:txBody>
    </xdr:sp>
    <xdr:clientData/>
  </xdr:twoCellAnchor>
  <mc:AlternateContent xmlns:mc="http://schemas.openxmlformats.org/markup-compatibility/2006">
    <mc:Choice xmlns:a14="http://schemas.microsoft.com/office/drawing/2010/main" Requires="a14">
      <xdr:twoCellAnchor editAs="oneCell">
        <xdr:from>
          <xdr:col>5</xdr:col>
          <xdr:colOff>3086100</xdr:colOff>
          <xdr:row>1</xdr:row>
          <xdr:rowOff>142875</xdr:rowOff>
        </xdr:from>
        <xdr:to>
          <xdr:col>6</xdr:col>
          <xdr:colOff>133350</xdr:colOff>
          <xdr:row>3</xdr:row>
          <xdr:rowOff>133350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1" i="0" u="none" strike="noStrike" baseline="0">
                  <a:solidFill>
                    <a:srgbClr val="808080"/>
                  </a:solidFill>
                  <a:latin typeface="Arial"/>
                  <a:cs typeface="Arial"/>
                </a:rPr>
                <a:t>Update Table</a:t>
              </a:r>
            </a:p>
          </xdr:txBody>
        </xdr:sp>
        <xdr:clientData fLocksWithSheet="0" fPrintsWithSheet="0"/>
      </xdr:twoCellAnchor>
    </mc:Choice>
    <mc:Fallback/>
  </mc:AlternateContent>
  <xdr:twoCellAnchor>
    <xdr:from>
      <xdr:col>9</xdr:col>
      <xdr:colOff>0</xdr:colOff>
      <xdr:row>5</xdr:row>
      <xdr:rowOff>152400</xdr:rowOff>
    </xdr:from>
    <xdr:to>
      <xdr:col>9</xdr:col>
      <xdr:colOff>43869</xdr:colOff>
      <xdr:row>102</xdr:row>
      <xdr:rowOff>149450</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10858500" y="628650"/>
          <a:ext cx="43869" cy="1191600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0</xdr:col>
      <xdr:colOff>609599</xdr:colOff>
      <xdr:row>102</xdr:row>
      <xdr:rowOff>146050</xdr:rowOff>
    </xdr:from>
    <xdr:to>
      <xdr:col>9</xdr:col>
      <xdr:colOff>47099</xdr:colOff>
      <xdr:row>103</xdr:row>
      <xdr:rowOff>19602</xdr:rowOff>
    </xdr:to>
    <xdr:sp macro="" textlink="">
      <xdr:nvSpPr>
        <xdr:cNvPr id="5" name="Rectangle 4">
          <a:extLst>
            <a:ext uri="{FF2B5EF4-FFF2-40B4-BE49-F238E27FC236}">
              <a16:creationId xmlns:a16="http://schemas.microsoft.com/office/drawing/2014/main" id="{00000000-0008-0000-0400-000005000000}"/>
            </a:ext>
          </a:extLst>
        </xdr:cNvPr>
        <xdr:cNvSpPr/>
      </xdr:nvSpPr>
      <xdr:spPr>
        <a:xfrm flipH="1">
          <a:off x="609599" y="12541250"/>
          <a:ext cx="10296000" cy="32302"/>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mc:AlternateContent xmlns:mc="http://schemas.openxmlformats.org/markup-compatibility/2006">
    <mc:Choice xmlns:a14="http://schemas.microsoft.com/office/drawing/2010/main" Requires="a14">
      <xdr:twoCellAnchor>
        <xdr:from>
          <xdr:col>6</xdr:col>
          <xdr:colOff>590550</xdr:colOff>
          <xdr:row>1</xdr:row>
          <xdr:rowOff>142875</xdr:rowOff>
        </xdr:from>
        <xdr:to>
          <xdr:col>9</xdr:col>
          <xdr:colOff>66675</xdr:colOff>
          <xdr:row>3</xdr:row>
          <xdr:rowOff>133350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400-000002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1" i="0" u="none" strike="noStrike" baseline="0">
                  <a:solidFill>
                    <a:srgbClr val="808080"/>
                  </a:solidFill>
                  <a:latin typeface="Arial"/>
                  <a:cs typeface="Arial"/>
                </a:rPr>
                <a:t>Print Project</a:t>
              </a:r>
            </a:p>
          </xdr:txBody>
        </xdr:sp>
        <xdr:clientData fPrintsWithSheet="0"/>
      </xdr:twoCellAnchor>
    </mc:Choice>
    <mc:Fallback/>
  </mc:AlternateContent>
  <xdr:twoCellAnchor>
    <xdr:from>
      <xdr:col>0</xdr:col>
      <xdr:colOff>590550</xdr:colOff>
      <xdr:row>1</xdr:row>
      <xdr:rowOff>50800</xdr:rowOff>
    </xdr:from>
    <xdr:to>
      <xdr:col>1</xdr:col>
      <xdr:colOff>463550</xdr:colOff>
      <xdr:row>4</xdr:row>
      <xdr:rowOff>57150</xdr:rowOff>
    </xdr:to>
    <xdr:pic>
      <xdr:nvPicPr>
        <xdr:cNvPr id="8" name="Graphic 7" descr="Box trolley">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590550" y="209550"/>
          <a:ext cx="482600" cy="482600"/>
        </a:xfrm>
        <a:prstGeom prst="rect">
          <a:avLst/>
        </a:prstGeom>
      </xdr:spPr>
    </xdr:pic>
    <xdr:clientData/>
  </xdr:twoCellAnchor>
  <xdr:oneCellAnchor>
    <xdr:from>
      <xdr:col>1</xdr:col>
      <xdr:colOff>527050</xdr:colOff>
      <xdr:row>1</xdr:row>
      <xdr:rowOff>76200</xdr:rowOff>
    </xdr:from>
    <xdr:ext cx="1949450" cy="446212"/>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136650" y="234950"/>
          <a:ext cx="1949450" cy="4462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2400">
              <a:solidFill>
                <a:schemeClr val="accent1">
                  <a:lumMod val="20000"/>
                  <a:lumOff val="80000"/>
                </a:schemeClr>
              </a:solidFill>
              <a:latin typeface="Arial" panose="020B0604020202020204" pitchFamily="34" charset="0"/>
              <a:cs typeface="Arial" panose="020B0604020202020204" pitchFamily="34" charset="0"/>
            </a:rPr>
            <a:t>Picking Slip</a:t>
          </a:r>
        </a:p>
      </xdr:txBody>
    </xdr:sp>
    <xdr:clientData/>
  </xdr:oneCellAnchor>
  <xdr:oneCellAnchor>
    <xdr:from>
      <xdr:col>1</xdr:col>
      <xdr:colOff>523875</xdr:colOff>
      <xdr:row>3</xdr:row>
      <xdr:rowOff>95250</xdr:rowOff>
    </xdr:from>
    <xdr:ext cx="2897973" cy="264560"/>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1104900" y="581025"/>
          <a:ext cx="289797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i="0" baseline="0">
              <a:solidFill>
                <a:schemeClr val="accent1">
                  <a:lumMod val="20000"/>
                  <a:lumOff val="80000"/>
                </a:schemeClr>
              </a:solidFill>
            </a:rPr>
            <a:t>For A-Series Models Only - Excludes Parts &amp; MS</a:t>
          </a:r>
          <a:endParaRPr lang="en-AU" sz="1100" i="0">
            <a:solidFill>
              <a:schemeClr val="accent1">
                <a:lumMod val="20000"/>
                <a:lumOff val="80000"/>
              </a:schemeClr>
            </a:solidFill>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9</xdr:col>
      <xdr:colOff>238124</xdr:colOff>
      <xdr:row>2</xdr:row>
      <xdr:rowOff>9525</xdr:rowOff>
    </xdr:from>
    <xdr:to>
      <xdr:col>10</xdr:col>
      <xdr:colOff>16949</xdr:colOff>
      <xdr:row>473</xdr:row>
      <xdr:rowOff>3975</xdr:rowOff>
    </xdr:to>
    <xdr:sp macro="" textlink="">
      <xdr:nvSpPr>
        <xdr:cNvPr id="6" name="Rectangle 5">
          <a:extLst>
            <a:ext uri="{FF2B5EF4-FFF2-40B4-BE49-F238E27FC236}">
              <a16:creationId xmlns:a16="http://schemas.microsoft.com/office/drawing/2014/main" id="{00000000-0008-0000-0500-000006000000}"/>
            </a:ext>
          </a:extLst>
        </xdr:cNvPr>
        <xdr:cNvSpPr/>
      </xdr:nvSpPr>
      <xdr:spPr>
        <a:xfrm>
          <a:off x="10944224" y="333375"/>
          <a:ext cx="283650" cy="7502287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oneCellAnchor>
    <xdr:from>
      <xdr:col>2</xdr:col>
      <xdr:colOff>28575</xdr:colOff>
      <xdr:row>3</xdr:row>
      <xdr:rowOff>66675</xdr:rowOff>
    </xdr:from>
    <xdr:ext cx="3947876" cy="446212"/>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311275" y="542925"/>
          <a:ext cx="3947876" cy="4462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latin typeface="Arial" panose="020B0604020202020204" pitchFamily="34" charset="0"/>
              <a:cs typeface="Arial" panose="020B0604020202020204" pitchFamily="34" charset="0"/>
            </a:rPr>
            <a:t>A-Series</a:t>
          </a:r>
          <a:r>
            <a:rPr lang="en-AU" sz="2400" b="1" baseline="0">
              <a:latin typeface="Arial" panose="020B0604020202020204" pitchFamily="34" charset="0"/>
              <a:cs typeface="Arial" panose="020B0604020202020204" pitchFamily="34" charset="0"/>
            </a:rPr>
            <a:t>: Bill Of Materials</a:t>
          </a:r>
          <a:endParaRPr lang="en-AU" sz="2400" b="1">
            <a:latin typeface="Arial" panose="020B0604020202020204" pitchFamily="34" charset="0"/>
            <a:cs typeface="Arial" panose="020B0604020202020204" pitchFamily="34" charset="0"/>
          </a:endParaRPr>
        </a:p>
      </xdr:txBody>
    </xdr:sp>
    <xdr:clientData/>
  </xdr:oneCellAnchor>
  <xdr:twoCellAnchor>
    <xdr:from>
      <xdr:col>1</xdr:col>
      <xdr:colOff>38100</xdr:colOff>
      <xdr:row>472</xdr:row>
      <xdr:rowOff>133350</xdr:rowOff>
    </xdr:from>
    <xdr:to>
      <xdr:col>10</xdr:col>
      <xdr:colOff>16650</xdr:colOff>
      <xdr:row>473</xdr:row>
      <xdr:rowOff>19050</xdr:rowOff>
    </xdr:to>
    <xdr:sp macro="" textlink="">
      <xdr:nvSpPr>
        <xdr:cNvPr id="8" name="Rectangle 7">
          <a:extLst>
            <a:ext uri="{FF2B5EF4-FFF2-40B4-BE49-F238E27FC236}">
              <a16:creationId xmlns:a16="http://schemas.microsoft.com/office/drawing/2014/main" id="{00000000-0008-0000-0500-000008000000}"/>
            </a:ext>
          </a:extLst>
        </xdr:cNvPr>
        <xdr:cNvSpPr/>
      </xdr:nvSpPr>
      <xdr:spPr>
        <a:xfrm flipH="1">
          <a:off x="647700" y="11649075"/>
          <a:ext cx="8646300" cy="47625"/>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editAs="oneCell">
    <xdr:from>
      <xdr:col>7</xdr:col>
      <xdr:colOff>495300</xdr:colOff>
      <xdr:row>437</xdr:row>
      <xdr:rowOff>19050</xdr:rowOff>
    </xdr:from>
    <xdr:to>
      <xdr:col>9</xdr:col>
      <xdr:colOff>47624</xdr:colOff>
      <xdr:row>438</xdr:row>
      <xdr:rowOff>127003</xdr:rowOff>
    </xdr:to>
    <xdr:sp macro="" textlink="">
      <xdr:nvSpPr>
        <xdr:cNvPr id="25" name="Rounded Rectangle 24">
          <a:hlinkClick xmlns:r="http://schemas.openxmlformats.org/officeDocument/2006/relationships" r:id="rId1"/>
          <a:extLst>
            <a:ext uri="{FF2B5EF4-FFF2-40B4-BE49-F238E27FC236}">
              <a16:creationId xmlns:a16="http://schemas.microsoft.com/office/drawing/2014/main" id="{00000000-0008-0000-0500-000019000000}"/>
            </a:ext>
          </a:extLst>
        </xdr:cNvPr>
        <xdr:cNvSpPr/>
      </xdr:nvSpPr>
      <xdr:spPr>
        <a:xfrm>
          <a:off x="10229850" y="29794200"/>
          <a:ext cx="1133474" cy="273054"/>
        </a:xfrm>
        <a:prstGeom prst="roundRect">
          <a:avLst/>
        </a:prstGeom>
        <a:solidFill>
          <a:schemeClr val="bg1">
            <a:lumMod val="85000"/>
          </a:schemeClr>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AU" sz="1050">
              <a:solidFill>
                <a:schemeClr val="tx1">
                  <a:lumMod val="65000"/>
                  <a:lumOff val="35000"/>
                </a:schemeClr>
              </a:solidFill>
            </a:rPr>
            <a:t>CoverSheet</a:t>
          </a:r>
        </a:p>
      </xdr:txBody>
    </xdr:sp>
    <xdr:clientData/>
  </xdr:twoCellAnchor>
  <xdr:twoCellAnchor>
    <xdr:from>
      <xdr:col>2</xdr:col>
      <xdr:colOff>81126</xdr:colOff>
      <xdr:row>92</xdr:row>
      <xdr:rowOff>409575</xdr:rowOff>
    </xdr:from>
    <xdr:to>
      <xdr:col>2</xdr:col>
      <xdr:colOff>1776983</xdr:colOff>
      <xdr:row>97</xdr:row>
      <xdr:rowOff>58861</xdr:rowOff>
    </xdr:to>
    <xdr:pic>
      <xdr:nvPicPr>
        <xdr:cNvPr id="22" name="Picture 21">
          <a:extLst>
            <a:ext uri="{FF2B5EF4-FFF2-40B4-BE49-F238E27FC236}">
              <a16:creationId xmlns:a16="http://schemas.microsoft.com/office/drawing/2014/main" id="{00000000-0008-0000-0500-000016000000}"/>
            </a:ext>
          </a:extLst>
        </xdr:cNvPr>
        <xdr:cNvPicPr>
          <a:picLocks noChangeAspect="1" noChangeArrowheads="1"/>
        </xdr:cNvPicPr>
      </xdr:nvPicPr>
      <xdr:blipFill>
        <a:blip xmlns:r="http://schemas.openxmlformats.org/officeDocument/2006/relationships" r:embed="rId2" cstate="screen">
          <a:extLst>
            <a:ext uri="{28A0092B-C50C-407E-A947-70E740481C1C}">
              <a14:useLocalDpi xmlns:a14="http://schemas.microsoft.com/office/drawing/2010/main"/>
            </a:ext>
          </a:extLst>
        </a:blip>
        <a:srcRect/>
        <a:stretch>
          <a:fillRect/>
        </a:stretch>
      </xdr:blipFill>
      <xdr:spPr bwMode="auto">
        <a:xfrm>
          <a:off x="1363826" y="13776325"/>
          <a:ext cx="1695857" cy="443036"/>
        </a:xfrm>
        <a:prstGeom prst="rect">
          <a:avLst/>
        </a:prstGeom>
        <a:solidFill>
          <a:srgbClr val="FFFFFF"/>
        </a:solidFill>
      </xdr:spPr>
    </xdr:pic>
    <xdr:clientData/>
  </xdr:twoCellAnchor>
  <xdr:twoCellAnchor>
    <xdr:from>
      <xdr:col>2</xdr:col>
      <xdr:colOff>163514</xdr:colOff>
      <xdr:row>114</xdr:row>
      <xdr:rowOff>75126</xdr:rowOff>
    </xdr:from>
    <xdr:to>
      <xdr:col>2</xdr:col>
      <xdr:colOff>1657663</xdr:colOff>
      <xdr:row>115</xdr:row>
      <xdr:rowOff>247650</xdr:rowOff>
    </xdr:to>
    <xdr:pic>
      <xdr:nvPicPr>
        <xdr:cNvPr id="26" name="Picture 25">
          <a:extLst>
            <a:ext uri="{FF2B5EF4-FFF2-40B4-BE49-F238E27FC236}">
              <a16:creationId xmlns:a16="http://schemas.microsoft.com/office/drawing/2014/main" id="{00000000-0008-0000-0500-00001A000000}"/>
            </a:ext>
          </a:extLst>
        </xdr:cNvPr>
        <xdr:cNvPicPr>
          <a:picLocks noChangeAspect="1" noChangeArrowheads="1"/>
        </xdr:cNvPicPr>
      </xdr:nvPicPr>
      <xdr:blipFill rotWithShape="1">
        <a:blip xmlns:r="http://schemas.openxmlformats.org/officeDocument/2006/relationships" r:embed="rId3" cstate="screen">
          <a:extLst>
            <a:ext uri="{28A0092B-C50C-407E-A947-70E740481C1C}">
              <a14:useLocalDpi xmlns:a14="http://schemas.microsoft.com/office/drawing/2010/main"/>
            </a:ext>
          </a:extLst>
        </a:blip>
        <a:srcRect/>
        <a:stretch/>
      </xdr:blipFill>
      <xdr:spPr bwMode="auto">
        <a:xfrm>
          <a:off x="1382714" y="18934626"/>
          <a:ext cx="1494149" cy="334449"/>
        </a:xfrm>
        <a:prstGeom prst="rect">
          <a:avLst/>
        </a:prstGeom>
        <a:solidFill>
          <a:srgbClr val="FFFFFF"/>
        </a:solidFill>
      </xdr:spPr>
    </xdr:pic>
    <xdr:clientData/>
  </xdr:twoCellAnchor>
  <xdr:twoCellAnchor>
    <xdr:from>
      <xdr:col>2</xdr:col>
      <xdr:colOff>76503</xdr:colOff>
      <xdr:row>116</xdr:row>
      <xdr:rowOff>42650</xdr:rowOff>
    </xdr:from>
    <xdr:to>
      <xdr:col>2</xdr:col>
      <xdr:colOff>1748872</xdr:colOff>
      <xdr:row>118</xdr:row>
      <xdr:rowOff>130175</xdr:rowOff>
    </xdr:to>
    <xdr:pic>
      <xdr:nvPicPr>
        <xdr:cNvPr id="24" name="Picture 23">
          <a:extLst>
            <a:ext uri="{FF2B5EF4-FFF2-40B4-BE49-F238E27FC236}">
              <a16:creationId xmlns:a16="http://schemas.microsoft.com/office/drawing/2014/main" id="{00000000-0008-0000-0500-000018000000}"/>
            </a:ext>
          </a:extLst>
        </xdr:cNvPr>
        <xdr:cNvPicPr>
          <a:picLocks noChangeAspect="1" noChangeArrowheads="1"/>
        </xdr:cNvPicPr>
      </xdr:nvPicPr>
      <xdr:blipFill>
        <a:blip xmlns:r="http://schemas.openxmlformats.org/officeDocument/2006/relationships" r:embed="rId4" cstate="screen">
          <a:extLst>
            <a:ext uri="{28A0092B-C50C-407E-A947-70E740481C1C}">
              <a14:useLocalDpi xmlns:a14="http://schemas.microsoft.com/office/drawing/2010/main"/>
            </a:ext>
          </a:extLst>
        </a:blip>
        <a:srcRect/>
        <a:stretch>
          <a:fillRect/>
        </a:stretch>
      </xdr:blipFill>
      <xdr:spPr bwMode="auto">
        <a:xfrm>
          <a:off x="1295703" y="19549850"/>
          <a:ext cx="1672369" cy="411375"/>
        </a:xfrm>
        <a:prstGeom prst="rect">
          <a:avLst/>
        </a:prstGeom>
        <a:solidFill>
          <a:srgbClr val="FFFFFF"/>
        </a:solidFill>
      </xdr:spPr>
    </xdr:pic>
    <xdr:clientData/>
  </xdr:twoCellAnchor>
  <xdr:twoCellAnchor>
    <xdr:from>
      <xdr:col>2</xdr:col>
      <xdr:colOff>119116</xdr:colOff>
      <xdr:row>135</xdr:row>
      <xdr:rowOff>355482</xdr:rowOff>
    </xdr:from>
    <xdr:to>
      <xdr:col>2</xdr:col>
      <xdr:colOff>1670415</xdr:colOff>
      <xdr:row>139</xdr:row>
      <xdr:rowOff>108981</xdr:rowOff>
    </xdr:to>
    <xdr:pic>
      <xdr:nvPicPr>
        <xdr:cNvPr id="28" name="Picture 27">
          <a:extLst>
            <a:ext uri="{FF2B5EF4-FFF2-40B4-BE49-F238E27FC236}">
              <a16:creationId xmlns:a16="http://schemas.microsoft.com/office/drawing/2014/main" id="{00000000-0008-0000-0500-00001C000000}"/>
            </a:ext>
          </a:extLst>
        </xdr:cNvPr>
        <xdr:cNvPicPr>
          <a:picLocks noChangeAspect="1" noChangeArrowheads="1"/>
        </xdr:cNvPicPr>
      </xdr:nvPicPr>
      <xdr:blipFill rotWithShape="1">
        <a:blip xmlns:r="http://schemas.openxmlformats.org/officeDocument/2006/relationships" r:embed="rId3" cstate="screen">
          <a:extLst>
            <a:ext uri="{28A0092B-C50C-407E-A947-70E740481C1C}">
              <a14:useLocalDpi xmlns:a14="http://schemas.microsoft.com/office/drawing/2010/main"/>
            </a:ext>
          </a:extLst>
        </a:blip>
        <a:srcRect/>
        <a:stretch/>
      </xdr:blipFill>
      <xdr:spPr bwMode="auto">
        <a:xfrm>
          <a:off x="1338316" y="23320257"/>
          <a:ext cx="1551299" cy="725049"/>
        </a:xfrm>
        <a:prstGeom prst="rect">
          <a:avLst/>
        </a:prstGeom>
        <a:solidFill>
          <a:srgbClr val="FFFFFF"/>
        </a:solidFill>
      </xdr:spPr>
    </xdr:pic>
    <xdr:clientData/>
  </xdr:twoCellAnchor>
  <xdr:twoCellAnchor>
    <xdr:from>
      <xdr:col>2</xdr:col>
      <xdr:colOff>25751</xdr:colOff>
      <xdr:row>129</xdr:row>
      <xdr:rowOff>412351</xdr:rowOff>
    </xdr:from>
    <xdr:to>
      <xdr:col>2</xdr:col>
      <xdr:colOff>1772750</xdr:colOff>
      <xdr:row>135</xdr:row>
      <xdr:rowOff>307974</xdr:rowOff>
    </xdr:to>
    <xdr:pic>
      <xdr:nvPicPr>
        <xdr:cNvPr id="29" name="Picture 28">
          <a:extLst>
            <a:ext uri="{FF2B5EF4-FFF2-40B4-BE49-F238E27FC236}">
              <a16:creationId xmlns:a16="http://schemas.microsoft.com/office/drawing/2014/main" id="{00000000-0008-0000-0500-00001D000000}"/>
            </a:ext>
          </a:extLst>
        </xdr:cNvPr>
        <xdr:cNvPicPr>
          <a:picLocks noChangeAspect="1" noChangeArrowheads="1"/>
        </xdr:cNvPicPr>
      </xdr:nvPicPr>
      <xdr:blipFill>
        <a:blip xmlns:r="http://schemas.openxmlformats.org/officeDocument/2006/relationships" r:embed="rId5" cstate="screen">
          <a:extLst>
            <a:ext uri="{28A0092B-C50C-407E-A947-70E740481C1C}">
              <a14:useLocalDpi xmlns:a14="http://schemas.microsoft.com/office/drawing/2010/main"/>
            </a:ext>
          </a:extLst>
        </a:blip>
        <a:srcRect/>
        <a:stretch>
          <a:fillRect/>
        </a:stretch>
      </xdr:blipFill>
      <xdr:spPr bwMode="auto">
        <a:xfrm>
          <a:off x="1244951" y="22405576"/>
          <a:ext cx="1746999" cy="867173"/>
        </a:xfrm>
        <a:prstGeom prst="rect">
          <a:avLst/>
        </a:prstGeom>
        <a:solidFill>
          <a:srgbClr val="FFFFFF"/>
        </a:solidFill>
      </xdr:spPr>
    </xdr:pic>
    <xdr:clientData/>
  </xdr:twoCellAnchor>
  <xdr:twoCellAnchor>
    <xdr:from>
      <xdr:col>2</xdr:col>
      <xdr:colOff>173933</xdr:colOff>
      <xdr:row>144</xdr:row>
      <xdr:rowOff>119896</xdr:rowOff>
    </xdr:from>
    <xdr:to>
      <xdr:col>2</xdr:col>
      <xdr:colOff>1793089</xdr:colOff>
      <xdr:row>148</xdr:row>
      <xdr:rowOff>234949</xdr:rowOff>
    </xdr:to>
    <xdr:pic>
      <xdr:nvPicPr>
        <xdr:cNvPr id="30" name="Picture 29">
          <a:extLst>
            <a:ext uri="{FF2B5EF4-FFF2-40B4-BE49-F238E27FC236}">
              <a16:creationId xmlns:a16="http://schemas.microsoft.com/office/drawing/2014/main" id="{00000000-0008-0000-0500-00001E000000}"/>
            </a:ext>
          </a:extLst>
        </xdr:cNvPr>
        <xdr:cNvPicPr>
          <a:picLocks noChangeAspect="1" noChangeArrowheads="1"/>
        </xdr:cNvPicPr>
      </xdr:nvPicPr>
      <xdr:blipFill>
        <a:blip xmlns:r="http://schemas.openxmlformats.org/officeDocument/2006/relationships" r:embed="rId6" cstate="email">
          <a:extLst>
            <a:ext uri="{28A0092B-C50C-407E-A947-70E740481C1C}">
              <a14:useLocalDpi xmlns:a14="http://schemas.microsoft.com/office/drawing/2010/main"/>
            </a:ext>
          </a:extLst>
        </a:blip>
        <a:srcRect/>
        <a:stretch>
          <a:fillRect/>
        </a:stretch>
      </xdr:blipFill>
      <xdr:spPr bwMode="auto">
        <a:xfrm>
          <a:off x="1393133" y="29361646"/>
          <a:ext cx="1619156" cy="1200903"/>
        </a:xfrm>
        <a:prstGeom prst="rect">
          <a:avLst/>
        </a:prstGeom>
        <a:solidFill>
          <a:srgbClr val="FFFFFF"/>
        </a:solidFill>
      </xdr:spPr>
    </xdr:pic>
    <xdr:clientData/>
  </xdr:twoCellAnchor>
  <xdr:twoCellAnchor>
    <xdr:from>
      <xdr:col>2</xdr:col>
      <xdr:colOff>68997</xdr:colOff>
      <xdr:row>155</xdr:row>
      <xdr:rowOff>338773</xdr:rowOff>
    </xdr:from>
    <xdr:to>
      <xdr:col>2</xdr:col>
      <xdr:colOff>1689010</xdr:colOff>
      <xdr:row>160</xdr:row>
      <xdr:rowOff>273050</xdr:rowOff>
    </xdr:to>
    <xdr:pic>
      <xdr:nvPicPr>
        <xdr:cNvPr id="31" name="Picture 30">
          <a:extLst>
            <a:ext uri="{FF2B5EF4-FFF2-40B4-BE49-F238E27FC236}">
              <a16:creationId xmlns:a16="http://schemas.microsoft.com/office/drawing/2014/main" id="{00000000-0008-0000-0500-00001F000000}"/>
            </a:ext>
          </a:extLst>
        </xdr:cNvPr>
        <xdr:cNvPicPr>
          <a:picLocks noChangeAspect="1" noChangeArrowheads="1"/>
        </xdr:cNvPicPr>
      </xdr:nvPicPr>
      <xdr:blipFill rotWithShape="1">
        <a:blip xmlns:r="http://schemas.openxmlformats.org/officeDocument/2006/relationships" r:embed="rId3" cstate="screen">
          <a:extLst>
            <a:ext uri="{28A0092B-C50C-407E-A947-70E740481C1C}">
              <a14:useLocalDpi xmlns:a14="http://schemas.microsoft.com/office/drawing/2010/main"/>
            </a:ext>
          </a:extLst>
        </a:blip>
        <a:srcRect/>
        <a:stretch/>
      </xdr:blipFill>
      <xdr:spPr bwMode="auto">
        <a:xfrm>
          <a:off x="1288197" y="26923048"/>
          <a:ext cx="1620013" cy="1067752"/>
        </a:xfrm>
        <a:prstGeom prst="rect">
          <a:avLst/>
        </a:prstGeom>
        <a:solidFill>
          <a:srgbClr val="FFFFFF"/>
        </a:solidFill>
      </xdr:spPr>
    </xdr:pic>
    <xdr:clientData/>
  </xdr:twoCellAnchor>
  <xdr:twoCellAnchor>
    <xdr:from>
      <xdr:col>2</xdr:col>
      <xdr:colOff>65370</xdr:colOff>
      <xdr:row>150</xdr:row>
      <xdr:rowOff>147526</xdr:rowOff>
    </xdr:from>
    <xdr:to>
      <xdr:col>2</xdr:col>
      <xdr:colOff>1750748</xdr:colOff>
      <xdr:row>155</xdr:row>
      <xdr:rowOff>349250</xdr:rowOff>
    </xdr:to>
    <xdr:pic>
      <xdr:nvPicPr>
        <xdr:cNvPr id="32" name="Picture 31">
          <a:extLst>
            <a:ext uri="{FF2B5EF4-FFF2-40B4-BE49-F238E27FC236}">
              <a16:creationId xmlns:a16="http://schemas.microsoft.com/office/drawing/2014/main" id="{00000000-0008-0000-0500-000020000000}"/>
            </a:ext>
          </a:extLst>
        </xdr:cNvPr>
        <xdr:cNvPicPr>
          <a:picLocks noChangeAspect="1" noChangeArrowheads="1"/>
        </xdr:cNvPicPr>
      </xdr:nvPicPr>
      <xdr:blipFill>
        <a:blip xmlns:r="http://schemas.openxmlformats.org/officeDocument/2006/relationships" r:embed="rId7" cstate="screen">
          <a:extLst>
            <a:ext uri="{28A0092B-C50C-407E-A947-70E740481C1C}">
              <a14:useLocalDpi xmlns:a14="http://schemas.microsoft.com/office/drawing/2010/main"/>
            </a:ext>
          </a:extLst>
        </a:blip>
        <a:srcRect/>
        <a:stretch>
          <a:fillRect/>
        </a:stretch>
      </xdr:blipFill>
      <xdr:spPr bwMode="auto">
        <a:xfrm>
          <a:off x="1284570" y="26246026"/>
          <a:ext cx="1685378" cy="687499"/>
        </a:xfrm>
        <a:prstGeom prst="rect">
          <a:avLst/>
        </a:prstGeom>
        <a:solidFill>
          <a:srgbClr val="FFFFFF"/>
        </a:solidFill>
      </xdr:spPr>
    </xdr:pic>
    <xdr:clientData/>
  </xdr:twoCellAnchor>
  <xdr:twoCellAnchor>
    <xdr:from>
      <xdr:col>2</xdr:col>
      <xdr:colOff>73269</xdr:colOff>
      <xdr:row>209</xdr:row>
      <xdr:rowOff>493345</xdr:rowOff>
    </xdr:from>
    <xdr:to>
      <xdr:col>2</xdr:col>
      <xdr:colOff>1774043</xdr:colOff>
      <xdr:row>211</xdr:row>
      <xdr:rowOff>77177</xdr:rowOff>
    </xdr:to>
    <xdr:pic>
      <xdr:nvPicPr>
        <xdr:cNvPr id="34" name="Picture 33">
          <a:extLst>
            <a:ext uri="{FF2B5EF4-FFF2-40B4-BE49-F238E27FC236}">
              <a16:creationId xmlns:a16="http://schemas.microsoft.com/office/drawing/2014/main" id="{00000000-0008-0000-0500-000022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a:ext>
          </a:extLst>
        </a:blip>
        <a:srcRect/>
        <a:stretch>
          <a:fillRect/>
        </a:stretch>
      </xdr:blipFill>
      <xdr:spPr bwMode="auto">
        <a:xfrm>
          <a:off x="1353038" y="23270307"/>
          <a:ext cx="1700774" cy="853831"/>
        </a:xfrm>
        <a:prstGeom prst="rect">
          <a:avLst/>
        </a:prstGeom>
        <a:solidFill>
          <a:srgbClr val="FFFFFF"/>
        </a:solidFill>
      </xdr:spPr>
    </xdr:pic>
    <xdr:clientData/>
  </xdr:twoCellAnchor>
  <xdr:twoCellAnchor>
    <xdr:from>
      <xdr:col>2</xdr:col>
      <xdr:colOff>249115</xdr:colOff>
      <xdr:row>254</xdr:row>
      <xdr:rowOff>28819</xdr:rowOff>
    </xdr:from>
    <xdr:to>
      <xdr:col>2</xdr:col>
      <xdr:colOff>1670538</xdr:colOff>
      <xdr:row>254</xdr:row>
      <xdr:rowOff>749328</xdr:rowOff>
    </xdr:to>
    <xdr:pic>
      <xdr:nvPicPr>
        <xdr:cNvPr id="36" name="Picture 35">
          <a:extLst>
            <a:ext uri="{FF2B5EF4-FFF2-40B4-BE49-F238E27FC236}">
              <a16:creationId xmlns:a16="http://schemas.microsoft.com/office/drawing/2014/main" id="{00000000-0008-0000-0500-000024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a:ext>
          </a:extLst>
        </a:blip>
        <a:srcRect/>
        <a:stretch>
          <a:fillRect/>
        </a:stretch>
      </xdr:blipFill>
      <xdr:spPr bwMode="auto">
        <a:xfrm>
          <a:off x="1468315" y="51263794"/>
          <a:ext cx="1421423" cy="720509"/>
        </a:xfrm>
        <a:prstGeom prst="rect">
          <a:avLst/>
        </a:prstGeom>
        <a:solidFill>
          <a:srgbClr val="FFFFFF"/>
        </a:solidFill>
      </xdr:spPr>
    </xdr:pic>
    <xdr:clientData/>
  </xdr:twoCellAnchor>
  <xdr:twoCellAnchor>
    <xdr:from>
      <xdr:col>2</xdr:col>
      <xdr:colOff>161193</xdr:colOff>
      <xdr:row>255</xdr:row>
      <xdr:rowOff>53732</xdr:rowOff>
    </xdr:from>
    <xdr:to>
      <xdr:col>2</xdr:col>
      <xdr:colOff>1768231</xdr:colOff>
      <xdr:row>255</xdr:row>
      <xdr:rowOff>737578</xdr:rowOff>
    </xdr:to>
    <xdr:pic>
      <xdr:nvPicPr>
        <xdr:cNvPr id="37" name="Picture 36">
          <a:extLst>
            <a:ext uri="{FF2B5EF4-FFF2-40B4-BE49-F238E27FC236}">
              <a16:creationId xmlns:a16="http://schemas.microsoft.com/office/drawing/2014/main" id="{00000000-0008-0000-0500-000025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a:ext>
          </a:extLst>
        </a:blip>
        <a:srcRect/>
        <a:stretch>
          <a:fillRect/>
        </a:stretch>
      </xdr:blipFill>
      <xdr:spPr bwMode="auto">
        <a:xfrm>
          <a:off x="1440962" y="31456924"/>
          <a:ext cx="1607038" cy="683846"/>
        </a:xfrm>
        <a:prstGeom prst="rect">
          <a:avLst/>
        </a:prstGeom>
        <a:solidFill>
          <a:srgbClr val="FFFFFF"/>
        </a:solidFill>
      </xdr:spPr>
    </xdr:pic>
    <xdr:clientData/>
  </xdr:twoCellAnchor>
  <xdr:twoCellAnchor>
    <xdr:from>
      <xdr:col>2</xdr:col>
      <xdr:colOff>503119</xdr:colOff>
      <xdr:row>256</xdr:row>
      <xdr:rowOff>29306</xdr:rowOff>
    </xdr:from>
    <xdr:to>
      <xdr:col>2</xdr:col>
      <xdr:colOff>1348443</xdr:colOff>
      <xdr:row>256</xdr:row>
      <xdr:rowOff>620345</xdr:rowOff>
    </xdr:to>
    <xdr:pic>
      <xdr:nvPicPr>
        <xdr:cNvPr id="38" name="Picture 37">
          <a:extLst>
            <a:ext uri="{FF2B5EF4-FFF2-40B4-BE49-F238E27FC236}">
              <a16:creationId xmlns:a16="http://schemas.microsoft.com/office/drawing/2014/main" id="{00000000-0008-0000-0500-000026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a:ext>
          </a:extLst>
        </a:blip>
        <a:srcRect/>
        <a:stretch>
          <a:fillRect/>
        </a:stretch>
      </xdr:blipFill>
      <xdr:spPr bwMode="auto">
        <a:xfrm>
          <a:off x="1722319" y="52883531"/>
          <a:ext cx="845324" cy="591039"/>
        </a:xfrm>
        <a:prstGeom prst="rect">
          <a:avLst/>
        </a:prstGeom>
        <a:solidFill>
          <a:srgbClr val="FFFFFF"/>
        </a:solidFill>
      </xdr:spPr>
    </xdr:pic>
    <xdr:clientData/>
  </xdr:twoCellAnchor>
  <xdr:twoCellAnchor>
    <xdr:from>
      <xdr:col>2</xdr:col>
      <xdr:colOff>346808</xdr:colOff>
      <xdr:row>257</xdr:row>
      <xdr:rowOff>39078</xdr:rowOff>
    </xdr:from>
    <xdr:to>
      <xdr:col>2</xdr:col>
      <xdr:colOff>1515437</xdr:colOff>
      <xdr:row>257</xdr:row>
      <xdr:rowOff>840154</xdr:rowOff>
    </xdr:to>
    <xdr:pic>
      <xdr:nvPicPr>
        <xdr:cNvPr id="39" name="Picture 38">
          <a:extLst>
            <a:ext uri="{FF2B5EF4-FFF2-40B4-BE49-F238E27FC236}">
              <a16:creationId xmlns:a16="http://schemas.microsoft.com/office/drawing/2014/main" id="{00000000-0008-0000-0500-000027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a:ext>
          </a:extLst>
        </a:blip>
        <a:srcRect/>
        <a:stretch>
          <a:fillRect/>
        </a:stretch>
      </xdr:blipFill>
      <xdr:spPr bwMode="auto">
        <a:xfrm>
          <a:off x="1626577" y="32873463"/>
          <a:ext cx="1168629" cy="801076"/>
        </a:xfrm>
        <a:prstGeom prst="rect">
          <a:avLst/>
        </a:prstGeom>
        <a:solidFill>
          <a:srgbClr val="FFFFFF"/>
        </a:solidFill>
      </xdr:spPr>
    </xdr:pic>
    <xdr:clientData/>
  </xdr:twoCellAnchor>
  <xdr:twoCellAnchor>
    <xdr:from>
      <xdr:col>2</xdr:col>
      <xdr:colOff>82149</xdr:colOff>
      <xdr:row>35</xdr:row>
      <xdr:rowOff>260350</xdr:rowOff>
    </xdr:from>
    <xdr:to>
      <xdr:col>2</xdr:col>
      <xdr:colOff>1803846</xdr:colOff>
      <xdr:row>39</xdr:row>
      <xdr:rowOff>6350</xdr:rowOff>
    </xdr:to>
    <xdr:pic>
      <xdr:nvPicPr>
        <xdr:cNvPr id="42" name="Picture 41">
          <a:extLst>
            <a:ext uri="{FF2B5EF4-FFF2-40B4-BE49-F238E27FC236}">
              <a16:creationId xmlns:a16="http://schemas.microsoft.com/office/drawing/2014/main" id="{00000000-0008-0000-0500-00002A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a:ext>
          </a:extLst>
        </a:blip>
        <a:srcRect/>
        <a:stretch>
          <a:fillRect/>
        </a:stretch>
      </xdr:blipFill>
      <xdr:spPr bwMode="auto">
        <a:xfrm>
          <a:off x="1364849" y="4953000"/>
          <a:ext cx="1721697" cy="698500"/>
        </a:xfrm>
        <a:prstGeom prst="rect">
          <a:avLst/>
        </a:prstGeom>
        <a:solidFill>
          <a:srgbClr val="FFFFFF"/>
        </a:solidFill>
      </xdr:spPr>
    </xdr:pic>
    <xdr:clientData/>
  </xdr:twoCellAnchor>
  <xdr:twoCellAnchor>
    <xdr:from>
      <xdr:col>5</xdr:col>
      <xdr:colOff>3618850</xdr:colOff>
      <xdr:row>284</xdr:row>
      <xdr:rowOff>38489</xdr:rowOff>
    </xdr:from>
    <xdr:to>
      <xdr:col>5</xdr:col>
      <xdr:colOff>3740149</xdr:colOff>
      <xdr:row>284</xdr:row>
      <xdr:rowOff>133350</xdr:rowOff>
    </xdr:to>
    <xdr:sp macro="" textlink="">
      <xdr:nvSpPr>
        <xdr:cNvPr id="2" name="Isosceles Triangle 1">
          <a:extLst>
            <a:ext uri="{FF2B5EF4-FFF2-40B4-BE49-F238E27FC236}">
              <a16:creationId xmlns:a16="http://schemas.microsoft.com/office/drawing/2014/main" id="{00000000-0008-0000-0500-000002000000}"/>
            </a:ext>
          </a:extLst>
        </xdr:cNvPr>
        <xdr:cNvSpPr/>
      </xdr:nvSpPr>
      <xdr:spPr>
        <a:xfrm rot="10800000">
          <a:off x="8965550" y="18294739"/>
          <a:ext cx="121299" cy="94861"/>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3554574</xdr:colOff>
      <xdr:row>303</xdr:row>
      <xdr:rowOff>44449</xdr:rowOff>
    </xdr:from>
    <xdr:to>
      <xdr:col>5</xdr:col>
      <xdr:colOff>3701271</xdr:colOff>
      <xdr:row>303</xdr:row>
      <xdr:rowOff>158685</xdr:rowOff>
    </xdr:to>
    <xdr:sp macro="" textlink="">
      <xdr:nvSpPr>
        <xdr:cNvPr id="48" name="Isosceles Triangle 47">
          <a:extLst>
            <a:ext uri="{FF2B5EF4-FFF2-40B4-BE49-F238E27FC236}">
              <a16:creationId xmlns:a16="http://schemas.microsoft.com/office/drawing/2014/main" id="{00000000-0008-0000-0500-000030000000}"/>
            </a:ext>
          </a:extLst>
        </xdr:cNvPr>
        <xdr:cNvSpPr/>
      </xdr:nvSpPr>
      <xdr:spPr>
        <a:xfrm rot="10800000">
          <a:off x="8901274" y="21088349"/>
          <a:ext cx="146697" cy="114236"/>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3597275</xdr:colOff>
      <xdr:row>183</xdr:row>
      <xdr:rowOff>19050</xdr:rowOff>
    </xdr:from>
    <xdr:to>
      <xdr:col>5</xdr:col>
      <xdr:colOff>3733800</xdr:colOff>
      <xdr:row>183</xdr:row>
      <xdr:rowOff>152400</xdr:rowOff>
    </xdr:to>
    <xdr:sp macro="" textlink="">
      <xdr:nvSpPr>
        <xdr:cNvPr id="55" name="Isosceles Triangle 54">
          <a:extLst>
            <a:ext uri="{FF2B5EF4-FFF2-40B4-BE49-F238E27FC236}">
              <a16:creationId xmlns:a16="http://schemas.microsoft.com/office/drawing/2014/main" id="{00000000-0008-0000-0500-000037000000}"/>
            </a:ext>
          </a:extLst>
        </xdr:cNvPr>
        <xdr:cNvSpPr/>
      </xdr:nvSpPr>
      <xdr:spPr>
        <a:xfrm rot="10800000">
          <a:off x="8943975" y="13589000"/>
          <a:ext cx="136525" cy="13335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3363686</xdr:colOff>
      <xdr:row>150</xdr:row>
      <xdr:rowOff>161925</xdr:rowOff>
    </xdr:from>
    <xdr:to>
      <xdr:col>5</xdr:col>
      <xdr:colOff>3497036</xdr:colOff>
      <xdr:row>150</xdr:row>
      <xdr:rowOff>161925</xdr:rowOff>
    </xdr:to>
    <xdr:sp macro="" textlink="">
      <xdr:nvSpPr>
        <xdr:cNvPr id="56" name="Isosceles Triangle 55">
          <a:extLst>
            <a:ext uri="{FF2B5EF4-FFF2-40B4-BE49-F238E27FC236}">
              <a16:creationId xmlns:a16="http://schemas.microsoft.com/office/drawing/2014/main" id="{00000000-0008-0000-0500-000038000000}"/>
            </a:ext>
          </a:extLst>
        </xdr:cNvPr>
        <xdr:cNvSpPr/>
      </xdr:nvSpPr>
      <xdr:spPr>
        <a:xfrm rot="10800000">
          <a:off x="8398329" y="28163481"/>
          <a:ext cx="133350" cy="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3363686</xdr:colOff>
      <xdr:row>149</xdr:row>
      <xdr:rowOff>3110</xdr:rowOff>
    </xdr:from>
    <xdr:to>
      <xdr:col>5</xdr:col>
      <xdr:colOff>3497036</xdr:colOff>
      <xdr:row>149</xdr:row>
      <xdr:rowOff>3110</xdr:rowOff>
    </xdr:to>
    <xdr:sp macro="" textlink="">
      <xdr:nvSpPr>
        <xdr:cNvPr id="57" name="Isosceles Triangle 56">
          <a:extLst>
            <a:ext uri="{FF2B5EF4-FFF2-40B4-BE49-F238E27FC236}">
              <a16:creationId xmlns:a16="http://schemas.microsoft.com/office/drawing/2014/main" id="{00000000-0008-0000-0500-000039000000}"/>
            </a:ext>
          </a:extLst>
        </xdr:cNvPr>
        <xdr:cNvSpPr/>
      </xdr:nvSpPr>
      <xdr:spPr>
        <a:xfrm rot="10800000">
          <a:off x="8398329" y="27839437"/>
          <a:ext cx="133350" cy="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3343275</xdr:colOff>
      <xdr:row>130</xdr:row>
      <xdr:rowOff>161925</xdr:rowOff>
    </xdr:from>
    <xdr:to>
      <xdr:col>5</xdr:col>
      <xdr:colOff>3476625</xdr:colOff>
      <xdr:row>130</xdr:row>
      <xdr:rowOff>161925</xdr:rowOff>
    </xdr:to>
    <xdr:sp macro="" textlink="">
      <xdr:nvSpPr>
        <xdr:cNvPr id="62" name="Isosceles Triangle 61">
          <a:extLst>
            <a:ext uri="{FF2B5EF4-FFF2-40B4-BE49-F238E27FC236}">
              <a16:creationId xmlns:a16="http://schemas.microsoft.com/office/drawing/2014/main" id="{00000000-0008-0000-0500-00003E000000}"/>
            </a:ext>
          </a:extLst>
        </xdr:cNvPr>
        <xdr:cNvSpPr/>
      </xdr:nvSpPr>
      <xdr:spPr>
        <a:xfrm rot="10800000">
          <a:off x="8377918" y="24149374"/>
          <a:ext cx="133350" cy="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3343275</xdr:colOff>
      <xdr:row>129</xdr:row>
      <xdr:rowOff>3110</xdr:rowOff>
    </xdr:from>
    <xdr:to>
      <xdr:col>5</xdr:col>
      <xdr:colOff>3476625</xdr:colOff>
      <xdr:row>129</xdr:row>
      <xdr:rowOff>3110</xdr:rowOff>
    </xdr:to>
    <xdr:sp macro="" textlink="">
      <xdr:nvSpPr>
        <xdr:cNvPr id="63" name="Isosceles Triangle 62">
          <a:extLst>
            <a:ext uri="{FF2B5EF4-FFF2-40B4-BE49-F238E27FC236}">
              <a16:creationId xmlns:a16="http://schemas.microsoft.com/office/drawing/2014/main" id="{00000000-0008-0000-0500-00003F000000}"/>
            </a:ext>
          </a:extLst>
        </xdr:cNvPr>
        <xdr:cNvSpPr/>
      </xdr:nvSpPr>
      <xdr:spPr>
        <a:xfrm rot="10800000">
          <a:off x="8377918" y="23504590"/>
          <a:ext cx="133350" cy="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3373405</xdr:colOff>
      <xdr:row>82</xdr:row>
      <xdr:rowOff>85724</xdr:rowOff>
    </xdr:from>
    <xdr:to>
      <xdr:col>5</xdr:col>
      <xdr:colOff>3514725</xdr:colOff>
      <xdr:row>82</xdr:row>
      <xdr:rowOff>228599</xdr:rowOff>
    </xdr:to>
    <xdr:sp macro="" textlink="">
      <xdr:nvSpPr>
        <xdr:cNvPr id="74" name="Isosceles Triangle 73">
          <a:extLst>
            <a:ext uri="{FF2B5EF4-FFF2-40B4-BE49-F238E27FC236}">
              <a16:creationId xmlns:a16="http://schemas.microsoft.com/office/drawing/2014/main" id="{00000000-0008-0000-0500-00004A000000}"/>
            </a:ext>
          </a:extLst>
        </xdr:cNvPr>
        <xdr:cNvSpPr/>
      </xdr:nvSpPr>
      <xdr:spPr>
        <a:xfrm rot="10800000">
          <a:off x="8469280" y="15306674"/>
          <a:ext cx="141320" cy="142875"/>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3392455</xdr:colOff>
      <xdr:row>83</xdr:row>
      <xdr:rowOff>38100</xdr:rowOff>
    </xdr:from>
    <xdr:to>
      <xdr:col>5</xdr:col>
      <xdr:colOff>3525805</xdr:colOff>
      <xdr:row>83</xdr:row>
      <xdr:rowOff>152400</xdr:rowOff>
    </xdr:to>
    <xdr:sp macro="" textlink="">
      <xdr:nvSpPr>
        <xdr:cNvPr id="75" name="Isosceles Triangle 74">
          <a:extLst>
            <a:ext uri="{FF2B5EF4-FFF2-40B4-BE49-F238E27FC236}">
              <a16:creationId xmlns:a16="http://schemas.microsoft.com/office/drawing/2014/main" id="{00000000-0008-0000-0500-00004B000000}"/>
            </a:ext>
          </a:extLst>
        </xdr:cNvPr>
        <xdr:cNvSpPr/>
      </xdr:nvSpPr>
      <xdr:spPr>
        <a:xfrm rot="10800000">
          <a:off x="8427098" y="14315881"/>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3392455</xdr:colOff>
      <xdr:row>84</xdr:row>
      <xdr:rowOff>38100</xdr:rowOff>
    </xdr:from>
    <xdr:to>
      <xdr:col>5</xdr:col>
      <xdr:colOff>3525805</xdr:colOff>
      <xdr:row>84</xdr:row>
      <xdr:rowOff>152400</xdr:rowOff>
    </xdr:to>
    <xdr:sp macro="" textlink="">
      <xdr:nvSpPr>
        <xdr:cNvPr id="76" name="Isosceles Triangle 75">
          <a:extLst>
            <a:ext uri="{FF2B5EF4-FFF2-40B4-BE49-F238E27FC236}">
              <a16:creationId xmlns:a16="http://schemas.microsoft.com/office/drawing/2014/main" id="{00000000-0008-0000-0500-00004C000000}"/>
            </a:ext>
          </a:extLst>
        </xdr:cNvPr>
        <xdr:cNvSpPr/>
      </xdr:nvSpPr>
      <xdr:spPr>
        <a:xfrm rot="10800000">
          <a:off x="8427098" y="14481110"/>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3392455</xdr:colOff>
      <xdr:row>86</xdr:row>
      <xdr:rowOff>38100</xdr:rowOff>
    </xdr:from>
    <xdr:to>
      <xdr:col>5</xdr:col>
      <xdr:colOff>3525805</xdr:colOff>
      <xdr:row>86</xdr:row>
      <xdr:rowOff>152400</xdr:rowOff>
    </xdr:to>
    <xdr:sp macro="" textlink="">
      <xdr:nvSpPr>
        <xdr:cNvPr id="77" name="Isosceles Triangle 76">
          <a:extLst>
            <a:ext uri="{FF2B5EF4-FFF2-40B4-BE49-F238E27FC236}">
              <a16:creationId xmlns:a16="http://schemas.microsoft.com/office/drawing/2014/main" id="{00000000-0008-0000-0500-00004D000000}"/>
            </a:ext>
          </a:extLst>
        </xdr:cNvPr>
        <xdr:cNvSpPr/>
      </xdr:nvSpPr>
      <xdr:spPr>
        <a:xfrm rot="10800000">
          <a:off x="8427098" y="14967080"/>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3392455</xdr:colOff>
      <xdr:row>89</xdr:row>
      <xdr:rowOff>38100</xdr:rowOff>
    </xdr:from>
    <xdr:to>
      <xdr:col>5</xdr:col>
      <xdr:colOff>3525805</xdr:colOff>
      <xdr:row>89</xdr:row>
      <xdr:rowOff>152400</xdr:rowOff>
    </xdr:to>
    <xdr:sp macro="" textlink="">
      <xdr:nvSpPr>
        <xdr:cNvPr id="78" name="Isosceles Triangle 77">
          <a:extLst>
            <a:ext uri="{FF2B5EF4-FFF2-40B4-BE49-F238E27FC236}">
              <a16:creationId xmlns:a16="http://schemas.microsoft.com/office/drawing/2014/main" id="{00000000-0008-0000-0500-00004E000000}"/>
            </a:ext>
          </a:extLst>
        </xdr:cNvPr>
        <xdr:cNvSpPr/>
      </xdr:nvSpPr>
      <xdr:spPr>
        <a:xfrm rot="10800000">
          <a:off x="8427098" y="15783508"/>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3420836</xdr:colOff>
      <xdr:row>70</xdr:row>
      <xdr:rowOff>28380</xdr:rowOff>
    </xdr:from>
    <xdr:to>
      <xdr:col>5</xdr:col>
      <xdr:colOff>3554186</xdr:colOff>
      <xdr:row>70</xdr:row>
      <xdr:rowOff>142680</xdr:rowOff>
    </xdr:to>
    <xdr:sp macro="" textlink="">
      <xdr:nvSpPr>
        <xdr:cNvPr id="79" name="Isosceles Triangle 78">
          <a:extLst>
            <a:ext uri="{FF2B5EF4-FFF2-40B4-BE49-F238E27FC236}">
              <a16:creationId xmlns:a16="http://schemas.microsoft.com/office/drawing/2014/main" id="{00000000-0008-0000-0500-00004F000000}"/>
            </a:ext>
          </a:extLst>
        </xdr:cNvPr>
        <xdr:cNvSpPr/>
      </xdr:nvSpPr>
      <xdr:spPr>
        <a:xfrm rot="10800000">
          <a:off x="8455479" y="11613890"/>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3411311</xdr:colOff>
      <xdr:row>65</xdr:row>
      <xdr:rowOff>28380</xdr:rowOff>
    </xdr:from>
    <xdr:to>
      <xdr:col>5</xdr:col>
      <xdr:colOff>3544661</xdr:colOff>
      <xdr:row>65</xdr:row>
      <xdr:rowOff>142680</xdr:rowOff>
    </xdr:to>
    <xdr:sp macro="" textlink="">
      <xdr:nvSpPr>
        <xdr:cNvPr id="81" name="Isosceles Triangle 80">
          <a:extLst>
            <a:ext uri="{FF2B5EF4-FFF2-40B4-BE49-F238E27FC236}">
              <a16:creationId xmlns:a16="http://schemas.microsoft.com/office/drawing/2014/main" id="{00000000-0008-0000-0500-000051000000}"/>
            </a:ext>
          </a:extLst>
        </xdr:cNvPr>
        <xdr:cNvSpPr/>
      </xdr:nvSpPr>
      <xdr:spPr>
        <a:xfrm rot="10800000">
          <a:off x="8445954" y="10311492"/>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3411311</xdr:colOff>
      <xdr:row>64</xdr:row>
      <xdr:rowOff>28380</xdr:rowOff>
    </xdr:from>
    <xdr:to>
      <xdr:col>5</xdr:col>
      <xdr:colOff>3544661</xdr:colOff>
      <xdr:row>64</xdr:row>
      <xdr:rowOff>142680</xdr:rowOff>
    </xdr:to>
    <xdr:sp macro="" textlink="">
      <xdr:nvSpPr>
        <xdr:cNvPr id="82" name="Isosceles Triangle 81">
          <a:extLst>
            <a:ext uri="{FF2B5EF4-FFF2-40B4-BE49-F238E27FC236}">
              <a16:creationId xmlns:a16="http://schemas.microsoft.com/office/drawing/2014/main" id="{00000000-0008-0000-0500-000052000000}"/>
            </a:ext>
          </a:extLst>
        </xdr:cNvPr>
        <xdr:cNvSpPr/>
      </xdr:nvSpPr>
      <xdr:spPr>
        <a:xfrm rot="10800000">
          <a:off x="8445954" y="10146263"/>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3411311</xdr:colOff>
      <xdr:row>63</xdr:row>
      <xdr:rowOff>28380</xdr:rowOff>
    </xdr:from>
    <xdr:to>
      <xdr:col>5</xdr:col>
      <xdr:colOff>3544661</xdr:colOff>
      <xdr:row>63</xdr:row>
      <xdr:rowOff>142680</xdr:rowOff>
    </xdr:to>
    <xdr:sp macro="" textlink="">
      <xdr:nvSpPr>
        <xdr:cNvPr id="83" name="Isosceles Triangle 82">
          <a:extLst>
            <a:ext uri="{FF2B5EF4-FFF2-40B4-BE49-F238E27FC236}">
              <a16:creationId xmlns:a16="http://schemas.microsoft.com/office/drawing/2014/main" id="{00000000-0008-0000-0500-000053000000}"/>
            </a:ext>
          </a:extLst>
        </xdr:cNvPr>
        <xdr:cNvSpPr/>
      </xdr:nvSpPr>
      <xdr:spPr>
        <a:xfrm rot="10800000">
          <a:off x="8445954" y="9981033"/>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3430361</xdr:colOff>
      <xdr:row>49</xdr:row>
      <xdr:rowOff>28380</xdr:rowOff>
    </xdr:from>
    <xdr:to>
      <xdr:col>5</xdr:col>
      <xdr:colOff>3563711</xdr:colOff>
      <xdr:row>49</xdr:row>
      <xdr:rowOff>133155</xdr:rowOff>
    </xdr:to>
    <xdr:sp macro="" textlink="">
      <xdr:nvSpPr>
        <xdr:cNvPr id="84" name="Isosceles Triangle 83">
          <a:extLst>
            <a:ext uri="{FF2B5EF4-FFF2-40B4-BE49-F238E27FC236}">
              <a16:creationId xmlns:a16="http://schemas.microsoft.com/office/drawing/2014/main" id="{00000000-0008-0000-0500-000054000000}"/>
            </a:ext>
          </a:extLst>
        </xdr:cNvPr>
        <xdr:cNvSpPr/>
      </xdr:nvSpPr>
      <xdr:spPr>
        <a:xfrm rot="10800000">
          <a:off x="8465004" y="7930242"/>
          <a:ext cx="133350" cy="104775"/>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3420836</xdr:colOff>
      <xdr:row>46</xdr:row>
      <xdr:rowOff>37905</xdr:rowOff>
    </xdr:from>
    <xdr:to>
      <xdr:col>5</xdr:col>
      <xdr:colOff>3554186</xdr:colOff>
      <xdr:row>46</xdr:row>
      <xdr:rowOff>155510</xdr:rowOff>
    </xdr:to>
    <xdr:sp macro="" textlink="">
      <xdr:nvSpPr>
        <xdr:cNvPr id="86" name="Isosceles Triangle 85">
          <a:extLst>
            <a:ext uri="{FF2B5EF4-FFF2-40B4-BE49-F238E27FC236}">
              <a16:creationId xmlns:a16="http://schemas.microsoft.com/office/drawing/2014/main" id="{00000000-0008-0000-0500-000056000000}"/>
            </a:ext>
          </a:extLst>
        </xdr:cNvPr>
        <xdr:cNvSpPr/>
      </xdr:nvSpPr>
      <xdr:spPr>
        <a:xfrm rot="10800000">
          <a:off x="8455479" y="6967828"/>
          <a:ext cx="133350" cy="117605"/>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3420836</xdr:colOff>
      <xdr:row>45</xdr:row>
      <xdr:rowOff>37905</xdr:rowOff>
    </xdr:from>
    <xdr:to>
      <xdr:col>5</xdr:col>
      <xdr:colOff>3554186</xdr:colOff>
      <xdr:row>45</xdr:row>
      <xdr:rowOff>155509</xdr:rowOff>
    </xdr:to>
    <xdr:sp macro="" textlink="">
      <xdr:nvSpPr>
        <xdr:cNvPr id="87" name="Isosceles Triangle 86">
          <a:extLst>
            <a:ext uri="{FF2B5EF4-FFF2-40B4-BE49-F238E27FC236}">
              <a16:creationId xmlns:a16="http://schemas.microsoft.com/office/drawing/2014/main" id="{00000000-0008-0000-0500-000057000000}"/>
            </a:ext>
          </a:extLst>
        </xdr:cNvPr>
        <xdr:cNvSpPr/>
      </xdr:nvSpPr>
      <xdr:spPr>
        <a:xfrm rot="10800000">
          <a:off x="8455479" y="6802599"/>
          <a:ext cx="133350" cy="117604"/>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3420836</xdr:colOff>
      <xdr:row>44</xdr:row>
      <xdr:rowOff>37905</xdr:rowOff>
    </xdr:from>
    <xdr:to>
      <xdr:col>5</xdr:col>
      <xdr:colOff>3554186</xdr:colOff>
      <xdr:row>44</xdr:row>
      <xdr:rowOff>155510</xdr:rowOff>
    </xdr:to>
    <xdr:sp macro="" textlink="">
      <xdr:nvSpPr>
        <xdr:cNvPr id="88" name="Isosceles Triangle 87">
          <a:extLst>
            <a:ext uri="{FF2B5EF4-FFF2-40B4-BE49-F238E27FC236}">
              <a16:creationId xmlns:a16="http://schemas.microsoft.com/office/drawing/2014/main" id="{00000000-0008-0000-0500-000058000000}"/>
            </a:ext>
          </a:extLst>
        </xdr:cNvPr>
        <xdr:cNvSpPr/>
      </xdr:nvSpPr>
      <xdr:spPr>
        <a:xfrm rot="10800000">
          <a:off x="8455479" y="6637369"/>
          <a:ext cx="133350" cy="117605"/>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3605374</xdr:colOff>
      <xdr:row>30</xdr:row>
      <xdr:rowOff>29157</xdr:rowOff>
    </xdr:from>
    <xdr:to>
      <xdr:col>5</xdr:col>
      <xdr:colOff>3716370</xdr:colOff>
      <xdr:row>30</xdr:row>
      <xdr:rowOff>142874</xdr:rowOff>
    </xdr:to>
    <xdr:sp macro="" textlink="">
      <xdr:nvSpPr>
        <xdr:cNvPr id="89" name="Isosceles Triangle 88">
          <a:extLst>
            <a:ext uri="{FF2B5EF4-FFF2-40B4-BE49-F238E27FC236}">
              <a16:creationId xmlns:a16="http://schemas.microsoft.com/office/drawing/2014/main" id="{00000000-0008-0000-0500-000059000000}"/>
            </a:ext>
          </a:extLst>
        </xdr:cNvPr>
        <xdr:cNvSpPr/>
      </xdr:nvSpPr>
      <xdr:spPr>
        <a:xfrm rot="10800000">
          <a:off x="8952074" y="4131257"/>
          <a:ext cx="110996" cy="113717"/>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3605374</xdr:colOff>
      <xdr:row>27</xdr:row>
      <xdr:rowOff>29157</xdr:rowOff>
    </xdr:from>
    <xdr:to>
      <xdr:col>5</xdr:col>
      <xdr:colOff>3716370</xdr:colOff>
      <xdr:row>27</xdr:row>
      <xdr:rowOff>142874</xdr:rowOff>
    </xdr:to>
    <xdr:sp macro="" textlink="">
      <xdr:nvSpPr>
        <xdr:cNvPr id="91" name="Isosceles Triangle 90">
          <a:extLst>
            <a:ext uri="{FF2B5EF4-FFF2-40B4-BE49-F238E27FC236}">
              <a16:creationId xmlns:a16="http://schemas.microsoft.com/office/drawing/2014/main" id="{00000000-0008-0000-0500-00005B000000}"/>
            </a:ext>
          </a:extLst>
        </xdr:cNvPr>
        <xdr:cNvSpPr/>
      </xdr:nvSpPr>
      <xdr:spPr>
        <a:xfrm rot="10800000">
          <a:off x="8952074" y="3496257"/>
          <a:ext cx="110996" cy="113717"/>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3605374</xdr:colOff>
      <xdr:row>26</xdr:row>
      <xdr:rowOff>29157</xdr:rowOff>
    </xdr:from>
    <xdr:to>
      <xdr:col>5</xdr:col>
      <xdr:colOff>3716370</xdr:colOff>
      <xdr:row>26</xdr:row>
      <xdr:rowOff>142874</xdr:rowOff>
    </xdr:to>
    <xdr:sp macro="" textlink="">
      <xdr:nvSpPr>
        <xdr:cNvPr id="92" name="Isosceles Triangle 91">
          <a:extLst>
            <a:ext uri="{FF2B5EF4-FFF2-40B4-BE49-F238E27FC236}">
              <a16:creationId xmlns:a16="http://schemas.microsoft.com/office/drawing/2014/main" id="{00000000-0008-0000-0500-00005C000000}"/>
            </a:ext>
          </a:extLst>
        </xdr:cNvPr>
        <xdr:cNvSpPr/>
      </xdr:nvSpPr>
      <xdr:spPr>
        <a:xfrm rot="10800000">
          <a:off x="8952074" y="3108907"/>
          <a:ext cx="110996" cy="113717"/>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3605374</xdr:colOff>
      <xdr:row>25</xdr:row>
      <xdr:rowOff>29157</xdr:rowOff>
    </xdr:from>
    <xdr:to>
      <xdr:col>5</xdr:col>
      <xdr:colOff>3716370</xdr:colOff>
      <xdr:row>25</xdr:row>
      <xdr:rowOff>142874</xdr:rowOff>
    </xdr:to>
    <xdr:sp macro="" textlink="">
      <xdr:nvSpPr>
        <xdr:cNvPr id="93" name="Isosceles Triangle 92">
          <a:extLst>
            <a:ext uri="{FF2B5EF4-FFF2-40B4-BE49-F238E27FC236}">
              <a16:creationId xmlns:a16="http://schemas.microsoft.com/office/drawing/2014/main" id="{00000000-0008-0000-0500-00005D000000}"/>
            </a:ext>
          </a:extLst>
        </xdr:cNvPr>
        <xdr:cNvSpPr/>
      </xdr:nvSpPr>
      <xdr:spPr>
        <a:xfrm rot="10800000">
          <a:off x="8952074" y="2721557"/>
          <a:ext cx="110996" cy="113717"/>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3430361</xdr:colOff>
      <xdr:row>48</xdr:row>
      <xdr:rowOff>18855</xdr:rowOff>
    </xdr:from>
    <xdr:to>
      <xdr:col>5</xdr:col>
      <xdr:colOff>3563711</xdr:colOff>
      <xdr:row>48</xdr:row>
      <xdr:rowOff>133155</xdr:rowOff>
    </xdr:to>
    <xdr:sp macro="" textlink="">
      <xdr:nvSpPr>
        <xdr:cNvPr id="102" name="Isosceles Triangle 101">
          <a:extLst>
            <a:ext uri="{FF2B5EF4-FFF2-40B4-BE49-F238E27FC236}">
              <a16:creationId xmlns:a16="http://schemas.microsoft.com/office/drawing/2014/main" id="{00000000-0008-0000-0500-000066000000}"/>
            </a:ext>
          </a:extLst>
        </xdr:cNvPr>
        <xdr:cNvSpPr/>
      </xdr:nvSpPr>
      <xdr:spPr>
        <a:xfrm rot="10800000">
          <a:off x="8465004" y="7434748"/>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3420836</xdr:colOff>
      <xdr:row>67</xdr:row>
      <xdr:rowOff>247455</xdr:rowOff>
    </xdr:from>
    <xdr:to>
      <xdr:col>5</xdr:col>
      <xdr:colOff>3554186</xdr:colOff>
      <xdr:row>67</xdr:row>
      <xdr:rowOff>361755</xdr:rowOff>
    </xdr:to>
    <xdr:sp macro="" textlink="">
      <xdr:nvSpPr>
        <xdr:cNvPr id="108" name="Isosceles Triangle 107">
          <a:extLst>
            <a:ext uri="{FF2B5EF4-FFF2-40B4-BE49-F238E27FC236}">
              <a16:creationId xmlns:a16="http://schemas.microsoft.com/office/drawing/2014/main" id="{00000000-0008-0000-0500-00006C000000}"/>
            </a:ext>
          </a:extLst>
        </xdr:cNvPr>
        <xdr:cNvSpPr/>
      </xdr:nvSpPr>
      <xdr:spPr>
        <a:xfrm rot="10800000">
          <a:off x="8455479" y="11016537"/>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62744</xdr:colOff>
      <xdr:row>74</xdr:row>
      <xdr:rowOff>3175</xdr:rowOff>
    </xdr:from>
    <xdr:to>
      <xdr:col>2</xdr:col>
      <xdr:colOff>1771549</xdr:colOff>
      <xdr:row>78</xdr:row>
      <xdr:rowOff>130175</xdr:rowOff>
    </xdr:to>
    <xdr:pic>
      <xdr:nvPicPr>
        <xdr:cNvPr id="19" name="Picture 18">
          <a:extLst>
            <a:ext uri="{FF2B5EF4-FFF2-40B4-BE49-F238E27FC236}">
              <a16:creationId xmlns:a16="http://schemas.microsoft.com/office/drawing/2014/main" id="{00000000-0008-0000-0500-000013000000}"/>
            </a:ext>
          </a:extLst>
        </xdr:cNvPr>
        <xdr:cNvPicPr>
          <a:picLocks noChangeAspect="1" noChangeArrowheads="1"/>
        </xdr:cNvPicPr>
      </xdr:nvPicPr>
      <xdr:blipFill>
        <a:blip xmlns:r="http://schemas.openxmlformats.org/officeDocument/2006/relationships" r:embed="rId14" cstate="screen">
          <a:extLst>
            <a:ext uri="{28A0092B-C50C-407E-A947-70E740481C1C}">
              <a14:useLocalDpi xmlns:a14="http://schemas.microsoft.com/office/drawing/2010/main"/>
            </a:ext>
          </a:extLst>
        </a:blip>
        <a:srcRect/>
        <a:stretch>
          <a:fillRect/>
        </a:stretch>
      </xdr:blipFill>
      <xdr:spPr bwMode="auto">
        <a:xfrm>
          <a:off x="1281944" y="10699750"/>
          <a:ext cx="1708805" cy="450850"/>
        </a:xfrm>
        <a:prstGeom prst="rect">
          <a:avLst/>
        </a:prstGeom>
        <a:solidFill>
          <a:srgbClr val="FFFFFF"/>
        </a:solidFill>
      </xdr:spPr>
    </xdr:pic>
    <xdr:clientData/>
  </xdr:twoCellAnchor>
  <xdr:twoCellAnchor>
    <xdr:from>
      <xdr:col>2</xdr:col>
      <xdr:colOff>104775</xdr:colOff>
      <xdr:row>25</xdr:row>
      <xdr:rowOff>323850</xdr:rowOff>
    </xdr:from>
    <xdr:to>
      <xdr:col>2</xdr:col>
      <xdr:colOff>1762125</xdr:colOff>
      <xdr:row>31</xdr:row>
      <xdr:rowOff>157443</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1323975" y="3038475"/>
          <a:ext cx="1657350" cy="1424268"/>
        </a:xfrm>
        <a:prstGeom prst="rect">
          <a:avLst/>
        </a:prstGeom>
      </xdr:spPr>
    </xdr:pic>
    <xdr:clientData/>
  </xdr:twoCellAnchor>
  <xdr:twoCellAnchor>
    <xdr:from>
      <xdr:col>2</xdr:col>
      <xdr:colOff>95251</xdr:colOff>
      <xdr:row>45</xdr:row>
      <xdr:rowOff>38101</xdr:rowOff>
    </xdr:from>
    <xdr:to>
      <xdr:col>2</xdr:col>
      <xdr:colOff>1752600</xdr:colOff>
      <xdr:row>50</xdr:row>
      <xdr:rowOff>46307</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6"/>
        <a:stretch>
          <a:fillRect/>
        </a:stretch>
      </xdr:blipFill>
      <xdr:spPr>
        <a:xfrm>
          <a:off x="1314451" y="6962776"/>
          <a:ext cx="1657349" cy="1303606"/>
        </a:xfrm>
        <a:prstGeom prst="rect">
          <a:avLst/>
        </a:prstGeom>
      </xdr:spPr>
    </xdr:pic>
    <xdr:clientData/>
  </xdr:twoCellAnchor>
  <xdr:twoCellAnchor>
    <xdr:from>
      <xdr:col>2</xdr:col>
      <xdr:colOff>85725</xdr:colOff>
      <xdr:row>54</xdr:row>
      <xdr:rowOff>209309</xdr:rowOff>
    </xdr:from>
    <xdr:to>
      <xdr:col>2</xdr:col>
      <xdr:colOff>1743075</xdr:colOff>
      <xdr:row>59</xdr:row>
      <xdr:rowOff>117281</xdr:rowOff>
    </xdr:to>
    <xdr:pic>
      <xdr:nvPicPr>
        <xdr:cNvPr id="44" name="Picture 43">
          <a:extLst>
            <a:ext uri="{FF2B5EF4-FFF2-40B4-BE49-F238E27FC236}">
              <a16:creationId xmlns:a16="http://schemas.microsoft.com/office/drawing/2014/main" id="{00000000-0008-0000-0500-00002C000000}"/>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a:ext>
          </a:extLst>
        </a:blip>
        <a:srcRect/>
        <a:stretch>
          <a:fillRect/>
        </a:stretch>
      </xdr:blipFill>
      <xdr:spPr bwMode="auto">
        <a:xfrm>
          <a:off x="1304925" y="8429384"/>
          <a:ext cx="1657350" cy="1041447"/>
        </a:xfrm>
        <a:prstGeom prst="rect">
          <a:avLst/>
        </a:prstGeom>
        <a:solidFill>
          <a:srgbClr val="FFFFFF"/>
        </a:solidFill>
      </xdr:spPr>
    </xdr:pic>
    <xdr:clientData/>
  </xdr:twoCellAnchor>
  <xdr:twoCellAnchor>
    <xdr:from>
      <xdr:col>2</xdr:col>
      <xdr:colOff>95250</xdr:colOff>
      <xdr:row>63</xdr:row>
      <xdr:rowOff>219075</xdr:rowOff>
    </xdr:from>
    <xdr:to>
      <xdr:col>2</xdr:col>
      <xdr:colOff>1685925</xdr:colOff>
      <xdr:row>68</xdr:row>
      <xdr:rowOff>19050</xdr:rowOff>
    </xdr:to>
    <xdr:pic>
      <xdr:nvPicPr>
        <xdr:cNvPr id="103" name="Picture 102">
          <a:extLst>
            <a:ext uri="{FF2B5EF4-FFF2-40B4-BE49-F238E27FC236}">
              <a16:creationId xmlns:a16="http://schemas.microsoft.com/office/drawing/2014/main" id="{00000000-0008-0000-0500-000067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a:ext>
          </a:extLst>
        </a:blip>
        <a:srcRect/>
        <a:stretch>
          <a:fillRect/>
        </a:stretch>
      </xdr:blipFill>
      <xdr:spPr bwMode="auto">
        <a:xfrm>
          <a:off x="1314450" y="10906125"/>
          <a:ext cx="1590675" cy="1514475"/>
        </a:xfrm>
        <a:prstGeom prst="rect">
          <a:avLst/>
        </a:prstGeom>
        <a:solidFill>
          <a:srgbClr val="FFFFFF"/>
        </a:solidFill>
      </xdr:spPr>
    </xdr:pic>
    <xdr:clientData/>
  </xdr:twoCellAnchor>
  <xdr:twoCellAnchor>
    <xdr:from>
      <xdr:col>2</xdr:col>
      <xdr:colOff>206375</xdr:colOff>
      <xdr:row>82</xdr:row>
      <xdr:rowOff>133351</xdr:rowOff>
    </xdr:from>
    <xdr:to>
      <xdr:col>2</xdr:col>
      <xdr:colOff>1797050</xdr:colOff>
      <xdr:row>86</xdr:row>
      <xdr:rowOff>390525</xdr:rowOff>
    </xdr:to>
    <xdr:pic>
      <xdr:nvPicPr>
        <xdr:cNvPr id="109" name="Picture 108">
          <a:extLst>
            <a:ext uri="{FF2B5EF4-FFF2-40B4-BE49-F238E27FC236}">
              <a16:creationId xmlns:a16="http://schemas.microsoft.com/office/drawing/2014/main" id="{00000000-0008-0000-0500-00006D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a:ext>
          </a:extLst>
        </a:blip>
        <a:srcRect/>
        <a:stretch>
          <a:fillRect/>
        </a:stretch>
      </xdr:blipFill>
      <xdr:spPr bwMode="auto">
        <a:xfrm>
          <a:off x="1425575" y="15354301"/>
          <a:ext cx="1590675" cy="1619249"/>
        </a:xfrm>
        <a:prstGeom prst="rect">
          <a:avLst/>
        </a:prstGeom>
        <a:solidFill>
          <a:srgbClr val="FFFFFF"/>
        </a:solidFill>
      </xdr:spPr>
    </xdr:pic>
    <xdr:clientData/>
  </xdr:twoCellAnchor>
  <xdr:twoCellAnchor>
    <xdr:from>
      <xdr:col>2</xdr:col>
      <xdr:colOff>180975</xdr:colOff>
      <xdr:row>124</xdr:row>
      <xdr:rowOff>180975</xdr:rowOff>
    </xdr:from>
    <xdr:to>
      <xdr:col>2</xdr:col>
      <xdr:colOff>1773250</xdr:colOff>
      <xdr:row>129</xdr:row>
      <xdr:rowOff>28575</xdr:rowOff>
    </xdr:to>
    <xdr:pic>
      <xdr:nvPicPr>
        <xdr:cNvPr id="110" name="Picture 109">
          <a:extLst>
            <a:ext uri="{FF2B5EF4-FFF2-40B4-BE49-F238E27FC236}">
              <a16:creationId xmlns:a16="http://schemas.microsoft.com/office/drawing/2014/main" id="{00000000-0008-0000-0500-00006E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a:ext>
          </a:extLst>
        </a:blip>
        <a:srcRect/>
        <a:stretch>
          <a:fillRect/>
        </a:stretch>
      </xdr:blipFill>
      <xdr:spPr bwMode="auto">
        <a:xfrm>
          <a:off x="1400175" y="24698325"/>
          <a:ext cx="1592275" cy="1257300"/>
        </a:xfrm>
        <a:prstGeom prst="rect">
          <a:avLst/>
        </a:prstGeom>
        <a:solidFill>
          <a:srgbClr val="FFFFFF"/>
        </a:solidFill>
      </xdr:spPr>
    </xdr:pic>
    <xdr:clientData/>
  </xdr:twoCellAnchor>
  <xdr:twoCellAnchor>
    <xdr:from>
      <xdr:col>2</xdr:col>
      <xdr:colOff>85725</xdr:colOff>
      <xdr:row>105</xdr:row>
      <xdr:rowOff>66675</xdr:rowOff>
    </xdr:from>
    <xdr:to>
      <xdr:col>2</xdr:col>
      <xdr:colOff>1745734</xdr:colOff>
      <xdr:row>111</xdr:row>
      <xdr:rowOff>133349</xdr:rowOff>
    </xdr:to>
    <xdr:pic>
      <xdr:nvPicPr>
        <xdr:cNvPr id="111" name="Picture 110">
          <a:extLst>
            <a:ext uri="{FF2B5EF4-FFF2-40B4-BE49-F238E27FC236}">
              <a16:creationId xmlns:a16="http://schemas.microsoft.com/office/drawing/2014/main" id="{00000000-0008-0000-0500-00006F000000}"/>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a:ext>
          </a:extLst>
        </a:blip>
        <a:srcRect/>
        <a:stretch>
          <a:fillRect/>
        </a:stretch>
      </xdr:blipFill>
      <xdr:spPr bwMode="auto">
        <a:xfrm>
          <a:off x="1304925" y="17630775"/>
          <a:ext cx="1660009" cy="1200149"/>
        </a:xfrm>
        <a:prstGeom prst="rect">
          <a:avLst/>
        </a:prstGeom>
        <a:solidFill>
          <a:srgbClr val="FFFFFF"/>
        </a:solidFill>
      </xdr:spPr>
    </xdr:pic>
    <xdr:clientData/>
  </xdr:twoCellAnchor>
  <xdr:twoCellAnchor>
    <xdr:from>
      <xdr:col>5</xdr:col>
      <xdr:colOff>3430942</xdr:colOff>
      <xdr:row>326</xdr:row>
      <xdr:rowOff>0</xdr:rowOff>
    </xdr:from>
    <xdr:to>
      <xdr:col>5</xdr:col>
      <xdr:colOff>3577639</xdr:colOff>
      <xdr:row>326</xdr:row>
      <xdr:rowOff>0</xdr:rowOff>
    </xdr:to>
    <xdr:sp macro="" textlink="">
      <xdr:nvSpPr>
        <xdr:cNvPr id="101" name="Isosceles Triangle 100">
          <a:extLst>
            <a:ext uri="{FF2B5EF4-FFF2-40B4-BE49-F238E27FC236}">
              <a16:creationId xmlns:a16="http://schemas.microsoft.com/office/drawing/2014/main" id="{00000000-0008-0000-0500-000065000000}"/>
            </a:ext>
          </a:extLst>
        </xdr:cNvPr>
        <xdr:cNvSpPr/>
      </xdr:nvSpPr>
      <xdr:spPr>
        <a:xfrm rot="10800000">
          <a:off x="8526817" y="25136475"/>
          <a:ext cx="146697" cy="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3430942</xdr:colOff>
      <xdr:row>326</xdr:row>
      <xdr:rowOff>0</xdr:rowOff>
    </xdr:from>
    <xdr:to>
      <xdr:col>5</xdr:col>
      <xdr:colOff>3577639</xdr:colOff>
      <xdr:row>326</xdr:row>
      <xdr:rowOff>0</xdr:rowOff>
    </xdr:to>
    <xdr:sp macro="" textlink="">
      <xdr:nvSpPr>
        <xdr:cNvPr id="115" name="Isosceles Triangle 114">
          <a:extLst>
            <a:ext uri="{FF2B5EF4-FFF2-40B4-BE49-F238E27FC236}">
              <a16:creationId xmlns:a16="http://schemas.microsoft.com/office/drawing/2014/main" id="{00000000-0008-0000-0500-000073000000}"/>
            </a:ext>
          </a:extLst>
        </xdr:cNvPr>
        <xdr:cNvSpPr/>
      </xdr:nvSpPr>
      <xdr:spPr>
        <a:xfrm rot="10800000">
          <a:off x="8526817" y="25136475"/>
          <a:ext cx="146697" cy="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191472</xdr:colOff>
      <xdr:row>216</xdr:row>
      <xdr:rowOff>58316</xdr:rowOff>
    </xdr:from>
    <xdr:to>
      <xdr:col>2</xdr:col>
      <xdr:colOff>1613418</xdr:colOff>
      <xdr:row>219</xdr:row>
      <xdr:rowOff>100019</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a:ext>
          </a:extLst>
        </a:blip>
        <a:stretch>
          <a:fillRect/>
        </a:stretch>
      </xdr:blipFill>
      <xdr:spPr>
        <a:xfrm>
          <a:off x="1416115" y="35300816"/>
          <a:ext cx="1421946" cy="1081677"/>
        </a:xfrm>
        <a:prstGeom prst="rect">
          <a:avLst/>
        </a:prstGeom>
      </xdr:spPr>
    </xdr:pic>
    <xdr:clientData/>
  </xdr:twoCellAnchor>
  <xdr:twoCellAnchor>
    <xdr:from>
      <xdr:col>5</xdr:col>
      <xdr:colOff>3605374</xdr:colOff>
      <xdr:row>31</xdr:row>
      <xdr:rowOff>29157</xdr:rowOff>
    </xdr:from>
    <xdr:to>
      <xdr:col>5</xdr:col>
      <xdr:colOff>3716370</xdr:colOff>
      <xdr:row>31</xdr:row>
      <xdr:rowOff>142874</xdr:rowOff>
    </xdr:to>
    <xdr:sp macro="" textlink="">
      <xdr:nvSpPr>
        <xdr:cNvPr id="121" name="Isosceles Triangle 120">
          <a:extLst>
            <a:ext uri="{FF2B5EF4-FFF2-40B4-BE49-F238E27FC236}">
              <a16:creationId xmlns:a16="http://schemas.microsoft.com/office/drawing/2014/main" id="{00000000-0008-0000-0500-000079000000}"/>
            </a:ext>
          </a:extLst>
        </xdr:cNvPr>
        <xdr:cNvSpPr/>
      </xdr:nvSpPr>
      <xdr:spPr>
        <a:xfrm rot="10800000">
          <a:off x="8952074" y="4290007"/>
          <a:ext cx="110996" cy="113717"/>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3430361</xdr:colOff>
      <xdr:row>50</xdr:row>
      <xdr:rowOff>18855</xdr:rowOff>
    </xdr:from>
    <xdr:to>
      <xdr:col>5</xdr:col>
      <xdr:colOff>3563711</xdr:colOff>
      <xdr:row>50</xdr:row>
      <xdr:rowOff>133155</xdr:rowOff>
    </xdr:to>
    <xdr:sp macro="" textlink="">
      <xdr:nvSpPr>
        <xdr:cNvPr id="122" name="Isosceles Triangle 121">
          <a:extLst>
            <a:ext uri="{FF2B5EF4-FFF2-40B4-BE49-F238E27FC236}">
              <a16:creationId xmlns:a16="http://schemas.microsoft.com/office/drawing/2014/main" id="{00000000-0008-0000-0500-00007A000000}"/>
            </a:ext>
          </a:extLst>
        </xdr:cNvPr>
        <xdr:cNvSpPr/>
      </xdr:nvSpPr>
      <xdr:spPr>
        <a:xfrm rot="10800000">
          <a:off x="8465004" y="8085947"/>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3420836</xdr:colOff>
      <xdr:row>71</xdr:row>
      <xdr:rowOff>18855</xdr:rowOff>
    </xdr:from>
    <xdr:to>
      <xdr:col>5</xdr:col>
      <xdr:colOff>3554186</xdr:colOff>
      <xdr:row>71</xdr:row>
      <xdr:rowOff>133155</xdr:rowOff>
    </xdr:to>
    <xdr:sp macro="" textlink="">
      <xdr:nvSpPr>
        <xdr:cNvPr id="123" name="Isosceles Triangle 122">
          <a:extLst>
            <a:ext uri="{FF2B5EF4-FFF2-40B4-BE49-F238E27FC236}">
              <a16:creationId xmlns:a16="http://schemas.microsoft.com/office/drawing/2014/main" id="{00000000-0008-0000-0500-00007B000000}"/>
            </a:ext>
          </a:extLst>
        </xdr:cNvPr>
        <xdr:cNvSpPr/>
      </xdr:nvSpPr>
      <xdr:spPr>
        <a:xfrm rot="10800000">
          <a:off x="8455479" y="11769595"/>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3392455</xdr:colOff>
      <xdr:row>90</xdr:row>
      <xdr:rowOff>47625</xdr:rowOff>
    </xdr:from>
    <xdr:to>
      <xdr:col>5</xdr:col>
      <xdr:colOff>3525805</xdr:colOff>
      <xdr:row>91</xdr:row>
      <xdr:rowOff>0</xdr:rowOff>
    </xdr:to>
    <xdr:sp macro="" textlink="">
      <xdr:nvSpPr>
        <xdr:cNvPr id="124" name="Isosceles Triangle 123">
          <a:extLst>
            <a:ext uri="{FF2B5EF4-FFF2-40B4-BE49-F238E27FC236}">
              <a16:creationId xmlns:a16="http://schemas.microsoft.com/office/drawing/2014/main" id="{00000000-0008-0000-0500-00007C000000}"/>
            </a:ext>
          </a:extLst>
        </xdr:cNvPr>
        <xdr:cNvSpPr/>
      </xdr:nvSpPr>
      <xdr:spPr>
        <a:xfrm rot="10800000">
          <a:off x="8427098" y="15958263"/>
          <a:ext cx="133350" cy="117604"/>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3430942</xdr:colOff>
      <xdr:row>314</xdr:row>
      <xdr:rowOff>0</xdr:rowOff>
    </xdr:from>
    <xdr:to>
      <xdr:col>5</xdr:col>
      <xdr:colOff>3577639</xdr:colOff>
      <xdr:row>314</xdr:row>
      <xdr:rowOff>0</xdr:rowOff>
    </xdr:to>
    <xdr:sp macro="" textlink="">
      <xdr:nvSpPr>
        <xdr:cNvPr id="118" name="Isosceles Triangle 117">
          <a:extLst>
            <a:ext uri="{FF2B5EF4-FFF2-40B4-BE49-F238E27FC236}">
              <a16:creationId xmlns:a16="http://schemas.microsoft.com/office/drawing/2014/main" id="{00000000-0008-0000-0500-000076000000}"/>
            </a:ext>
          </a:extLst>
        </xdr:cNvPr>
        <xdr:cNvSpPr/>
      </xdr:nvSpPr>
      <xdr:spPr>
        <a:xfrm rot="10800000">
          <a:off x="8526817" y="24545925"/>
          <a:ext cx="146697" cy="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3430942</xdr:colOff>
      <xdr:row>314</xdr:row>
      <xdr:rowOff>0</xdr:rowOff>
    </xdr:from>
    <xdr:to>
      <xdr:col>5</xdr:col>
      <xdr:colOff>3577639</xdr:colOff>
      <xdr:row>314</xdr:row>
      <xdr:rowOff>0</xdr:rowOff>
    </xdr:to>
    <xdr:sp macro="" textlink="">
      <xdr:nvSpPr>
        <xdr:cNvPr id="128" name="Isosceles Triangle 127">
          <a:extLst>
            <a:ext uri="{FF2B5EF4-FFF2-40B4-BE49-F238E27FC236}">
              <a16:creationId xmlns:a16="http://schemas.microsoft.com/office/drawing/2014/main" id="{00000000-0008-0000-0500-000080000000}"/>
            </a:ext>
          </a:extLst>
        </xdr:cNvPr>
        <xdr:cNvSpPr/>
      </xdr:nvSpPr>
      <xdr:spPr>
        <a:xfrm rot="10800000">
          <a:off x="8526817" y="24545925"/>
          <a:ext cx="146697" cy="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3554574</xdr:colOff>
      <xdr:row>305</xdr:row>
      <xdr:rowOff>41274</xdr:rowOff>
    </xdr:from>
    <xdr:to>
      <xdr:col>5</xdr:col>
      <xdr:colOff>3701271</xdr:colOff>
      <xdr:row>305</xdr:row>
      <xdr:rowOff>155510</xdr:rowOff>
    </xdr:to>
    <xdr:sp macro="" textlink="">
      <xdr:nvSpPr>
        <xdr:cNvPr id="99" name="Isosceles Triangle 98">
          <a:extLst>
            <a:ext uri="{FF2B5EF4-FFF2-40B4-BE49-F238E27FC236}">
              <a16:creationId xmlns:a16="http://schemas.microsoft.com/office/drawing/2014/main" id="{00000000-0008-0000-0500-000063000000}"/>
            </a:ext>
          </a:extLst>
        </xdr:cNvPr>
        <xdr:cNvSpPr/>
      </xdr:nvSpPr>
      <xdr:spPr>
        <a:xfrm rot="10800000">
          <a:off x="8901274" y="21402674"/>
          <a:ext cx="146697" cy="114236"/>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3564292</xdr:colOff>
      <xdr:row>313</xdr:row>
      <xdr:rowOff>76200</xdr:rowOff>
    </xdr:from>
    <xdr:to>
      <xdr:col>5</xdr:col>
      <xdr:colOff>3710989</xdr:colOff>
      <xdr:row>313</xdr:row>
      <xdr:rowOff>76200</xdr:rowOff>
    </xdr:to>
    <xdr:sp macro="" textlink="">
      <xdr:nvSpPr>
        <xdr:cNvPr id="104" name="Isosceles Triangle 103">
          <a:extLst>
            <a:ext uri="{FF2B5EF4-FFF2-40B4-BE49-F238E27FC236}">
              <a16:creationId xmlns:a16="http://schemas.microsoft.com/office/drawing/2014/main" id="{00000000-0008-0000-0500-000068000000}"/>
            </a:ext>
          </a:extLst>
        </xdr:cNvPr>
        <xdr:cNvSpPr/>
      </xdr:nvSpPr>
      <xdr:spPr>
        <a:xfrm rot="10800000">
          <a:off x="8910992" y="22625050"/>
          <a:ext cx="146697" cy="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3430942</xdr:colOff>
      <xdr:row>326</xdr:row>
      <xdr:rowOff>0</xdr:rowOff>
    </xdr:from>
    <xdr:to>
      <xdr:col>5</xdr:col>
      <xdr:colOff>3577639</xdr:colOff>
      <xdr:row>326</xdr:row>
      <xdr:rowOff>0</xdr:rowOff>
    </xdr:to>
    <xdr:sp macro="" textlink="">
      <xdr:nvSpPr>
        <xdr:cNvPr id="105" name="Isosceles Triangle 104">
          <a:extLst>
            <a:ext uri="{FF2B5EF4-FFF2-40B4-BE49-F238E27FC236}">
              <a16:creationId xmlns:a16="http://schemas.microsoft.com/office/drawing/2014/main" id="{00000000-0008-0000-0500-000069000000}"/>
            </a:ext>
          </a:extLst>
        </xdr:cNvPr>
        <xdr:cNvSpPr/>
      </xdr:nvSpPr>
      <xdr:spPr>
        <a:xfrm rot="10800000">
          <a:off x="8526817" y="25136475"/>
          <a:ext cx="146697" cy="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3605374</xdr:colOff>
      <xdr:row>29</xdr:row>
      <xdr:rowOff>29157</xdr:rowOff>
    </xdr:from>
    <xdr:to>
      <xdr:col>5</xdr:col>
      <xdr:colOff>3716370</xdr:colOff>
      <xdr:row>29</xdr:row>
      <xdr:rowOff>142874</xdr:rowOff>
    </xdr:to>
    <xdr:sp macro="" textlink="">
      <xdr:nvSpPr>
        <xdr:cNvPr id="73" name="Isosceles Triangle 72">
          <a:extLst>
            <a:ext uri="{FF2B5EF4-FFF2-40B4-BE49-F238E27FC236}">
              <a16:creationId xmlns:a16="http://schemas.microsoft.com/office/drawing/2014/main" id="{00000000-0008-0000-0500-000049000000}"/>
            </a:ext>
          </a:extLst>
        </xdr:cNvPr>
        <xdr:cNvSpPr/>
      </xdr:nvSpPr>
      <xdr:spPr>
        <a:xfrm rot="10800000">
          <a:off x="8952074" y="3972507"/>
          <a:ext cx="110996" cy="113717"/>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3405675</xdr:colOff>
      <xdr:row>109</xdr:row>
      <xdr:rowOff>28575</xdr:rowOff>
    </xdr:from>
    <xdr:to>
      <xdr:col>5</xdr:col>
      <xdr:colOff>3539025</xdr:colOff>
      <xdr:row>109</xdr:row>
      <xdr:rowOff>142875</xdr:rowOff>
    </xdr:to>
    <xdr:sp macro="" textlink="">
      <xdr:nvSpPr>
        <xdr:cNvPr id="80" name="Isosceles Triangle 79">
          <a:extLst>
            <a:ext uri="{FF2B5EF4-FFF2-40B4-BE49-F238E27FC236}">
              <a16:creationId xmlns:a16="http://schemas.microsoft.com/office/drawing/2014/main" id="{00000000-0008-0000-0500-000050000000}"/>
            </a:ext>
          </a:extLst>
        </xdr:cNvPr>
        <xdr:cNvSpPr/>
      </xdr:nvSpPr>
      <xdr:spPr>
        <a:xfrm rot="10800000">
          <a:off x="8440318" y="19515947"/>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3343275</xdr:colOff>
      <xdr:row>129</xdr:row>
      <xdr:rowOff>238125</xdr:rowOff>
    </xdr:from>
    <xdr:to>
      <xdr:col>5</xdr:col>
      <xdr:colOff>3476625</xdr:colOff>
      <xdr:row>129</xdr:row>
      <xdr:rowOff>352425</xdr:rowOff>
    </xdr:to>
    <xdr:sp macro="" textlink="">
      <xdr:nvSpPr>
        <xdr:cNvPr id="85" name="Isosceles Triangle 84">
          <a:extLst>
            <a:ext uri="{FF2B5EF4-FFF2-40B4-BE49-F238E27FC236}">
              <a16:creationId xmlns:a16="http://schemas.microsoft.com/office/drawing/2014/main" id="{00000000-0008-0000-0500-000055000000}"/>
            </a:ext>
          </a:extLst>
        </xdr:cNvPr>
        <xdr:cNvSpPr/>
      </xdr:nvSpPr>
      <xdr:spPr>
        <a:xfrm rot="10800000">
          <a:off x="8377918" y="23739605"/>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3363686</xdr:colOff>
      <xdr:row>149</xdr:row>
      <xdr:rowOff>28575</xdr:rowOff>
    </xdr:from>
    <xdr:to>
      <xdr:col>5</xdr:col>
      <xdr:colOff>3497036</xdr:colOff>
      <xdr:row>149</xdr:row>
      <xdr:rowOff>142875</xdr:rowOff>
    </xdr:to>
    <xdr:sp macro="" textlink="">
      <xdr:nvSpPr>
        <xdr:cNvPr id="95" name="Isosceles Triangle 94">
          <a:extLst>
            <a:ext uri="{FF2B5EF4-FFF2-40B4-BE49-F238E27FC236}">
              <a16:creationId xmlns:a16="http://schemas.microsoft.com/office/drawing/2014/main" id="{00000000-0008-0000-0500-00005F000000}"/>
            </a:ext>
          </a:extLst>
        </xdr:cNvPr>
        <xdr:cNvSpPr/>
      </xdr:nvSpPr>
      <xdr:spPr>
        <a:xfrm rot="10800000">
          <a:off x="8398329" y="27864902"/>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2</xdr:col>
      <xdr:colOff>1536715</xdr:colOff>
      <xdr:row>43</xdr:row>
      <xdr:rowOff>34925</xdr:rowOff>
    </xdr:from>
    <xdr:to>
      <xdr:col>2</xdr:col>
      <xdr:colOff>1697665</xdr:colOff>
      <xdr:row>43</xdr:row>
      <xdr:rowOff>209550</xdr:rowOff>
    </xdr:to>
    <xdr:sp macro="[0]!Carton2Expand43" textlink="">
      <xdr:nvSpPr>
        <xdr:cNvPr id="98" name="Cross 97">
          <a:extLst>
            <a:ext uri="{FF2B5EF4-FFF2-40B4-BE49-F238E27FC236}">
              <a16:creationId xmlns:a16="http://schemas.microsoft.com/office/drawing/2014/main" id="{00000000-0008-0000-0500-000062000000}"/>
            </a:ext>
          </a:extLst>
        </xdr:cNvPr>
        <xdr:cNvSpPr/>
      </xdr:nvSpPr>
      <xdr:spPr>
        <a:xfrm>
          <a:off x="2761358" y="3115971"/>
          <a:ext cx="160950" cy="174625"/>
        </a:xfrm>
        <a:prstGeom prst="plus">
          <a:avLst>
            <a:gd name="adj" fmla="val 27824"/>
          </a:avLst>
        </a:prstGeom>
        <a:solidFill>
          <a:schemeClr val="accent3">
            <a:lumMod val="60000"/>
            <a:lumOff val="40000"/>
          </a:schemeClr>
        </a:solidFill>
        <a:ln>
          <a:noFill/>
        </a:ln>
        <a:effectLst>
          <a:reflection blurRad="6350" stA="50000" endA="300" endPos="38500" dist="50800" dir="5400000" sy="-100000" algn="bl" rotWithShape="0"/>
        </a:effectLst>
        <a:scene3d>
          <a:camera prst="orthographicFront">
            <a:rot lat="0" lon="0" rev="0"/>
          </a:camera>
          <a:lightRig rig="contrasting" dir="t">
            <a:rot lat="0" lon="0" rev="7800000"/>
          </a:lightRig>
        </a:scene3d>
        <a:sp3d>
          <a:bevelT w="139700" h="1397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AU" sz="1100"/>
        </a:p>
      </xdr:txBody>
    </xdr:sp>
    <xdr:clientData fLocksWithSheet="0"/>
  </xdr:twoCellAnchor>
  <xdr:twoCellAnchor editAs="oneCell">
    <xdr:from>
      <xdr:col>2</xdr:col>
      <xdr:colOff>1140669</xdr:colOff>
      <xdr:row>43</xdr:row>
      <xdr:rowOff>86360</xdr:rowOff>
    </xdr:from>
    <xdr:to>
      <xdr:col>2</xdr:col>
      <xdr:colOff>1395982</xdr:colOff>
      <xdr:row>43</xdr:row>
      <xdr:rowOff>158360</xdr:rowOff>
    </xdr:to>
    <xdr:sp macro="[0]!Carton2Contract43" textlink="">
      <xdr:nvSpPr>
        <xdr:cNvPr id="100" name="Rectangle 99">
          <a:extLst>
            <a:ext uri="{FF2B5EF4-FFF2-40B4-BE49-F238E27FC236}">
              <a16:creationId xmlns:a16="http://schemas.microsoft.com/office/drawing/2014/main" id="{00000000-0008-0000-0500-000064000000}"/>
            </a:ext>
          </a:extLst>
        </xdr:cNvPr>
        <xdr:cNvSpPr/>
      </xdr:nvSpPr>
      <xdr:spPr>
        <a:xfrm>
          <a:off x="2365312" y="3167406"/>
          <a:ext cx="255313" cy="72000"/>
        </a:xfrm>
        <a:prstGeom prst="rect">
          <a:avLst/>
        </a:prstGeom>
        <a:solidFill>
          <a:srgbClr val="FF5050"/>
        </a:solidFill>
        <a:ln>
          <a:noFill/>
        </a:ln>
        <a:effectLst>
          <a:outerShdw blurRad="44450" dist="27940" dir="5400000" algn="ctr">
            <a:srgbClr val="000000">
              <a:alpha val="32000"/>
            </a:srgbClr>
          </a:outerShdw>
          <a:reflection blurRad="6350" stA="50000" endA="300" endPos="38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AU" sz="1100"/>
        </a:p>
      </xdr:txBody>
    </xdr:sp>
    <xdr:clientData fLocksWithSheet="0"/>
  </xdr:twoCellAnchor>
  <xdr:twoCellAnchor editAs="oneCell">
    <xdr:from>
      <xdr:col>2</xdr:col>
      <xdr:colOff>1536715</xdr:colOff>
      <xdr:row>62</xdr:row>
      <xdr:rowOff>25400</xdr:rowOff>
    </xdr:from>
    <xdr:to>
      <xdr:col>2</xdr:col>
      <xdr:colOff>1697665</xdr:colOff>
      <xdr:row>62</xdr:row>
      <xdr:rowOff>201800</xdr:rowOff>
    </xdr:to>
    <xdr:sp macro="[0]!Carton3Expand60" textlink="">
      <xdr:nvSpPr>
        <xdr:cNvPr id="106" name="Cross 105">
          <a:extLst>
            <a:ext uri="{FF2B5EF4-FFF2-40B4-BE49-F238E27FC236}">
              <a16:creationId xmlns:a16="http://schemas.microsoft.com/office/drawing/2014/main" id="{00000000-0008-0000-0500-00006A000000}"/>
            </a:ext>
          </a:extLst>
        </xdr:cNvPr>
        <xdr:cNvSpPr/>
      </xdr:nvSpPr>
      <xdr:spPr>
        <a:xfrm>
          <a:off x="2761358" y="3679890"/>
          <a:ext cx="160950" cy="176400"/>
        </a:xfrm>
        <a:prstGeom prst="plus">
          <a:avLst>
            <a:gd name="adj" fmla="val 27824"/>
          </a:avLst>
        </a:prstGeom>
        <a:solidFill>
          <a:schemeClr val="accent3">
            <a:lumMod val="60000"/>
            <a:lumOff val="40000"/>
          </a:schemeClr>
        </a:solidFill>
        <a:ln>
          <a:noFill/>
        </a:ln>
        <a:effectLst>
          <a:reflection blurRad="6350" stA="50000" endA="300" endPos="38500" dist="50800" dir="5400000" sy="-100000" algn="bl" rotWithShape="0"/>
        </a:effectLst>
        <a:scene3d>
          <a:camera prst="orthographicFront">
            <a:rot lat="0" lon="0" rev="0"/>
          </a:camera>
          <a:lightRig rig="contrasting" dir="t">
            <a:rot lat="0" lon="0" rev="7800000"/>
          </a:lightRig>
        </a:scene3d>
        <a:sp3d>
          <a:bevelT w="139700" h="1397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AU" sz="1100"/>
        </a:p>
      </xdr:txBody>
    </xdr:sp>
    <xdr:clientData fLocksWithSheet="0"/>
  </xdr:twoCellAnchor>
  <xdr:twoCellAnchor editAs="oneCell">
    <xdr:from>
      <xdr:col>2</xdr:col>
      <xdr:colOff>1140669</xdr:colOff>
      <xdr:row>62</xdr:row>
      <xdr:rowOff>70485</xdr:rowOff>
    </xdr:from>
    <xdr:to>
      <xdr:col>2</xdr:col>
      <xdr:colOff>1395982</xdr:colOff>
      <xdr:row>62</xdr:row>
      <xdr:rowOff>142485</xdr:rowOff>
    </xdr:to>
    <xdr:sp macro="[0]!Carton3Contract60" textlink="">
      <xdr:nvSpPr>
        <xdr:cNvPr id="107" name="Rectangle 106">
          <a:extLst>
            <a:ext uri="{FF2B5EF4-FFF2-40B4-BE49-F238E27FC236}">
              <a16:creationId xmlns:a16="http://schemas.microsoft.com/office/drawing/2014/main" id="{00000000-0008-0000-0500-00006B000000}"/>
            </a:ext>
          </a:extLst>
        </xdr:cNvPr>
        <xdr:cNvSpPr/>
      </xdr:nvSpPr>
      <xdr:spPr>
        <a:xfrm>
          <a:off x="2365312" y="3724975"/>
          <a:ext cx="255313" cy="72000"/>
        </a:xfrm>
        <a:prstGeom prst="rect">
          <a:avLst/>
        </a:prstGeom>
        <a:solidFill>
          <a:srgbClr val="FF5050"/>
        </a:solidFill>
        <a:ln>
          <a:noFill/>
        </a:ln>
        <a:effectLst>
          <a:outerShdw blurRad="44450" dist="27940" dir="5400000" algn="ctr">
            <a:srgbClr val="000000">
              <a:alpha val="32000"/>
            </a:srgbClr>
          </a:outerShdw>
          <a:reflection blurRad="6350" stA="50000" endA="300" endPos="38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AU" sz="1100"/>
        </a:p>
      </xdr:txBody>
    </xdr:sp>
    <xdr:clientData fLocksWithSheet="0"/>
  </xdr:twoCellAnchor>
  <xdr:twoCellAnchor editAs="oneCell">
    <xdr:from>
      <xdr:col>2</xdr:col>
      <xdr:colOff>1536715</xdr:colOff>
      <xdr:row>81</xdr:row>
      <xdr:rowOff>22225</xdr:rowOff>
    </xdr:from>
    <xdr:to>
      <xdr:col>2</xdr:col>
      <xdr:colOff>1697665</xdr:colOff>
      <xdr:row>81</xdr:row>
      <xdr:rowOff>198625</xdr:rowOff>
    </xdr:to>
    <xdr:sp macro="[0]!Carton4Expand77" textlink="">
      <xdr:nvSpPr>
        <xdr:cNvPr id="112" name="Cross 111">
          <a:extLst>
            <a:ext uri="{FF2B5EF4-FFF2-40B4-BE49-F238E27FC236}">
              <a16:creationId xmlns:a16="http://schemas.microsoft.com/office/drawing/2014/main" id="{00000000-0008-0000-0500-000070000000}"/>
            </a:ext>
          </a:extLst>
        </xdr:cNvPr>
        <xdr:cNvSpPr/>
      </xdr:nvSpPr>
      <xdr:spPr>
        <a:xfrm>
          <a:off x="2761358" y="4250159"/>
          <a:ext cx="160950" cy="176400"/>
        </a:xfrm>
        <a:prstGeom prst="plus">
          <a:avLst>
            <a:gd name="adj" fmla="val 27824"/>
          </a:avLst>
        </a:prstGeom>
        <a:solidFill>
          <a:schemeClr val="accent3">
            <a:lumMod val="60000"/>
            <a:lumOff val="40000"/>
          </a:schemeClr>
        </a:solidFill>
        <a:ln>
          <a:noFill/>
        </a:ln>
        <a:effectLst>
          <a:reflection blurRad="6350" stA="50000" endA="300" endPos="38500" dist="50800" dir="5400000" sy="-100000" algn="bl" rotWithShape="0"/>
        </a:effectLst>
        <a:scene3d>
          <a:camera prst="orthographicFront">
            <a:rot lat="0" lon="0" rev="0"/>
          </a:camera>
          <a:lightRig rig="contrasting" dir="t">
            <a:rot lat="0" lon="0" rev="7800000"/>
          </a:lightRig>
        </a:scene3d>
        <a:sp3d>
          <a:bevelT w="139700" h="1397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AU" sz="1100"/>
        </a:p>
      </xdr:txBody>
    </xdr:sp>
    <xdr:clientData fLocksWithSheet="0"/>
  </xdr:twoCellAnchor>
  <xdr:twoCellAnchor editAs="oneCell">
    <xdr:from>
      <xdr:col>2</xdr:col>
      <xdr:colOff>1140669</xdr:colOff>
      <xdr:row>81</xdr:row>
      <xdr:rowOff>73660</xdr:rowOff>
    </xdr:from>
    <xdr:to>
      <xdr:col>2</xdr:col>
      <xdr:colOff>1395982</xdr:colOff>
      <xdr:row>81</xdr:row>
      <xdr:rowOff>145660</xdr:rowOff>
    </xdr:to>
    <xdr:sp macro="[0]!Carton4Contract77" textlink="">
      <xdr:nvSpPr>
        <xdr:cNvPr id="117" name="Rectangle 116">
          <a:extLst>
            <a:ext uri="{FF2B5EF4-FFF2-40B4-BE49-F238E27FC236}">
              <a16:creationId xmlns:a16="http://schemas.microsoft.com/office/drawing/2014/main" id="{00000000-0008-0000-0500-000075000000}"/>
            </a:ext>
          </a:extLst>
        </xdr:cNvPr>
        <xdr:cNvSpPr/>
      </xdr:nvSpPr>
      <xdr:spPr>
        <a:xfrm>
          <a:off x="2365312" y="4301594"/>
          <a:ext cx="255313" cy="72000"/>
        </a:xfrm>
        <a:prstGeom prst="rect">
          <a:avLst/>
        </a:prstGeom>
        <a:solidFill>
          <a:srgbClr val="FF5050"/>
        </a:solidFill>
        <a:ln>
          <a:noFill/>
        </a:ln>
        <a:effectLst>
          <a:outerShdw blurRad="44450" dist="27940" dir="5400000" algn="ctr">
            <a:srgbClr val="000000">
              <a:alpha val="32000"/>
            </a:srgbClr>
          </a:outerShdw>
          <a:reflection blurRad="6350" stA="50000" endA="300" endPos="38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AU" sz="1100"/>
        </a:p>
      </xdr:txBody>
    </xdr:sp>
    <xdr:clientData fLocksWithSheet="0"/>
  </xdr:twoCellAnchor>
  <xdr:twoCellAnchor editAs="oneCell">
    <xdr:from>
      <xdr:col>2</xdr:col>
      <xdr:colOff>1536715</xdr:colOff>
      <xdr:row>123</xdr:row>
      <xdr:rowOff>25400</xdr:rowOff>
    </xdr:from>
    <xdr:to>
      <xdr:col>2</xdr:col>
      <xdr:colOff>1697665</xdr:colOff>
      <xdr:row>123</xdr:row>
      <xdr:rowOff>201800</xdr:rowOff>
    </xdr:to>
    <xdr:sp macro="[0]!Pallet2Expand115" textlink="">
      <xdr:nvSpPr>
        <xdr:cNvPr id="119" name="Cross 118">
          <a:extLst>
            <a:ext uri="{FF2B5EF4-FFF2-40B4-BE49-F238E27FC236}">
              <a16:creationId xmlns:a16="http://schemas.microsoft.com/office/drawing/2014/main" id="{00000000-0008-0000-0500-000077000000}"/>
            </a:ext>
          </a:extLst>
        </xdr:cNvPr>
        <xdr:cNvSpPr/>
      </xdr:nvSpPr>
      <xdr:spPr>
        <a:xfrm>
          <a:off x="2761358" y="5614048"/>
          <a:ext cx="160950" cy="176400"/>
        </a:xfrm>
        <a:prstGeom prst="plus">
          <a:avLst>
            <a:gd name="adj" fmla="val 27824"/>
          </a:avLst>
        </a:prstGeom>
        <a:solidFill>
          <a:schemeClr val="accent3">
            <a:lumMod val="60000"/>
            <a:lumOff val="40000"/>
          </a:schemeClr>
        </a:solidFill>
        <a:ln>
          <a:noFill/>
        </a:ln>
        <a:effectLst>
          <a:reflection blurRad="6350" stA="50000" endA="300" endPos="38500" dist="50800" dir="5400000" sy="-100000" algn="bl" rotWithShape="0"/>
        </a:effectLst>
        <a:scene3d>
          <a:camera prst="orthographicFront">
            <a:rot lat="0" lon="0" rev="0"/>
          </a:camera>
          <a:lightRig rig="contrasting" dir="t">
            <a:rot lat="0" lon="0" rev="7800000"/>
          </a:lightRig>
        </a:scene3d>
        <a:sp3d>
          <a:bevelT w="139700" h="1397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AU" sz="1100"/>
        </a:p>
      </xdr:txBody>
    </xdr:sp>
    <xdr:clientData fLocksWithSheet="0"/>
  </xdr:twoCellAnchor>
  <xdr:twoCellAnchor editAs="oneCell">
    <xdr:from>
      <xdr:col>2</xdr:col>
      <xdr:colOff>1140669</xdr:colOff>
      <xdr:row>123</xdr:row>
      <xdr:rowOff>70485</xdr:rowOff>
    </xdr:from>
    <xdr:to>
      <xdr:col>2</xdr:col>
      <xdr:colOff>1395982</xdr:colOff>
      <xdr:row>123</xdr:row>
      <xdr:rowOff>142485</xdr:rowOff>
    </xdr:to>
    <xdr:sp macro="[0]!Pallet2Contract115" textlink="">
      <xdr:nvSpPr>
        <xdr:cNvPr id="120" name="Rectangle 119">
          <a:extLst>
            <a:ext uri="{FF2B5EF4-FFF2-40B4-BE49-F238E27FC236}">
              <a16:creationId xmlns:a16="http://schemas.microsoft.com/office/drawing/2014/main" id="{00000000-0008-0000-0500-000078000000}"/>
            </a:ext>
          </a:extLst>
        </xdr:cNvPr>
        <xdr:cNvSpPr/>
      </xdr:nvSpPr>
      <xdr:spPr>
        <a:xfrm>
          <a:off x="2365312" y="5659133"/>
          <a:ext cx="255313" cy="72000"/>
        </a:xfrm>
        <a:prstGeom prst="rect">
          <a:avLst/>
        </a:prstGeom>
        <a:solidFill>
          <a:srgbClr val="FF5050"/>
        </a:solidFill>
        <a:ln>
          <a:noFill/>
        </a:ln>
        <a:effectLst>
          <a:outerShdw blurRad="44450" dist="27940" dir="5400000" algn="ctr">
            <a:srgbClr val="000000">
              <a:alpha val="32000"/>
            </a:srgbClr>
          </a:outerShdw>
          <a:reflection blurRad="6350" stA="50000" endA="300" endPos="38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AU" sz="1100"/>
        </a:p>
      </xdr:txBody>
    </xdr:sp>
    <xdr:clientData fLocksWithSheet="0"/>
  </xdr:twoCellAnchor>
  <xdr:twoCellAnchor editAs="oneCell">
    <xdr:from>
      <xdr:col>2</xdr:col>
      <xdr:colOff>1536715</xdr:colOff>
      <xdr:row>143</xdr:row>
      <xdr:rowOff>31750</xdr:rowOff>
    </xdr:from>
    <xdr:to>
      <xdr:col>2</xdr:col>
      <xdr:colOff>1697665</xdr:colOff>
      <xdr:row>143</xdr:row>
      <xdr:rowOff>208150</xdr:rowOff>
    </xdr:to>
    <xdr:sp macro="[0]!Pallet3Expand133" textlink="">
      <xdr:nvSpPr>
        <xdr:cNvPr id="125" name="Cross 124">
          <a:extLst>
            <a:ext uri="{FF2B5EF4-FFF2-40B4-BE49-F238E27FC236}">
              <a16:creationId xmlns:a16="http://schemas.microsoft.com/office/drawing/2014/main" id="{00000000-0008-0000-0500-00007D000000}"/>
            </a:ext>
          </a:extLst>
        </xdr:cNvPr>
        <xdr:cNvSpPr/>
      </xdr:nvSpPr>
      <xdr:spPr>
        <a:xfrm>
          <a:off x="2761358" y="6193842"/>
          <a:ext cx="160950" cy="176400"/>
        </a:xfrm>
        <a:prstGeom prst="plus">
          <a:avLst>
            <a:gd name="adj" fmla="val 27824"/>
          </a:avLst>
        </a:prstGeom>
        <a:solidFill>
          <a:schemeClr val="accent3">
            <a:lumMod val="60000"/>
            <a:lumOff val="40000"/>
          </a:schemeClr>
        </a:solidFill>
        <a:ln>
          <a:noFill/>
        </a:ln>
        <a:effectLst>
          <a:reflection blurRad="6350" stA="50000" endA="300" endPos="38500" dist="50800" dir="5400000" sy="-100000" algn="bl" rotWithShape="0"/>
        </a:effectLst>
        <a:scene3d>
          <a:camera prst="orthographicFront">
            <a:rot lat="0" lon="0" rev="0"/>
          </a:camera>
          <a:lightRig rig="contrasting" dir="t">
            <a:rot lat="0" lon="0" rev="7800000"/>
          </a:lightRig>
        </a:scene3d>
        <a:sp3d>
          <a:bevelT w="139700" h="1397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AU" sz="1100"/>
        </a:p>
      </xdr:txBody>
    </xdr:sp>
    <xdr:clientData fLocksWithSheet="0"/>
  </xdr:twoCellAnchor>
  <xdr:twoCellAnchor editAs="oneCell">
    <xdr:from>
      <xdr:col>2</xdr:col>
      <xdr:colOff>1140669</xdr:colOff>
      <xdr:row>143</xdr:row>
      <xdr:rowOff>76835</xdr:rowOff>
    </xdr:from>
    <xdr:to>
      <xdr:col>2</xdr:col>
      <xdr:colOff>1395982</xdr:colOff>
      <xdr:row>143</xdr:row>
      <xdr:rowOff>148835</xdr:rowOff>
    </xdr:to>
    <xdr:sp macro="[0]!Pallet3Contract133" textlink="">
      <xdr:nvSpPr>
        <xdr:cNvPr id="126" name="Rectangle 125">
          <a:extLst>
            <a:ext uri="{FF2B5EF4-FFF2-40B4-BE49-F238E27FC236}">
              <a16:creationId xmlns:a16="http://schemas.microsoft.com/office/drawing/2014/main" id="{00000000-0008-0000-0500-00007E000000}"/>
            </a:ext>
          </a:extLst>
        </xdr:cNvPr>
        <xdr:cNvSpPr/>
      </xdr:nvSpPr>
      <xdr:spPr>
        <a:xfrm>
          <a:off x="2365312" y="6238927"/>
          <a:ext cx="255313" cy="72000"/>
        </a:xfrm>
        <a:prstGeom prst="rect">
          <a:avLst/>
        </a:prstGeom>
        <a:solidFill>
          <a:srgbClr val="FF5050"/>
        </a:solidFill>
        <a:ln>
          <a:noFill/>
        </a:ln>
        <a:effectLst>
          <a:outerShdw blurRad="44450" dist="27940" dir="5400000" algn="ctr">
            <a:srgbClr val="000000">
              <a:alpha val="32000"/>
            </a:srgbClr>
          </a:outerShdw>
          <a:reflection blurRad="6350" stA="50000" endA="300" endPos="38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AU" sz="1100"/>
        </a:p>
      </xdr:txBody>
    </xdr:sp>
    <xdr:clientData fLocksWithSheet="0"/>
  </xdr:twoCellAnchor>
  <xdr:twoCellAnchor editAs="oneCell">
    <xdr:from>
      <xdr:col>2</xdr:col>
      <xdr:colOff>1536715</xdr:colOff>
      <xdr:row>103</xdr:row>
      <xdr:rowOff>31750</xdr:rowOff>
    </xdr:from>
    <xdr:to>
      <xdr:col>2</xdr:col>
      <xdr:colOff>1697665</xdr:colOff>
      <xdr:row>103</xdr:row>
      <xdr:rowOff>208150</xdr:rowOff>
    </xdr:to>
    <xdr:sp macro="[0]!Pallet1Expand96" textlink="">
      <xdr:nvSpPr>
        <xdr:cNvPr id="90" name="Cross 89">
          <a:extLst>
            <a:ext uri="{FF2B5EF4-FFF2-40B4-BE49-F238E27FC236}">
              <a16:creationId xmlns:a16="http://schemas.microsoft.com/office/drawing/2014/main" id="{00000000-0008-0000-0500-00005A000000}"/>
            </a:ext>
          </a:extLst>
        </xdr:cNvPr>
        <xdr:cNvSpPr/>
      </xdr:nvSpPr>
      <xdr:spPr>
        <a:xfrm>
          <a:off x="2761358" y="5046954"/>
          <a:ext cx="160950" cy="176400"/>
        </a:xfrm>
        <a:prstGeom prst="plus">
          <a:avLst>
            <a:gd name="adj" fmla="val 27824"/>
          </a:avLst>
        </a:prstGeom>
        <a:solidFill>
          <a:schemeClr val="accent3">
            <a:lumMod val="60000"/>
            <a:lumOff val="40000"/>
          </a:schemeClr>
        </a:solidFill>
        <a:ln>
          <a:noFill/>
        </a:ln>
        <a:effectLst>
          <a:reflection blurRad="6350" stA="50000" endA="300" endPos="38500" dist="50800" dir="5400000" sy="-100000" algn="bl" rotWithShape="0"/>
        </a:effectLst>
        <a:scene3d>
          <a:camera prst="orthographicFront">
            <a:rot lat="0" lon="0" rev="0"/>
          </a:camera>
          <a:lightRig rig="contrasting" dir="t">
            <a:rot lat="0" lon="0" rev="7800000"/>
          </a:lightRig>
        </a:scene3d>
        <a:sp3d>
          <a:bevelT w="139700" h="1397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AU" sz="1100"/>
        </a:p>
      </xdr:txBody>
    </xdr:sp>
    <xdr:clientData fLocksWithSheet="0"/>
  </xdr:twoCellAnchor>
  <xdr:twoCellAnchor editAs="oneCell">
    <xdr:from>
      <xdr:col>2</xdr:col>
      <xdr:colOff>1140669</xdr:colOff>
      <xdr:row>103</xdr:row>
      <xdr:rowOff>76835</xdr:rowOff>
    </xdr:from>
    <xdr:to>
      <xdr:col>2</xdr:col>
      <xdr:colOff>1395982</xdr:colOff>
      <xdr:row>103</xdr:row>
      <xdr:rowOff>148835</xdr:rowOff>
    </xdr:to>
    <xdr:sp macro="[0]!Pallet1Contract96" textlink="">
      <xdr:nvSpPr>
        <xdr:cNvPr id="96" name="Rectangle 95">
          <a:extLst>
            <a:ext uri="{FF2B5EF4-FFF2-40B4-BE49-F238E27FC236}">
              <a16:creationId xmlns:a16="http://schemas.microsoft.com/office/drawing/2014/main" id="{00000000-0008-0000-0500-000060000000}"/>
            </a:ext>
          </a:extLst>
        </xdr:cNvPr>
        <xdr:cNvSpPr/>
      </xdr:nvSpPr>
      <xdr:spPr>
        <a:xfrm>
          <a:off x="2365312" y="5092039"/>
          <a:ext cx="255313" cy="72000"/>
        </a:xfrm>
        <a:prstGeom prst="rect">
          <a:avLst/>
        </a:prstGeom>
        <a:solidFill>
          <a:srgbClr val="FF5050"/>
        </a:solidFill>
        <a:ln>
          <a:noFill/>
        </a:ln>
        <a:effectLst>
          <a:outerShdw blurRad="44450" dist="27940" dir="5400000" algn="ctr">
            <a:srgbClr val="000000">
              <a:alpha val="32000"/>
            </a:srgbClr>
          </a:outerShdw>
          <a:reflection blurRad="6350" stA="50000" endA="300" endPos="38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AU" sz="1100"/>
        </a:p>
      </xdr:txBody>
    </xdr:sp>
    <xdr:clientData fLocksWithSheet="0"/>
  </xdr:twoCellAnchor>
  <xdr:twoCellAnchor editAs="oneCell">
    <xdr:from>
      <xdr:col>3</xdr:col>
      <xdr:colOff>581748</xdr:colOff>
      <xdr:row>313</xdr:row>
      <xdr:rowOff>22225</xdr:rowOff>
    </xdr:from>
    <xdr:to>
      <xdr:col>3</xdr:col>
      <xdr:colOff>761748</xdr:colOff>
      <xdr:row>313</xdr:row>
      <xdr:rowOff>198625</xdr:rowOff>
    </xdr:to>
    <xdr:sp macro="[0]!ExpressExpand290" textlink="">
      <xdr:nvSpPr>
        <xdr:cNvPr id="130" name="Cross 129">
          <a:extLst>
            <a:ext uri="{FF2B5EF4-FFF2-40B4-BE49-F238E27FC236}">
              <a16:creationId xmlns:a16="http://schemas.microsoft.com/office/drawing/2014/main" id="{00000000-0008-0000-0500-000082000000}"/>
            </a:ext>
          </a:extLst>
        </xdr:cNvPr>
        <xdr:cNvSpPr/>
      </xdr:nvSpPr>
      <xdr:spPr>
        <a:xfrm>
          <a:off x="3614197" y="20180235"/>
          <a:ext cx="180000" cy="176400"/>
        </a:xfrm>
        <a:prstGeom prst="plus">
          <a:avLst>
            <a:gd name="adj" fmla="val 27824"/>
          </a:avLst>
        </a:prstGeom>
        <a:solidFill>
          <a:schemeClr val="accent3">
            <a:lumMod val="60000"/>
            <a:lumOff val="40000"/>
          </a:schemeClr>
        </a:solidFill>
        <a:ln>
          <a:noFill/>
        </a:ln>
        <a:effectLst>
          <a:reflection blurRad="6350" stA="50000" endA="300" endPos="38500" dist="50800" dir="5400000" sy="-100000" algn="bl" rotWithShape="0"/>
        </a:effectLst>
        <a:scene3d>
          <a:camera prst="orthographicFront">
            <a:rot lat="0" lon="0" rev="0"/>
          </a:camera>
          <a:lightRig rig="contrasting" dir="t">
            <a:rot lat="0" lon="0" rev="7800000"/>
          </a:lightRig>
        </a:scene3d>
        <a:sp3d>
          <a:bevelT w="139700" h="1397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AU" sz="1100"/>
        </a:p>
      </xdr:txBody>
    </xdr:sp>
    <xdr:clientData fLocksWithSheet="0"/>
  </xdr:twoCellAnchor>
  <xdr:twoCellAnchor editAs="oneCell">
    <xdr:from>
      <xdr:col>3</xdr:col>
      <xdr:colOff>189459</xdr:colOff>
      <xdr:row>313</xdr:row>
      <xdr:rowOff>67310</xdr:rowOff>
    </xdr:from>
    <xdr:to>
      <xdr:col>3</xdr:col>
      <xdr:colOff>444772</xdr:colOff>
      <xdr:row>313</xdr:row>
      <xdr:rowOff>139310</xdr:rowOff>
    </xdr:to>
    <xdr:sp macro="[0]!ExpressContract290" textlink="">
      <xdr:nvSpPr>
        <xdr:cNvPr id="131" name="Rectangle 130">
          <a:extLst>
            <a:ext uri="{FF2B5EF4-FFF2-40B4-BE49-F238E27FC236}">
              <a16:creationId xmlns:a16="http://schemas.microsoft.com/office/drawing/2014/main" id="{00000000-0008-0000-0500-000083000000}"/>
            </a:ext>
          </a:extLst>
        </xdr:cNvPr>
        <xdr:cNvSpPr/>
      </xdr:nvSpPr>
      <xdr:spPr>
        <a:xfrm>
          <a:off x="3221908" y="20225320"/>
          <a:ext cx="255313" cy="72000"/>
        </a:xfrm>
        <a:prstGeom prst="rect">
          <a:avLst/>
        </a:prstGeom>
        <a:solidFill>
          <a:srgbClr val="FF5050"/>
        </a:solidFill>
        <a:ln>
          <a:noFill/>
        </a:ln>
        <a:effectLst>
          <a:outerShdw blurRad="44450" dist="27940" dir="5400000" algn="ctr">
            <a:srgbClr val="000000">
              <a:alpha val="32000"/>
            </a:srgbClr>
          </a:outerShdw>
          <a:reflection blurRad="6350" stA="50000" endA="300" endPos="38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AU" sz="1100"/>
        </a:p>
      </xdr:txBody>
    </xdr:sp>
    <xdr:clientData fLocksWithSheet="0"/>
  </xdr:twoCellAnchor>
  <xdr:twoCellAnchor>
    <xdr:from>
      <xdr:col>5</xdr:col>
      <xdr:colOff>3564294</xdr:colOff>
      <xdr:row>364</xdr:row>
      <xdr:rowOff>29158</xdr:rowOff>
    </xdr:from>
    <xdr:to>
      <xdr:col>5</xdr:col>
      <xdr:colOff>3717343</xdr:colOff>
      <xdr:row>365</xdr:row>
      <xdr:rowOff>0</xdr:rowOff>
    </xdr:to>
    <xdr:sp macro="" textlink="">
      <xdr:nvSpPr>
        <xdr:cNvPr id="132" name="Isosceles Triangle 131">
          <a:extLst>
            <a:ext uri="{FF2B5EF4-FFF2-40B4-BE49-F238E27FC236}">
              <a16:creationId xmlns:a16="http://schemas.microsoft.com/office/drawing/2014/main" id="{00000000-0008-0000-0500-000084000000}"/>
            </a:ext>
          </a:extLst>
        </xdr:cNvPr>
        <xdr:cNvSpPr/>
      </xdr:nvSpPr>
      <xdr:spPr>
        <a:xfrm rot="10800000">
          <a:off x="8910994" y="26095908"/>
          <a:ext cx="153049" cy="129592"/>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editAs="oneCell">
    <xdr:from>
      <xdr:col>2</xdr:col>
      <xdr:colOff>1645182</xdr:colOff>
      <xdr:row>215</xdr:row>
      <xdr:rowOff>2980</xdr:rowOff>
    </xdr:from>
    <xdr:to>
      <xdr:col>3</xdr:col>
      <xdr:colOff>17376</xdr:colOff>
      <xdr:row>216</xdr:row>
      <xdr:rowOff>0</xdr:rowOff>
    </xdr:to>
    <xdr:sp macro="[0]!MperiaSoftwareExpand209" textlink="">
      <xdr:nvSpPr>
        <xdr:cNvPr id="133" name="Cross 132">
          <a:extLst>
            <a:ext uri="{FF2B5EF4-FFF2-40B4-BE49-F238E27FC236}">
              <a16:creationId xmlns:a16="http://schemas.microsoft.com/office/drawing/2014/main" id="{00000000-0008-0000-0500-000085000000}"/>
            </a:ext>
          </a:extLst>
        </xdr:cNvPr>
        <xdr:cNvSpPr/>
      </xdr:nvSpPr>
      <xdr:spPr>
        <a:xfrm>
          <a:off x="2869825" y="35051092"/>
          <a:ext cx="180000" cy="176400"/>
        </a:xfrm>
        <a:prstGeom prst="plus">
          <a:avLst>
            <a:gd name="adj" fmla="val 27824"/>
          </a:avLst>
        </a:prstGeom>
        <a:solidFill>
          <a:schemeClr val="accent3">
            <a:lumMod val="60000"/>
            <a:lumOff val="40000"/>
          </a:schemeClr>
        </a:solidFill>
        <a:ln>
          <a:noFill/>
        </a:ln>
        <a:effectLst>
          <a:reflection blurRad="6350" stA="50000" endA="300" endPos="38500" dist="50800" dir="5400000" sy="-100000" algn="bl" rotWithShape="0"/>
        </a:effectLst>
        <a:scene3d>
          <a:camera prst="orthographicFront">
            <a:rot lat="0" lon="0" rev="0"/>
          </a:camera>
          <a:lightRig rig="contrasting" dir="t">
            <a:rot lat="0" lon="0" rev="7800000"/>
          </a:lightRig>
        </a:scene3d>
        <a:sp3d>
          <a:bevelT w="139700" h="1397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AU" sz="1100"/>
        </a:p>
      </xdr:txBody>
    </xdr:sp>
    <xdr:clientData fLocksWithSheet="0"/>
  </xdr:twoCellAnchor>
  <xdr:twoCellAnchor editAs="oneCell">
    <xdr:from>
      <xdr:col>2</xdr:col>
      <xdr:colOff>1255486</xdr:colOff>
      <xdr:row>215</xdr:row>
      <xdr:rowOff>54415</xdr:rowOff>
    </xdr:from>
    <xdr:to>
      <xdr:col>2</xdr:col>
      <xdr:colOff>1510799</xdr:colOff>
      <xdr:row>215</xdr:row>
      <xdr:rowOff>126415</xdr:rowOff>
    </xdr:to>
    <xdr:sp macro="[0]!MperiaSoftwareContract209" textlink="">
      <xdr:nvSpPr>
        <xdr:cNvPr id="134" name="Rectangle 133">
          <a:extLst>
            <a:ext uri="{FF2B5EF4-FFF2-40B4-BE49-F238E27FC236}">
              <a16:creationId xmlns:a16="http://schemas.microsoft.com/office/drawing/2014/main" id="{00000000-0008-0000-0500-000086000000}"/>
            </a:ext>
          </a:extLst>
        </xdr:cNvPr>
        <xdr:cNvSpPr/>
      </xdr:nvSpPr>
      <xdr:spPr>
        <a:xfrm>
          <a:off x="2480129" y="35102527"/>
          <a:ext cx="255313" cy="72000"/>
        </a:xfrm>
        <a:prstGeom prst="rect">
          <a:avLst/>
        </a:prstGeom>
        <a:solidFill>
          <a:srgbClr val="FF5050"/>
        </a:solidFill>
        <a:ln>
          <a:noFill/>
        </a:ln>
        <a:effectLst>
          <a:outerShdw blurRad="44450" dist="27940" dir="5400000" algn="ctr">
            <a:srgbClr val="000000">
              <a:alpha val="32000"/>
            </a:srgbClr>
          </a:outerShdw>
          <a:reflection blurRad="6350" stA="50000" endA="300" endPos="38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AU" sz="1100"/>
        </a:p>
      </xdr:txBody>
    </xdr:sp>
    <xdr:clientData fLocksWithSheet="0"/>
  </xdr:twoCellAnchor>
  <xdr:twoCellAnchor>
    <xdr:from>
      <xdr:col>2</xdr:col>
      <xdr:colOff>692149</xdr:colOff>
      <xdr:row>314</xdr:row>
      <xdr:rowOff>76200</xdr:rowOff>
    </xdr:from>
    <xdr:to>
      <xdr:col>2</xdr:col>
      <xdr:colOff>1066800</xdr:colOff>
      <xdr:row>316</xdr:row>
      <xdr:rowOff>110464</xdr:rowOff>
    </xdr:to>
    <xdr:pic>
      <xdr:nvPicPr>
        <xdr:cNvPr id="10" name="Picture 9">
          <a:extLst>
            <a:ext uri="{FF2B5EF4-FFF2-40B4-BE49-F238E27FC236}">
              <a16:creationId xmlns:a16="http://schemas.microsoft.com/office/drawing/2014/main" id="{00000000-0008-0000-0500-00000A000000}"/>
            </a:ext>
          </a:extLst>
        </xdr:cNvPr>
        <xdr:cNvPicPr>
          <a:picLocks noChangeAspect="1"/>
        </xdr:cNvPicPr>
      </xdr:nvPicPr>
      <xdr:blipFill rotWithShape="1">
        <a:blip xmlns:r="http://schemas.openxmlformats.org/officeDocument/2006/relationships" r:embed="rId21" cstate="print">
          <a:duotone>
            <a:schemeClr val="accent2">
              <a:shade val="45000"/>
              <a:satMod val="135000"/>
            </a:schemeClr>
            <a:prstClr val="white"/>
          </a:duotone>
          <a:extLst>
            <a:ext uri="{28A0092B-C50C-407E-A947-70E740481C1C}">
              <a14:useLocalDpi xmlns:a14="http://schemas.microsoft.com/office/drawing/2010/main"/>
            </a:ext>
          </a:extLst>
        </a:blip>
        <a:srcRect/>
        <a:stretch/>
      </xdr:blipFill>
      <xdr:spPr>
        <a:xfrm>
          <a:off x="1974849" y="23545800"/>
          <a:ext cx="374651" cy="415264"/>
        </a:xfrm>
        <a:prstGeom prst="rect">
          <a:avLst/>
        </a:prstGeom>
      </xdr:spPr>
    </xdr:pic>
    <xdr:clientData/>
  </xdr:twoCellAnchor>
  <xdr:twoCellAnchor>
    <xdr:from>
      <xdr:col>2</xdr:col>
      <xdr:colOff>596900</xdr:colOff>
      <xdr:row>326</xdr:row>
      <xdr:rowOff>139699</xdr:rowOff>
    </xdr:from>
    <xdr:to>
      <xdr:col>2</xdr:col>
      <xdr:colOff>1117729</xdr:colOff>
      <xdr:row>329</xdr:row>
      <xdr:rowOff>147250</xdr:rowOff>
    </xdr:to>
    <xdr:pic>
      <xdr:nvPicPr>
        <xdr:cNvPr id="136" name="Picture 135">
          <a:extLst>
            <a:ext uri="{FF2B5EF4-FFF2-40B4-BE49-F238E27FC236}">
              <a16:creationId xmlns:a16="http://schemas.microsoft.com/office/drawing/2014/main" id="{00000000-0008-0000-0500-000088000000}"/>
            </a:ext>
          </a:extLst>
        </xdr:cNvPr>
        <xdr:cNvPicPr>
          <a:picLocks noChangeAspect="1"/>
        </xdr:cNvPicPr>
      </xdr:nvPicPr>
      <xdr:blipFill rotWithShape="1">
        <a:blip xmlns:r="http://schemas.openxmlformats.org/officeDocument/2006/relationships" r:embed="rId21" cstate="print">
          <a:duotone>
            <a:schemeClr val="accent3">
              <a:shade val="45000"/>
              <a:satMod val="135000"/>
            </a:schemeClr>
            <a:prstClr val="white"/>
          </a:duotone>
          <a:extLst>
            <a:ext uri="{28A0092B-C50C-407E-A947-70E740481C1C}">
              <a14:useLocalDpi xmlns:a14="http://schemas.microsoft.com/office/drawing/2010/main"/>
            </a:ext>
          </a:extLst>
        </a:blip>
        <a:srcRect/>
        <a:stretch/>
      </xdr:blipFill>
      <xdr:spPr>
        <a:xfrm>
          <a:off x="1821543" y="26071026"/>
          <a:ext cx="520829" cy="590714"/>
        </a:xfrm>
        <a:prstGeom prst="rect">
          <a:avLst/>
        </a:prstGeom>
      </xdr:spPr>
    </xdr:pic>
    <xdr:clientData/>
  </xdr:twoCellAnchor>
  <xdr:twoCellAnchor editAs="oneCell">
    <xdr:from>
      <xdr:col>3</xdr:col>
      <xdr:colOff>581748</xdr:colOff>
      <xdr:row>325</xdr:row>
      <xdr:rowOff>19050</xdr:rowOff>
    </xdr:from>
    <xdr:to>
      <xdr:col>3</xdr:col>
      <xdr:colOff>761748</xdr:colOff>
      <xdr:row>325</xdr:row>
      <xdr:rowOff>195450</xdr:rowOff>
    </xdr:to>
    <xdr:sp macro="[0]!EnterpriseExpand302" textlink="">
      <xdr:nvSpPr>
        <xdr:cNvPr id="137" name="Cross 136">
          <a:extLst>
            <a:ext uri="{FF2B5EF4-FFF2-40B4-BE49-F238E27FC236}">
              <a16:creationId xmlns:a16="http://schemas.microsoft.com/office/drawing/2014/main" id="{00000000-0008-0000-0500-000089000000}"/>
            </a:ext>
          </a:extLst>
        </xdr:cNvPr>
        <xdr:cNvSpPr/>
      </xdr:nvSpPr>
      <xdr:spPr>
        <a:xfrm>
          <a:off x="3614197" y="22470836"/>
          <a:ext cx="180000" cy="176400"/>
        </a:xfrm>
        <a:prstGeom prst="plus">
          <a:avLst>
            <a:gd name="adj" fmla="val 27824"/>
          </a:avLst>
        </a:prstGeom>
        <a:solidFill>
          <a:schemeClr val="accent3">
            <a:lumMod val="60000"/>
            <a:lumOff val="40000"/>
          </a:schemeClr>
        </a:solidFill>
        <a:ln>
          <a:noFill/>
        </a:ln>
        <a:effectLst>
          <a:reflection blurRad="6350" stA="50000" endA="300" endPos="38500" dist="50800" dir="5400000" sy="-100000" algn="bl" rotWithShape="0"/>
        </a:effectLst>
        <a:scene3d>
          <a:camera prst="orthographicFront">
            <a:rot lat="0" lon="0" rev="0"/>
          </a:camera>
          <a:lightRig rig="contrasting" dir="t">
            <a:rot lat="0" lon="0" rev="7800000"/>
          </a:lightRig>
        </a:scene3d>
        <a:sp3d>
          <a:bevelT w="139700" h="1397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AU" sz="1100"/>
        </a:p>
      </xdr:txBody>
    </xdr:sp>
    <xdr:clientData fLocksWithSheet="0"/>
  </xdr:twoCellAnchor>
  <xdr:twoCellAnchor editAs="oneCell">
    <xdr:from>
      <xdr:col>3</xdr:col>
      <xdr:colOff>189459</xdr:colOff>
      <xdr:row>325</xdr:row>
      <xdr:rowOff>64135</xdr:rowOff>
    </xdr:from>
    <xdr:to>
      <xdr:col>3</xdr:col>
      <xdr:colOff>444772</xdr:colOff>
      <xdr:row>325</xdr:row>
      <xdr:rowOff>136135</xdr:rowOff>
    </xdr:to>
    <xdr:sp macro="[0]!EnterpriseContract302" textlink="">
      <xdr:nvSpPr>
        <xdr:cNvPr id="138" name="Rectangle 137">
          <a:extLst>
            <a:ext uri="{FF2B5EF4-FFF2-40B4-BE49-F238E27FC236}">
              <a16:creationId xmlns:a16="http://schemas.microsoft.com/office/drawing/2014/main" id="{00000000-0008-0000-0500-00008A000000}"/>
            </a:ext>
          </a:extLst>
        </xdr:cNvPr>
        <xdr:cNvSpPr/>
      </xdr:nvSpPr>
      <xdr:spPr>
        <a:xfrm>
          <a:off x="3221908" y="22515921"/>
          <a:ext cx="255313" cy="72000"/>
        </a:xfrm>
        <a:prstGeom prst="rect">
          <a:avLst/>
        </a:prstGeom>
        <a:solidFill>
          <a:srgbClr val="FF5050"/>
        </a:solidFill>
        <a:ln>
          <a:noFill/>
        </a:ln>
        <a:effectLst>
          <a:outerShdw blurRad="44450" dist="27940" dir="5400000" algn="ctr">
            <a:srgbClr val="000000">
              <a:alpha val="32000"/>
            </a:srgbClr>
          </a:outerShdw>
          <a:reflection blurRad="6350" stA="50000" endA="300" endPos="38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AU" sz="1100"/>
        </a:p>
      </xdr:txBody>
    </xdr:sp>
    <xdr:clientData fLocksWithSheet="0"/>
  </xdr:twoCellAnchor>
  <xdr:twoCellAnchor editAs="oneCell">
    <xdr:from>
      <xdr:col>3</xdr:col>
      <xdr:colOff>565679</xdr:colOff>
      <xdr:row>371</xdr:row>
      <xdr:rowOff>139700</xdr:rowOff>
    </xdr:from>
    <xdr:to>
      <xdr:col>3</xdr:col>
      <xdr:colOff>745679</xdr:colOff>
      <xdr:row>372</xdr:row>
      <xdr:rowOff>157350</xdr:rowOff>
    </xdr:to>
    <xdr:sp macro="[0]!HStationExp340" textlink="">
      <xdr:nvSpPr>
        <xdr:cNvPr id="139" name="Cross 138">
          <a:extLst>
            <a:ext uri="{FF2B5EF4-FFF2-40B4-BE49-F238E27FC236}">
              <a16:creationId xmlns:a16="http://schemas.microsoft.com/office/drawing/2014/main" id="{00000000-0008-0000-0500-00008B000000}"/>
            </a:ext>
          </a:extLst>
        </xdr:cNvPr>
        <xdr:cNvSpPr/>
      </xdr:nvSpPr>
      <xdr:spPr>
        <a:xfrm>
          <a:off x="3598128" y="28821613"/>
          <a:ext cx="180000" cy="182880"/>
        </a:xfrm>
        <a:prstGeom prst="plus">
          <a:avLst>
            <a:gd name="adj" fmla="val 27824"/>
          </a:avLst>
        </a:prstGeom>
        <a:solidFill>
          <a:schemeClr val="accent3">
            <a:lumMod val="60000"/>
            <a:lumOff val="40000"/>
          </a:schemeClr>
        </a:solidFill>
        <a:ln>
          <a:noFill/>
        </a:ln>
        <a:effectLst>
          <a:reflection blurRad="6350" stA="50000" endA="300" endPos="38500" dist="50800" dir="5400000" sy="-100000" algn="bl" rotWithShape="0"/>
        </a:effectLst>
        <a:scene3d>
          <a:camera prst="orthographicFront">
            <a:rot lat="0" lon="0" rev="0"/>
          </a:camera>
          <a:lightRig rig="contrasting" dir="t">
            <a:rot lat="0" lon="0" rev="7800000"/>
          </a:lightRig>
        </a:scene3d>
        <a:sp3d>
          <a:bevelT w="139700" h="1397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AU" sz="1100"/>
        </a:p>
      </xdr:txBody>
    </xdr:sp>
    <xdr:clientData fLocksWithSheet="0"/>
  </xdr:twoCellAnchor>
  <xdr:twoCellAnchor editAs="oneCell">
    <xdr:from>
      <xdr:col>3</xdr:col>
      <xdr:colOff>144233</xdr:colOff>
      <xdr:row>372</xdr:row>
      <xdr:rowOff>26035</xdr:rowOff>
    </xdr:from>
    <xdr:to>
      <xdr:col>3</xdr:col>
      <xdr:colOff>399546</xdr:colOff>
      <xdr:row>372</xdr:row>
      <xdr:rowOff>98035</xdr:rowOff>
    </xdr:to>
    <xdr:sp macro="[0]!HStationCon340" textlink="">
      <xdr:nvSpPr>
        <xdr:cNvPr id="140" name="Rectangle 139">
          <a:extLst>
            <a:ext uri="{FF2B5EF4-FFF2-40B4-BE49-F238E27FC236}">
              <a16:creationId xmlns:a16="http://schemas.microsoft.com/office/drawing/2014/main" id="{00000000-0008-0000-0500-00008C000000}"/>
            </a:ext>
          </a:extLst>
        </xdr:cNvPr>
        <xdr:cNvSpPr/>
      </xdr:nvSpPr>
      <xdr:spPr>
        <a:xfrm>
          <a:off x="3176682" y="28873178"/>
          <a:ext cx="255313" cy="72000"/>
        </a:xfrm>
        <a:prstGeom prst="rect">
          <a:avLst/>
        </a:prstGeom>
        <a:solidFill>
          <a:srgbClr val="FF5050"/>
        </a:solidFill>
        <a:ln>
          <a:noFill/>
        </a:ln>
        <a:effectLst>
          <a:outerShdw blurRad="44450" dist="27940" dir="5400000" algn="ctr">
            <a:srgbClr val="000000">
              <a:alpha val="32000"/>
            </a:srgbClr>
          </a:outerShdw>
          <a:reflection blurRad="6350" stA="50000" endA="300" endPos="38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AU" sz="1100"/>
        </a:p>
      </xdr:txBody>
    </xdr:sp>
    <xdr:clientData fLocksWithSheet="0"/>
  </xdr:twoCellAnchor>
  <xdr:twoCellAnchor editAs="oneCell">
    <xdr:from>
      <xdr:col>2</xdr:col>
      <xdr:colOff>1536715</xdr:colOff>
      <xdr:row>24</xdr:row>
      <xdr:rowOff>31750</xdr:rowOff>
    </xdr:from>
    <xdr:to>
      <xdr:col>2</xdr:col>
      <xdr:colOff>1697665</xdr:colOff>
      <xdr:row>24</xdr:row>
      <xdr:rowOff>208150</xdr:rowOff>
    </xdr:to>
    <xdr:sp macro="[0]!Carton1Exp24" textlink="">
      <xdr:nvSpPr>
        <xdr:cNvPr id="141" name="Cross 140">
          <a:extLst>
            <a:ext uri="{FF2B5EF4-FFF2-40B4-BE49-F238E27FC236}">
              <a16:creationId xmlns:a16="http://schemas.microsoft.com/office/drawing/2014/main" id="{00000000-0008-0000-0500-00008D000000}"/>
            </a:ext>
          </a:extLst>
        </xdr:cNvPr>
        <xdr:cNvSpPr/>
      </xdr:nvSpPr>
      <xdr:spPr>
        <a:xfrm>
          <a:off x="2761358" y="2539352"/>
          <a:ext cx="160950" cy="176400"/>
        </a:xfrm>
        <a:prstGeom prst="plus">
          <a:avLst>
            <a:gd name="adj" fmla="val 27824"/>
          </a:avLst>
        </a:prstGeom>
        <a:solidFill>
          <a:schemeClr val="accent3">
            <a:lumMod val="60000"/>
            <a:lumOff val="40000"/>
          </a:schemeClr>
        </a:solidFill>
        <a:ln>
          <a:noFill/>
        </a:ln>
        <a:effectLst>
          <a:reflection blurRad="6350" stA="50000" endA="300" endPos="38500" dist="50800" dir="5400000" sy="-100000" algn="bl" rotWithShape="0"/>
        </a:effectLst>
        <a:scene3d>
          <a:camera prst="orthographicFront">
            <a:rot lat="0" lon="0" rev="0"/>
          </a:camera>
          <a:lightRig rig="contrasting" dir="t">
            <a:rot lat="0" lon="0" rev="7800000"/>
          </a:lightRig>
        </a:scene3d>
        <a:sp3d>
          <a:bevelT w="139700" h="1397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AU" sz="1100"/>
        </a:p>
      </xdr:txBody>
    </xdr:sp>
    <xdr:clientData fLocksWithSheet="0"/>
  </xdr:twoCellAnchor>
  <xdr:twoCellAnchor editAs="oneCell">
    <xdr:from>
      <xdr:col>2</xdr:col>
      <xdr:colOff>1140669</xdr:colOff>
      <xdr:row>24</xdr:row>
      <xdr:rowOff>76835</xdr:rowOff>
    </xdr:from>
    <xdr:to>
      <xdr:col>2</xdr:col>
      <xdr:colOff>1394669</xdr:colOff>
      <xdr:row>24</xdr:row>
      <xdr:rowOff>148835</xdr:rowOff>
    </xdr:to>
    <xdr:sp macro="[0]!Carton1Con24" textlink="">
      <xdr:nvSpPr>
        <xdr:cNvPr id="142" name="Rectangle 141">
          <a:extLst>
            <a:ext uri="{FF2B5EF4-FFF2-40B4-BE49-F238E27FC236}">
              <a16:creationId xmlns:a16="http://schemas.microsoft.com/office/drawing/2014/main" id="{00000000-0008-0000-0500-00008E000000}"/>
            </a:ext>
          </a:extLst>
        </xdr:cNvPr>
        <xdr:cNvSpPr/>
      </xdr:nvSpPr>
      <xdr:spPr>
        <a:xfrm>
          <a:off x="2365312" y="2584437"/>
          <a:ext cx="254000" cy="72000"/>
        </a:xfrm>
        <a:prstGeom prst="rect">
          <a:avLst/>
        </a:prstGeom>
        <a:solidFill>
          <a:srgbClr val="FF5050"/>
        </a:solidFill>
        <a:ln>
          <a:noFill/>
        </a:ln>
        <a:effectLst>
          <a:outerShdw blurRad="44450" dist="27940" dir="5400000" algn="ctr">
            <a:srgbClr val="000000">
              <a:alpha val="32000"/>
            </a:srgbClr>
          </a:outerShdw>
          <a:reflection blurRad="6350" stA="50000" endA="300" endPos="38500" dist="50800" dir="5400000" sy="-100000" algn="bl" rotWithShape="0"/>
        </a:effectLst>
        <a:scene3d>
          <a:camera prst="orthographicFront">
            <a:rot lat="0" lon="0" rev="0"/>
          </a:camera>
          <a:lightRig rig="balanced" dir="t">
            <a:rot lat="0" lon="0" rev="8700000"/>
          </a:lightRig>
        </a:scene3d>
        <a:sp3d>
          <a:bevelT w="190500" h="38100"/>
        </a:sp3d>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AU" sz="1100"/>
        </a:p>
      </xdr:txBody>
    </xdr:sp>
    <xdr:clientData fLocksWithSheet="0"/>
  </xdr:twoCellAnchor>
  <xdr:twoCellAnchor editAs="oneCell">
    <xdr:from>
      <xdr:col>8</xdr:col>
      <xdr:colOff>317500</xdr:colOff>
      <xdr:row>3</xdr:row>
      <xdr:rowOff>95250</xdr:rowOff>
    </xdr:from>
    <xdr:to>
      <xdr:col>9</xdr:col>
      <xdr:colOff>1690</xdr:colOff>
      <xdr:row>5</xdr:row>
      <xdr:rowOff>70050</xdr:rowOff>
    </xdr:to>
    <xdr:pic>
      <xdr:nvPicPr>
        <xdr:cNvPr id="12" name="Graphic 11" descr="Single gear">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a:ext>
            <a:ext uri="{96DAC541-7B7A-43D3-8B79-37D633B846F1}">
              <asvg:svgBlip xmlns:asvg="http://schemas.microsoft.com/office/drawing/2016/SVG/main" r:embed="rId23"/>
            </a:ext>
          </a:extLst>
        </a:blip>
        <a:stretch>
          <a:fillRect/>
        </a:stretch>
      </xdr:blipFill>
      <xdr:spPr>
        <a:xfrm>
          <a:off x="10877550" y="571500"/>
          <a:ext cx="432000" cy="432000"/>
        </a:xfrm>
        <a:prstGeom prst="rect">
          <a:avLst/>
        </a:prstGeom>
      </xdr:spPr>
    </xdr:pic>
    <xdr:clientData fPrintsWithSheet="0"/>
  </xdr:twoCellAnchor>
  <xdr:twoCellAnchor editAs="oneCell">
    <xdr:from>
      <xdr:col>2</xdr:col>
      <xdr:colOff>552450</xdr:colOff>
      <xdr:row>281</xdr:row>
      <xdr:rowOff>50800</xdr:rowOff>
    </xdr:from>
    <xdr:to>
      <xdr:col>2</xdr:col>
      <xdr:colOff>1136650</xdr:colOff>
      <xdr:row>284</xdr:row>
      <xdr:rowOff>146050</xdr:rowOff>
    </xdr:to>
    <xdr:pic>
      <xdr:nvPicPr>
        <xdr:cNvPr id="14" name="Graphic 13" descr="Mining Tools">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a:ext>
            <a:ext uri="{96DAC541-7B7A-43D3-8B79-37D633B846F1}">
              <asvg:svgBlip xmlns:asvg="http://schemas.microsoft.com/office/drawing/2016/SVG/main" r:embed="rId25"/>
            </a:ext>
          </a:extLst>
        </a:blip>
        <a:stretch>
          <a:fillRect/>
        </a:stretch>
      </xdr:blipFill>
      <xdr:spPr>
        <a:xfrm>
          <a:off x="1835150" y="15392400"/>
          <a:ext cx="584200" cy="584200"/>
        </a:xfrm>
        <a:prstGeom prst="rect">
          <a:avLst/>
        </a:prstGeom>
      </xdr:spPr>
    </xdr:pic>
    <xdr:clientData/>
  </xdr:twoCellAnchor>
  <xdr:twoCellAnchor>
    <xdr:from>
      <xdr:col>5</xdr:col>
      <xdr:colOff>3554574</xdr:colOff>
      <xdr:row>304</xdr:row>
      <xdr:rowOff>44449</xdr:rowOff>
    </xdr:from>
    <xdr:to>
      <xdr:col>5</xdr:col>
      <xdr:colOff>3701271</xdr:colOff>
      <xdr:row>304</xdr:row>
      <xdr:rowOff>158685</xdr:rowOff>
    </xdr:to>
    <xdr:sp macro="" textlink="">
      <xdr:nvSpPr>
        <xdr:cNvPr id="116" name="Isosceles Triangle 115">
          <a:extLst>
            <a:ext uri="{FF2B5EF4-FFF2-40B4-BE49-F238E27FC236}">
              <a16:creationId xmlns:a16="http://schemas.microsoft.com/office/drawing/2014/main" id="{00000000-0008-0000-0500-000074000000}"/>
            </a:ext>
          </a:extLst>
        </xdr:cNvPr>
        <xdr:cNvSpPr/>
      </xdr:nvSpPr>
      <xdr:spPr>
        <a:xfrm rot="10800000">
          <a:off x="8901274" y="21247099"/>
          <a:ext cx="146697" cy="114236"/>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2</xdr:col>
      <xdr:colOff>50800</xdr:colOff>
      <xdr:row>5</xdr:row>
      <xdr:rowOff>31750</xdr:rowOff>
    </xdr:from>
    <xdr:ext cx="788164" cy="239809"/>
    <xdr:sp macro="[0]!PagUp" textlink="">
      <xdr:nvSpPr>
        <xdr:cNvPr id="11" name="TextBox 10">
          <a:extLst>
            <a:ext uri="{FF2B5EF4-FFF2-40B4-BE49-F238E27FC236}">
              <a16:creationId xmlns:a16="http://schemas.microsoft.com/office/drawing/2014/main" id="{00000000-0008-0000-0500-00000B000000}"/>
            </a:ext>
          </a:extLst>
        </xdr:cNvPr>
        <xdr:cNvSpPr txBox="1"/>
      </xdr:nvSpPr>
      <xdr:spPr>
        <a:xfrm>
          <a:off x="1333500" y="965200"/>
          <a:ext cx="788164"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a:solidFill>
                <a:schemeClr val="accent1">
                  <a:lumMod val="60000"/>
                  <a:lumOff val="40000"/>
                </a:schemeClr>
              </a:solidFill>
              <a:latin typeface="Arial" panose="020B0604020202020204" pitchFamily="34" charset="0"/>
              <a:cs typeface="Arial" panose="020B0604020202020204" pitchFamily="34" charset="0"/>
            </a:rPr>
            <a:t>System    |</a:t>
          </a:r>
        </a:p>
      </xdr:txBody>
    </xdr:sp>
    <xdr:clientData/>
  </xdr:oneCellAnchor>
  <xdr:oneCellAnchor>
    <xdr:from>
      <xdr:col>2</xdr:col>
      <xdr:colOff>775138</xdr:colOff>
      <xdr:row>5</xdr:row>
      <xdr:rowOff>31750</xdr:rowOff>
    </xdr:from>
    <xdr:ext cx="1016176" cy="239809"/>
    <xdr:sp macro="[0]!PageAccessories" textlink="">
      <xdr:nvSpPr>
        <xdr:cNvPr id="13" name="TextBox 12">
          <a:extLst>
            <a:ext uri="{FF2B5EF4-FFF2-40B4-BE49-F238E27FC236}">
              <a16:creationId xmlns:a16="http://schemas.microsoft.com/office/drawing/2014/main" id="{00000000-0008-0000-0500-00000D000000}"/>
            </a:ext>
          </a:extLst>
        </xdr:cNvPr>
        <xdr:cNvSpPr txBox="1"/>
      </xdr:nvSpPr>
      <xdr:spPr>
        <a:xfrm>
          <a:off x="2057838" y="965200"/>
          <a:ext cx="1016176"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a:solidFill>
                <a:schemeClr val="accent1">
                  <a:lumMod val="60000"/>
                  <a:lumOff val="40000"/>
                </a:schemeClr>
              </a:solidFill>
              <a:latin typeface="Arial" panose="020B0604020202020204" pitchFamily="34" charset="0"/>
              <a:cs typeface="Arial" panose="020B0604020202020204" pitchFamily="34" charset="0"/>
            </a:rPr>
            <a:t>Accessories   |</a:t>
          </a:r>
        </a:p>
      </xdr:txBody>
    </xdr:sp>
    <xdr:clientData/>
  </xdr:oneCellAnchor>
  <xdr:oneCellAnchor>
    <xdr:from>
      <xdr:col>2</xdr:col>
      <xdr:colOff>1748199</xdr:colOff>
      <xdr:row>5</xdr:row>
      <xdr:rowOff>31750</xdr:rowOff>
    </xdr:from>
    <xdr:ext cx="1237262" cy="239809"/>
    <xdr:sp macro="[0]!PageImplementation" textlink="">
      <xdr:nvSpPr>
        <xdr:cNvPr id="15" name="TextBox 14">
          <a:extLst>
            <a:ext uri="{FF2B5EF4-FFF2-40B4-BE49-F238E27FC236}">
              <a16:creationId xmlns:a16="http://schemas.microsoft.com/office/drawing/2014/main" id="{00000000-0008-0000-0500-00000F000000}"/>
            </a:ext>
          </a:extLst>
        </xdr:cNvPr>
        <xdr:cNvSpPr txBox="1"/>
      </xdr:nvSpPr>
      <xdr:spPr>
        <a:xfrm>
          <a:off x="3030899" y="965200"/>
          <a:ext cx="1237262"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a:solidFill>
                <a:schemeClr val="accent1">
                  <a:lumMod val="60000"/>
                  <a:lumOff val="40000"/>
                </a:schemeClr>
              </a:solidFill>
              <a:latin typeface="Arial" panose="020B0604020202020204" pitchFamily="34" charset="0"/>
              <a:cs typeface="Arial" panose="020B0604020202020204" pitchFamily="34" charset="0"/>
            </a:rPr>
            <a:t>Implementation    |</a:t>
          </a:r>
        </a:p>
      </xdr:txBody>
    </xdr:sp>
    <xdr:clientData/>
  </xdr:oneCellAnchor>
  <xdr:oneCellAnchor>
    <xdr:from>
      <xdr:col>3</xdr:col>
      <xdr:colOff>1084797</xdr:colOff>
      <xdr:row>5</xdr:row>
      <xdr:rowOff>31750</xdr:rowOff>
    </xdr:from>
    <xdr:ext cx="973600" cy="239809"/>
    <xdr:sp macro="[0]!PageSoftware" textlink="">
      <xdr:nvSpPr>
        <xdr:cNvPr id="16" name="TextBox 15">
          <a:extLst>
            <a:ext uri="{FF2B5EF4-FFF2-40B4-BE49-F238E27FC236}">
              <a16:creationId xmlns:a16="http://schemas.microsoft.com/office/drawing/2014/main" id="{00000000-0008-0000-0500-000010000000}"/>
            </a:ext>
          </a:extLst>
        </xdr:cNvPr>
        <xdr:cNvSpPr txBox="1"/>
      </xdr:nvSpPr>
      <xdr:spPr>
        <a:xfrm>
          <a:off x="4266147" y="965200"/>
          <a:ext cx="973600"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a:solidFill>
                <a:schemeClr val="accent1">
                  <a:lumMod val="60000"/>
                  <a:lumOff val="40000"/>
                </a:schemeClr>
              </a:solidFill>
              <a:latin typeface="Arial" panose="020B0604020202020204" pitchFamily="34" charset="0"/>
              <a:cs typeface="Arial" panose="020B0604020202020204" pitchFamily="34" charset="0"/>
            </a:rPr>
            <a:t>Intergration   |</a:t>
          </a:r>
        </a:p>
      </xdr:txBody>
    </xdr:sp>
    <xdr:clientData/>
  </xdr:oneCellAnchor>
  <xdr:oneCellAnchor>
    <xdr:from>
      <xdr:col>4</xdr:col>
      <xdr:colOff>742950</xdr:colOff>
      <xdr:row>5</xdr:row>
      <xdr:rowOff>31750</xdr:rowOff>
    </xdr:from>
    <xdr:ext cx="662104" cy="239809"/>
    <xdr:sp macro="[0]!PageDown" textlink="">
      <xdr:nvSpPr>
        <xdr:cNvPr id="129" name="TextBox 128">
          <a:extLst>
            <a:ext uri="{FF2B5EF4-FFF2-40B4-BE49-F238E27FC236}">
              <a16:creationId xmlns:a16="http://schemas.microsoft.com/office/drawing/2014/main" id="{00000000-0008-0000-0500-000081000000}"/>
            </a:ext>
          </a:extLst>
        </xdr:cNvPr>
        <xdr:cNvSpPr txBox="1"/>
      </xdr:nvSpPr>
      <xdr:spPr>
        <a:xfrm>
          <a:off x="5264150" y="965200"/>
          <a:ext cx="662104" cy="2398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000">
              <a:solidFill>
                <a:schemeClr val="accent1">
                  <a:lumMod val="60000"/>
                  <a:lumOff val="40000"/>
                </a:schemeClr>
              </a:solidFill>
              <a:latin typeface="Arial" panose="020B0604020202020204" pitchFamily="34" charset="0"/>
              <a:cs typeface="Arial" panose="020B0604020202020204" pitchFamily="34" charset="0"/>
            </a:rPr>
            <a:t>Custom </a:t>
          </a:r>
        </a:p>
      </xdr:txBody>
    </xdr:sp>
    <xdr:clientData/>
  </xdr:oneCellAnchor>
  <xdr:twoCellAnchor editAs="oneCell">
    <xdr:from>
      <xdr:col>1</xdr:col>
      <xdr:colOff>165100</xdr:colOff>
      <xdr:row>3</xdr:row>
      <xdr:rowOff>107950</xdr:rowOff>
    </xdr:from>
    <xdr:to>
      <xdr:col>2</xdr:col>
      <xdr:colOff>82550</xdr:colOff>
      <xdr:row>16</xdr:row>
      <xdr:rowOff>50800</xdr:rowOff>
    </xdr:to>
    <xdr:pic>
      <xdr:nvPicPr>
        <xdr:cNvPr id="18" name="Graphic 17" descr="Gears">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a:ext>
            <a:ext uri="{96DAC541-7B7A-43D3-8B79-37D633B846F1}">
              <asvg:svgBlip xmlns:asvg="http://schemas.microsoft.com/office/drawing/2016/SVG/main" r:embed="rId27"/>
            </a:ext>
          </a:extLst>
        </a:blip>
        <a:stretch>
          <a:fillRect/>
        </a:stretch>
      </xdr:blipFill>
      <xdr:spPr>
        <a:xfrm>
          <a:off x="806450" y="584200"/>
          <a:ext cx="558800" cy="558800"/>
        </a:xfrm>
        <a:prstGeom prst="rect">
          <a:avLst/>
        </a:prstGeom>
      </xdr:spPr>
    </xdr:pic>
    <xdr:clientData/>
  </xdr:twoCellAnchor>
  <xdr:twoCellAnchor>
    <xdr:from>
      <xdr:col>5</xdr:col>
      <xdr:colOff>3430942</xdr:colOff>
      <xdr:row>326</xdr:row>
      <xdr:rowOff>0</xdr:rowOff>
    </xdr:from>
    <xdr:to>
      <xdr:col>5</xdr:col>
      <xdr:colOff>3577639</xdr:colOff>
      <xdr:row>326</xdr:row>
      <xdr:rowOff>0</xdr:rowOff>
    </xdr:to>
    <xdr:sp macro="" textlink="">
      <xdr:nvSpPr>
        <xdr:cNvPr id="135" name="Isosceles Triangle 134">
          <a:extLst>
            <a:ext uri="{FF2B5EF4-FFF2-40B4-BE49-F238E27FC236}">
              <a16:creationId xmlns:a16="http://schemas.microsoft.com/office/drawing/2014/main" id="{00000000-0008-0000-0500-000087000000}"/>
            </a:ext>
          </a:extLst>
        </xdr:cNvPr>
        <xdr:cNvSpPr/>
      </xdr:nvSpPr>
      <xdr:spPr>
        <a:xfrm rot="10800000">
          <a:off x="8526817" y="25136475"/>
          <a:ext cx="146697" cy="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3430942</xdr:colOff>
      <xdr:row>326</xdr:row>
      <xdr:rowOff>0</xdr:rowOff>
    </xdr:from>
    <xdr:to>
      <xdr:col>5</xdr:col>
      <xdr:colOff>3577639</xdr:colOff>
      <xdr:row>326</xdr:row>
      <xdr:rowOff>0</xdr:rowOff>
    </xdr:to>
    <xdr:sp macro="" textlink="">
      <xdr:nvSpPr>
        <xdr:cNvPr id="143" name="Isosceles Triangle 142">
          <a:extLst>
            <a:ext uri="{FF2B5EF4-FFF2-40B4-BE49-F238E27FC236}">
              <a16:creationId xmlns:a16="http://schemas.microsoft.com/office/drawing/2014/main" id="{00000000-0008-0000-0500-00008F000000}"/>
            </a:ext>
          </a:extLst>
        </xdr:cNvPr>
        <xdr:cNvSpPr/>
      </xdr:nvSpPr>
      <xdr:spPr>
        <a:xfrm rot="10800000">
          <a:off x="8526817" y="25136475"/>
          <a:ext cx="146697" cy="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3430942</xdr:colOff>
      <xdr:row>326</xdr:row>
      <xdr:rowOff>0</xdr:rowOff>
    </xdr:from>
    <xdr:to>
      <xdr:col>5</xdr:col>
      <xdr:colOff>3577639</xdr:colOff>
      <xdr:row>326</xdr:row>
      <xdr:rowOff>0</xdr:rowOff>
    </xdr:to>
    <xdr:sp macro="" textlink="">
      <xdr:nvSpPr>
        <xdr:cNvPr id="144" name="Isosceles Triangle 143">
          <a:extLst>
            <a:ext uri="{FF2B5EF4-FFF2-40B4-BE49-F238E27FC236}">
              <a16:creationId xmlns:a16="http://schemas.microsoft.com/office/drawing/2014/main" id="{00000000-0008-0000-0500-000090000000}"/>
            </a:ext>
          </a:extLst>
        </xdr:cNvPr>
        <xdr:cNvSpPr/>
      </xdr:nvSpPr>
      <xdr:spPr>
        <a:xfrm rot="10800000">
          <a:off x="8526817" y="25136475"/>
          <a:ext cx="146697" cy="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3430942</xdr:colOff>
      <xdr:row>326</xdr:row>
      <xdr:rowOff>0</xdr:rowOff>
    </xdr:from>
    <xdr:to>
      <xdr:col>5</xdr:col>
      <xdr:colOff>3577639</xdr:colOff>
      <xdr:row>326</xdr:row>
      <xdr:rowOff>0</xdr:rowOff>
    </xdr:to>
    <xdr:sp macro="" textlink="">
      <xdr:nvSpPr>
        <xdr:cNvPr id="145" name="Isosceles Triangle 144">
          <a:extLst>
            <a:ext uri="{FF2B5EF4-FFF2-40B4-BE49-F238E27FC236}">
              <a16:creationId xmlns:a16="http://schemas.microsoft.com/office/drawing/2014/main" id="{00000000-0008-0000-0500-000091000000}"/>
            </a:ext>
          </a:extLst>
        </xdr:cNvPr>
        <xdr:cNvSpPr/>
      </xdr:nvSpPr>
      <xdr:spPr>
        <a:xfrm rot="10800000">
          <a:off x="8526817" y="25136475"/>
          <a:ext cx="146697" cy="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3430942</xdr:colOff>
      <xdr:row>326</xdr:row>
      <xdr:rowOff>0</xdr:rowOff>
    </xdr:from>
    <xdr:to>
      <xdr:col>5</xdr:col>
      <xdr:colOff>3577639</xdr:colOff>
      <xdr:row>326</xdr:row>
      <xdr:rowOff>0</xdr:rowOff>
    </xdr:to>
    <xdr:sp macro="" textlink="">
      <xdr:nvSpPr>
        <xdr:cNvPr id="146" name="Isosceles Triangle 145">
          <a:extLst>
            <a:ext uri="{FF2B5EF4-FFF2-40B4-BE49-F238E27FC236}">
              <a16:creationId xmlns:a16="http://schemas.microsoft.com/office/drawing/2014/main" id="{00000000-0008-0000-0500-000092000000}"/>
            </a:ext>
          </a:extLst>
        </xdr:cNvPr>
        <xdr:cNvSpPr/>
      </xdr:nvSpPr>
      <xdr:spPr>
        <a:xfrm rot="10800000">
          <a:off x="8526817" y="25136475"/>
          <a:ext cx="146697" cy="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3430942</xdr:colOff>
      <xdr:row>326</xdr:row>
      <xdr:rowOff>0</xdr:rowOff>
    </xdr:from>
    <xdr:to>
      <xdr:col>5</xdr:col>
      <xdr:colOff>3577639</xdr:colOff>
      <xdr:row>326</xdr:row>
      <xdr:rowOff>0</xdr:rowOff>
    </xdr:to>
    <xdr:sp macro="" textlink="">
      <xdr:nvSpPr>
        <xdr:cNvPr id="147" name="Isosceles Triangle 146">
          <a:extLst>
            <a:ext uri="{FF2B5EF4-FFF2-40B4-BE49-F238E27FC236}">
              <a16:creationId xmlns:a16="http://schemas.microsoft.com/office/drawing/2014/main" id="{00000000-0008-0000-0500-000093000000}"/>
            </a:ext>
          </a:extLst>
        </xdr:cNvPr>
        <xdr:cNvSpPr/>
      </xdr:nvSpPr>
      <xdr:spPr>
        <a:xfrm rot="10800000">
          <a:off x="8526817" y="25136475"/>
          <a:ext cx="146697" cy="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3430942</xdr:colOff>
      <xdr:row>326</xdr:row>
      <xdr:rowOff>0</xdr:rowOff>
    </xdr:from>
    <xdr:to>
      <xdr:col>5</xdr:col>
      <xdr:colOff>3577639</xdr:colOff>
      <xdr:row>326</xdr:row>
      <xdr:rowOff>0</xdr:rowOff>
    </xdr:to>
    <xdr:sp macro="" textlink="">
      <xdr:nvSpPr>
        <xdr:cNvPr id="148" name="Isosceles Triangle 147">
          <a:extLst>
            <a:ext uri="{FF2B5EF4-FFF2-40B4-BE49-F238E27FC236}">
              <a16:creationId xmlns:a16="http://schemas.microsoft.com/office/drawing/2014/main" id="{00000000-0008-0000-0500-000094000000}"/>
            </a:ext>
          </a:extLst>
        </xdr:cNvPr>
        <xdr:cNvSpPr/>
      </xdr:nvSpPr>
      <xdr:spPr>
        <a:xfrm rot="10800000">
          <a:off x="8526817" y="25136475"/>
          <a:ext cx="146697" cy="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3430942</xdr:colOff>
      <xdr:row>326</xdr:row>
      <xdr:rowOff>0</xdr:rowOff>
    </xdr:from>
    <xdr:to>
      <xdr:col>5</xdr:col>
      <xdr:colOff>3577639</xdr:colOff>
      <xdr:row>326</xdr:row>
      <xdr:rowOff>0</xdr:rowOff>
    </xdr:to>
    <xdr:sp macro="" textlink="">
      <xdr:nvSpPr>
        <xdr:cNvPr id="149" name="Isosceles Triangle 148">
          <a:extLst>
            <a:ext uri="{FF2B5EF4-FFF2-40B4-BE49-F238E27FC236}">
              <a16:creationId xmlns:a16="http://schemas.microsoft.com/office/drawing/2014/main" id="{00000000-0008-0000-0500-000095000000}"/>
            </a:ext>
          </a:extLst>
        </xdr:cNvPr>
        <xdr:cNvSpPr/>
      </xdr:nvSpPr>
      <xdr:spPr>
        <a:xfrm rot="10800000">
          <a:off x="8526817" y="25136475"/>
          <a:ext cx="146697" cy="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3430942</xdr:colOff>
      <xdr:row>326</xdr:row>
      <xdr:rowOff>0</xdr:rowOff>
    </xdr:from>
    <xdr:to>
      <xdr:col>5</xdr:col>
      <xdr:colOff>3577639</xdr:colOff>
      <xdr:row>326</xdr:row>
      <xdr:rowOff>0</xdr:rowOff>
    </xdr:to>
    <xdr:sp macro="" textlink="">
      <xdr:nvSpPr>
        <xdr:cNvPr id="150" name="Isosceles Triangle 149">
          <a:extLst>
            <a:ext uri="{FF2B5EF4-FFF2-40B4-BE49-F238E27FC236}">
              <a16:creationId xmlns:a16="http://schemas.microsoft.com/office/drawing/2014/main" id="{00000000-0008-0000-0500-000096000000}"/>
            </a:ext>
          </a:extLst>
        </xdr:cNvPr>
        <xdr:cNvSpPr/>
      </xdr:nvSpPr>
      <xdr:spPr>
        <a:xfrm rot="10800000">
          <a:off x="8526817" y="25136475"/>
          <a:ext cx="146697" cy="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3430942</xdr:colOff>
      <xdr:row>326</xdr:row>
      <xdr:rowOff>0</xdr:rowOff>
    </xdr:from>
    <xdr:to>
      <xdr:col>5</xdr:col>
      <xdr:colOff>3577639</xdr:colOff>
      <xdr:row>326</xdr:row>
      <xdr:rowOff>0</xdr:rowOff>
    </xdr:to>
    <xdr:sp macro="" textlink="">
      <xdr:nvSpPr>
        <xdr:cNvPr id="151" name="Isosceles Triangle 150">
          <a:extLst>
            <a:ext uri="{FF2B5EF4-FFF2-40B4-BE49-F238E27FC236}">
              <a16:creationId xmlns:a16="http://schemas.microsoft.com/office/drawing/2014/main" id="{00000000-0008-0000-0500-000097000000}"/>
            </a:ext>
          </a:extLst>
        </xdr:cNvPr>
        <xdr:cNvSpPr/>
      </xdr:nvSpPr>
      <xdr:spPr>
        <a:xfrm rot="10800000">
          <a:off x="8526817" y="25136475"/>
          <a:ext cx="146697" cy="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3405675</xdr:colOff>
      <xdr:row>104</xdr:row>
      <xdr:rowOff>38879</xdr:rowOff>
    </xdr:from>
    <xdr:to>
      <xdr:col>5</xdr:col>
      <xdr:colOff>3539025</xdr:colOff>
      <xdr:row>104</xdr:row>
      <xdr:rowOff>153179</xdr:rowOff>
    </xdr:to>
    <xdr:sp macro="" textlink="">
      <xdr:nvSpPr>
        <xdr:cNvPr id="152" name="Isosceles Triangle 151">
          <a:extLst>
            <a:ext uri="{FF2B5EF4-FFF2-40B4-BE49-F238E27FC236}">
              <a16:creationId xmlns:a16="http://schemas.microsoft.com/office/drawing/2014/main" id="{00000000-0008-0000-0500-000098000000}"/>
            </a:ext>
          </a:extLst>
        </xdr:cNvPr>
        <xdr:cNvSpPr/>
      </xdr:nvSpPr>
      <xdr:spPr>
        <a:xfrm rot="10800000">
          <a:off x="8440318" y="18544593"/>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3405675</xdr:colOff>
      <xdr:row>105</xdr:row>
      <xdr:rowOff>45488</xdr:rowOff>
    </xdr:from>
    <xdr:to>
      <xdr:col>5</xdr:col>
      <xdr:colOff>3539025</xdr:colOff>
      <xdr:row>105</xdr:row>
      <xdr:rowOff>159788</xdr:rowOff>
    </xdr:to>
    <xdr:sp macro="" textlink="">
      <xdr:nvSpPr>
        <xdr:cNvPr id="153" name="Isosceles Triangle 152">
          <a:extLst>
            <a:ext uri="{FF2B5EF4-FFF2-40B4-BE49-F238E27FC236}">
              <a16:creationId xmlns:a16="http://schemas.microsoft.com/office/drawing/2014/main" id="{00000000-0008-0000-0500-000099000000}"/>
            </a:ext>
          </a:extLst>
        </xdr:cNvPr>
        <xdr:cNvSpPr/>
      </xdr:nvSpPr>
      <xdr:spPr>
        <a:xfrm rot="10800000">
          <a:off x="8440318" y="18716432"/>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3405675</xdr:colOff>
      <xdr:row>106</xdr:row>
      <xdr:rowOff>42379</xdr:rowOff>
    </xdr:from>
    <xdr:to>
      <xdr:col>5</xdr:col>
      <xdr:colOff>3539025</xdr:colOff>
      <xdr:row>106</xdr:row>
      <xdr:rowOff>156679</xdr:rowOff>
    </xdr:to>
    <xdr:sp macro="" textlink="">
      <xdr:nvSpPr>
        <xdr:cNvPr id="154" name="Isosceles Triangle 153">
          <a:extLst>
            <a:ext uri="{FF2B5EF4-FFF2-40B4-BE49-F238E27FC236}">
              <a16:creationId xmlns:a16="http://schemas.microsoft.com/office/drawing/2014/main" id="{00000000-0008-0000-0500-00009A000000}"/>
            </a:ext>
          </a:extLst>
        </xdr:cNvPr>
        <xdr:cNvSpPr/>
      </xdr:nvSpPr>
      <xdr:spPr>
        <a:xfrm rot="10800000">
          <a:off x="8440318" y="18878552"/>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3405675</xdr:colOff>
      <xdr:row>107</xdr:row>
      <xdr:rowOff>39269</xdr:rowOff>
    </xdr:from>
    <xdr:to>
      <xdr:col>5</xdr:col>
      <xdr:colOff>3539025</xdr:colOff>
      <xdr:row>107</xdr:row>
      <xdr:rowOff>153569</xdr:rowOff>
    </xdr:to>
    <xdr:sp macro="" textlink="">
      <xdr:nvSpPr>
        <xdr:cNvPr id="155" name="Isosceles Triangle 154">
          <a:extLst>
            <a:ext uri="{FF2B5EF4-FFF2-40B4-BE49-F238E27FC236}">
              <a16:creationId xmlns:a16="http://schemas.microsoft.com/office/drawing/2014/main" id="{00000000-0008-0000-0500-00009B000000}"/>
            </a:ext>
          </a:extLst>
        </xdr:cNvPr>
        <xdr:cNvSpPr/>
      </xdr:nvSpPr>
      <xdr:spPr>
        <a:xfrm rot="10800000">
          <a:off x="8440318" y="19040672"/>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3405675</xdr:colOff>
      <xdr:row>110</xdr:row>
      <xdr:rowOff>45878</xdr:rowOff>
    </xdr:from>
    <xdr:to>
      <xdr:col>5</xdr:col>
      <xdr:colOff>3539025</xdr:colOff>
      <xdr:row>110</xdr:row>
      <xdr:rowOff>160178</xdr:rowOff>
    </xdr:to>
    <xdr:sp macro="" textlink="">
      <xdr:nvSpPr>
        <xdr:cNvPr id="156" name="Isosceles Triangle 155">
          <a:extLst>
            <a:ext uri="{FF2B5EF4-FFF2-40B4-BE49-F238E27FC236}">
              <a16:creationId xmlns:a16="http://schemas.microsoft.com/office/drawing/2014/main" id="{00000000-0008-0000-0500-00009C000000}"/>
            </a:ext>
          </a:extLst>
        </xdr:cNvPr>
        <xdr:cNvSpPr/>
      </xdr:nvSpPr>
      <xdr:spPr>
        <a:xfrm rot="10800000">
          <a:off x="8440318" y="19698480"/>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3405675</xdr:colOff>
      <xdr:row>111</xdr:row>
      <xdr:rowOff>42768</xdr:rowOff>
    </xdr:from>
    <xdr:to>
      <xdr:col>5</xdr:col>
      <xdr:colOff>3539025</xdr:colOff>
      <xdr:row>111</xdr:row>
      <xdr:rowOff>157068</xdr:rowOff>
    </xdr:to>
    <xdr:sp macro="" textlink="">
      <xdr:nvSpPr>
        <xdr:cNvPr id="157" name="Isosceles Triangle 156">
          <a:extLst>
            <a:ext uri="{FF2B5EF4-FFF2-40B4-BE49-F238E27FC236}">
              <a16:creationId xmlns:a16="http://schemas.microsoft.com/office/drawing/2014/main" id="{00000000-0008-0000-0500-00009D000000}"/>
            </a:ext>
          </a:extLst>
        </xdr:cNvPr>
        <xdr:cNvSpPr/>
      </xdr:nvSpPr>
      <xdr:spPr>
        <a:xfrm rot="10800000">
          <a:off x="8440318" y="19860600"/>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3343275</xdr:colOff>
      <xdr:row>127</xdr:row>
      <xdr:rowOff>38878</xdr:rowOff>
    </xdr:from>
    <xdr:to>
      <xdr:col>5</xdr:col>
      <xdr:colOff>3476625</xdr:colOff>
      <xdr:row>127</xdr:row>
      <xdr:rowOff>153178</xdr:rowOff>
    </xdr:to>
    <xdr:sp macro="" textlink="">
      <xdr:nvSpPr>
        <xdr:cNvPr id="158" name="Isosceles Triangle 157">
          <a:extLst>
            <a:ext uri="{FF2B5EF4-FFF2-40B4-BE49-F238E27FC236}">
              <a16:creationId xmlns:a16="http://schemas.microsoft.com/office/drawing/2014/main" id="{00000000-0008-0000-0500-00009E000000}"/>
            </a:ext>
          </a:extLst>
        </xdr:cNvPr>
        <xdr:cNvSpPr/>
      </xdr:nvSpPr>
      <xdr:spPr>
        <a:xfrm rot="10800000">
          <a:off x="8377918" y="23054388"/>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3343275</xdr:colOff>
      <xdr:row>126</xdr:row>
      <xdr:rowOff>45487</xdr:rowOff>
    </xdr:from>
    <xdr:to>
      <xdr:col>5</xdr:col>
      <xdr:colOff>3476625</xdr:colOff>
      <xdr:row>126</xdr:row>
      <xdr:rowOff>159787</xdr:rowOff>
    </xdr:to>
    <xdr:sp macro="" textlink="">
      <xdr:nvSpPr>
        <xdr:cNvPr id="159" name="Isosceles Triangle 158">
          <a:extLst>
            <a:ext uri="{FF2B5EF4-FFF2-40B4-BE49-F238E27FC236}">
              <a16:creationId xmlns:a16="http://schemas.microsoft.com/office/drawing/2014/main" id="{00000000-0008-0000-0500-00009F000000}"/>
            </a:ext>
          </a:extLst>
        </xdr:cNvPr>
        <xdr:cNvSpPr/>
      </xdr:nvSpPr>
      <xdr:spPr>
        <a:xfrm rot="10800000">
          <a:off x="8377918" y="22895768"/>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3343275</xdr:colOff>
      <xdr:row>125</xdr:row>
      <xdr:rowOff>42377</xdr:rowOff>
    </xdr:from>
    <xdr:to>
      <xdr:col>5</xdr:col>
      <xdr:colOff>3476625</xdr:colOff>
      <xdr:row>125</xdr:row>
      <xdr:rowOff>156677</xdr:rowOff>
    </xdr:to>
    <xdr:sp macro="" textlink="">
      <xdr:nvSpPr>
        <xdr:cNvPr id="160" name="Isosceles Triangle 159">
          <a:extLst>
            <a:ext uri="{FF2B5EF4-FFF2-40B4-BE49-F238E27FC236}">
              <a16:creationId xmlns:a16="http://schemas.microsoft.com/office/drawing/2014/main" id="{00000000-0008-0000-0500-0000A0000000}"/>
            </a:ext>
          </a:extLst>
        </xdr:cNvPr>
        <xdr:cNvSpPr/>
      </xdr:nvSpPr>
      <xdr:spPr>
        <a:xfrm rot="10800000">
          <a:off x="8377918" y="22727428"/>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3343275</xdr:colOff>
      <xdr:row>124</xdr:row>
      <xdr:rowOff>39267</xdr:rowOff>
    </xdr:from>
    <xdr:to>
      <xdr:col>5</xdr:col>
      <xdr:colOff>3476625</xdr:colOff>
      <xdr:row>124</xdr:row>
      <xdr:rowOff>153567</xdr:rowOff>
    </xdr:to>
    <xdr:sp macro="" textlink="">
      <xdr:nvSpPr>
        <xdr:cNvPr id="161" name="Isosceles Triangle 160">
          <a:extLst>
            <a:ext uri="{FF2B5EF4-FFF2-40B4-BE49-F238E27FC236}">
              <a16:creationId xmlns:a16="http://schemas.microsoft.com/office/drawing/2014/main" id="{00000000-0008-0000-0500-0000A1000000}"/>
            </a:ext>
          </a:extLst>
        </xdr:cNvPr>
        <xdr:cNvSpPr/>
      </xdr:nvSpPr>
      <xdr:spPr>
        <a:xfrm rot="10800000">
          <a:off x="8377918" y="22559088"/>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3343275</xdr:colOff>
      <xdr:row>130</xdr:row>
      <xdr:rowOff>26436</xdr:rowOff>
    </xdr:from>
    <xdr:to>
      <xdr:col>5</xdr:col>
      <xdr:colOff>3476625</xdr:colOff>
      <xdr:row>130</xdr:row>
      <xdr:rowOff>140736</xdr:rowOff>
    </xdr:to>
    <xdr:sp macro="" textlink="">
      <xdr:nvSpPr>
        <xdr:cNvPr id="162" name="Isosceles Triangle 161">
          <a:extLst>
            <a:ext uri="{FF2B5EF4-FFF2-40B4-BE49-F238E27FC236}">
              <a16:creationId xmlns:a16="http://schemas.microsoft.com/office/drawing/2014/main" id="{00000000-0008-0000-0500-0000A2000000}"/>
            </a:ext>
          </a:extLst>
        </xdr:cNvPr>
        <xdr:cNvSpPr/>
      </xdr:nvSpPr>
      <xdr:spPr>
        <a:xfrm rot="10800000">
          <a:off x="8377918" y="24013885"/>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3343275</xdr:colOff>
      <xdr:row>131</xdr:row>
      <xdr:rowOff>33045</xdr:rowOff>
    </xdr:from>
    <xdr:to>
      <xdr:col>5</xdr:col>
      <xdr:colOff>3476625</xdr:colOff>
      <xdr:row>131</xdr:row>
      <xdr:rowOff>147345</xdr:rowOff>
    </xdr:to>
    <xdr:sp macro="" textlink="">
      <xdr:nvSpPr>
        <xdr:cNvPr id="163" name="Isosceles Triangle 162">
          <a:extLst>
            <a:ext uri="{FF2B5EF4-FFF2-40B4-BE49-F238E27FC236}">
              <a16:creationId xmlns:a16="http://schemas.microsoft.com/office/drawing/2014/main" id="{00000000-0008-0000-0500-0000A3000000}"/>
            </a:ext>
          </a:extLst>
        </xdr:cNvPr>
        <xdr:cNvSpPr/>
      </xdr:nvSpPr>
      <xdr:spPr>
        <a:xfrm rot="10800000">
          <a:off x="8377918" y="24185724"/>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3363686</xdr:colOff>
      <xdr:row>144</xdr:row>
      <xdr:rowOff>29159</xdr:rowOff>
    </xdr:from>
    <xdr:to>
      <xdr:col>5</xdr:col>
      <xdr:colOff>3497036</xdr:colOff>
      <xdr:row>144</xdr:row>
      <xdr:rowOff>143459</xdr:rowOff>
    </xdr:to>
    <xdr:sp macro="" textlink="">
      <xdr:nvSpPr>
        <xdr:cNvPr id="165" name="Isosceles Triangle 164">
          <a:extLst>
            <a:ext uri="{FF2B5EF4-FFF2-40B4-BE49-F238E27FC236}">
              <a16:creationId xmlns:a16="http://schemas.microsoft.com/office/drawing/2014/main" id="{00000000-0008-0000-0500-0000A5000000}"/>
            </a:ext>
          </a:extLst>
        </xdr:cNvPr>
        <xdr:cNvSpPr/>
      </xdr:nvSpPr>
      <xdr:spPr>
        <a:xfrm rot="10800000">
          <a:off x="8398329" y="26883827"/>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3363686</xdr:colOff>
      <xdr:row>145</xdr:row>
      <xdr:rowOff>35767</xdr:rowOff>
    </xdr:from>
    <xdr:to>
      <xdr:col>5</xdr:col>
      <xdr:colOff>3497036</xdr:colOff>
      <xdr:row>145</xdr:row>
      <xdr:rowOff>150067</xdr:rowOff>
    </xdr:to>
    <xdr:sp macro="" textlink="">
      <xdr:nvSpPr>
        <xdr:cNvPr id="166" name="Isosceles Triangle 165">
          <a:extLst>
            <a:ext uri="{FF2B5EF4-FFF2-40B4-BE49-F238E27FC236}">
              <a16:creationId xmlns:a16="http://schemas.microsoft.com/office/drawing/2014/main" id="{00000000-0008-0000-0500-0000A6000000}"/>
            </a:ext>
          </a:extLst>
        </xdr:cNvPr>
        <xdr:cNvSpPr/>
      </xdr:nvSpPr>
      <xdr:spPr>
        <a:xfrm rot="10800000">
          <a:off x="8398329" y="27055665"/>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3363686</xdr:colOff>
      <xdr:row>146</xdr:row>
      <xdr:rowOff>42375</xdr:rowOff>
    </xdr:from>
    <xdr:to>
      <xdr:col>5</xdr:col>
      <xdr:colOff>3497036</xdr:colOff>
      <xdr:row>146</xdr:row>
      <xdr:rowOff>156675</xdr:rowOff>
    </xdr:to>
    <xdr:sp macro="" textlink="">
      <xdr:nvSpPr>
        <xdr:cNvPr id="167" name="Isosceles Triangle 166">
          <a:extLst>
            <a:ext uri="{FF2B5EF4-FFF2-40B4-BE49-F238E27FC236}">
              <a16:creationId xmlns:a16="http://schemas.microsoft.com/office/drawing/2014/main" id="{00000000-0008-0000-0500-0000A7000000}"/>
            </a:ext>
          </a:extLst>
        </xdr:cNvPr>
        <xdr:cNvSpPr/>
      </xdr:nvSpPr>
      <xdr:spPr>
        <a:xfrm rot="10800000">
          <a:off x="8398329" y="27227503"/>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3363686</xdr:colOff>
      <xdr:row>147</xdr:row>
      <xdr:rowOff>29546</xdr:rowOff>
    </xdr:from>
    <xdr:to>
      <xdr:col>5</xdr:col>
      <xdr:colOff>3497036</xdr:colOff>
      <xdr:row>147</xdr:row>
      <xdr:rowOff>143846</xdr:rowOff>
    </xdr:to>
    <xdr:sp macro="" textlink="">
      <xdr:nvSpPr>
        <xdr:cNvPr id="168" name="Isosceles Triangle 167">
          <a:extLst>
            <a:ext uri="{FF2B5EF4-FFF2-40B4-BE49-F238E27FC236}">
              <a16:creationId xmlns:a16="http://schemas.microsoft.com/office/drawing/2014/main" id="{00000000-0008-0000-0500-0000A8000000}"/>
            </a:ext>
          </a:extLst>
        </xdr:cNvPr>
        <xdr:cNvSpPr/>
      </xdr:nvSpPr>
      <xdr:spPr>
        <a:xfrm rot="10800000">
          <a:off x="8398329" y="27379903"/>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3363686</xdr:colOff>
      <xdr:row>148</xdr:row>
      <xdr:rowOff>181945</xdr:rowOff>
    </xdr:from>
    <xdr:to>
      <xdr:col>5</xdr:col>
      <xdr:colOff>3497036</xdr:colOff>
      <xdr:row>148</xdr:row>
      <xdr:rowOff>296245</xdr:rowOff>
    </xdr:to>
    <xdr:sp macro="" textlink="">
      <xdr:nvSpPr>
        <xdr:cNvPr id="169" name="Isosceles Triangle 168">
          <a:extLst>
            <a:ext uri="{FF2B5EF4-FFF2-40B4-BE49-F238E27FC236}">
              <a16:creationId xmlns:a16="http://schemas.microsoft.com/office/drawing/2014/main" id="{00000000-0008-0000-0500-0000A9000000}"/>
            </a:ext>
          </a:extLst>
        </xdr:cNvPr>
        <xdr:cNvSpPr/>
      </xdr:nvSpPr>
      <xdr:spPr>
        <a:xfrm rot="10800000">
          <a:off x="8398329" y="27697532"/>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3363686</xdr:colOff>
      <xdr:row>150</xdr:row>
      <xdr:rowOff>33044</xdr:rowOff>
    </xdr:from>
    <xdr:to>
      <xdr:col>5</xdr:col>
      <xdr:colOff>3497036</xdr:colOff>
      <xdr:row>150</xdr:row>
      <xdr:rowOff>147344</xdr:rowOff>
    </xdr:to>
    <xdr:sp macro="" textlink="">
      <xdr:nvSpPr>
        <xdr:cNvPr id="170" name="Isosceles Triangle 169">
          <a:extLst>
            <a:ext uri="{FF2B5EF4-FFF2-40B4-BE49-F238E27FC236}">
              <a16:creationId xmlns:a16="http://schemas.microsoft.com/office/drawing/2014/main" id="{00000000-0008-0000-0500-0000AA000000}"/>
            </a:ext>
          </a:extLst>
        </xdr:cNvPr>
        <xdr:cNvSpPr/>
      </xdr:nvSpPr>
      <xdr:spPr>
        <a:xfrm rot="10800000">
          <a:off x="8398329" y="28034600"/>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3363686</xdr:colOff>
      <xdr:row>151</xdr:row>
      <xdr:rowOff>49372</xdr:rowOff>
    </xdr:from>
    <xdr:to>
      <xdr:col>5</xdr:col>
      <xdr:colOff>3497036</xdr:colOff>
      <xdr:row>151</xdr:row>
      <xdr:rowOff>163672</xdr:rowOff>
    </xdr:to>
    <xdr:sp macro="" textlink="">
      <xdr:nvSpPr>
        <xdr:cNvPr id="171" name="Isosceles Triangle 170">
          <a:extLst>
            <a:ext uri="{FF2B5EF4-FFF2-40B4-BE49-F238E27FC236}">
              <a16:creationId xmlns:a16="http://schemas.microsoft.com/office/drawing/2014/main" id="{00000000-0008-0000-0500-0000AB000000}"/>
            </a:ext>
          </a:extLst>
        </xdr:cNvPr>
        <xdr:cNvSpPr/>
      </xdr:nvSpPr>
      <xdr:spPr>
        <a:xfrm rot="10800000">
          <a:off x="8398329" y="28216158"/>
          <a:ext cx="133350" cy="114300"/>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3564294</xdr:colOff>
      <xdr:row>361</xdr:row>
      <xdr:rowOff>38877</xdr:rowOff>
    </xdr:from>
    <xdr:to>
      <xdr:col>5</xdr:col>
      <xdr:colOff>3717343</xdr:colOff>
      <xdr:row>362</xdr:row>
      <xdr:rowOff>3240</xdr:rowOff>
    </xdr:to>
    <xdr:sp macro="" textlink="">
      <xdr:nvSpPr>
        <xdr:cNvPr id="164" name="Isosceles Triangle 163">
          <a:extLst>
            <a:ext uri="{FF2B5EF4-FFF2-40B4-BE49-F238E27FC236}">
              <a16:creationId xmlns:a16="http://schemas.microsoft.com/office/drawing/2014/main" id="{00000000-0008-0000-0500-0000A4000000}"/>
            </a:ext>
          </a:extLst>
        </xdr:cNvPr>
        <xdr:cNvSpPr/>
      </xdr:nvSpPr>
      <xdr:spPr>
        <a:xfrm rot="10800000">
          <a:off x="8910994" y="25699227"/>
          <a:ext cx="153049" cy="123113"/>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3570904</xdr:colOff>
      <xdr:row>362</xdr:row>
      <xdr:rowOff>35767</xdr:rowOff>
    </xdr:from>
    <xdr:to>
      <xdr:col>5</xdr:col>
      <xdr:colOff>3723953</xdr:colOff>
      <xdr:row>363</xdr:row>
      <xdr:rowOff>129</xdr:rowOff>
    </xdr:to>
    <xdr:sp macro="" textlink="">
      <xdr:nvSpPr>
        <xdr:cNvPr id="172" name="Isosceles Triangle 171">
          <a:extLst>
            <a:ext uri="{FF2B5EF4-FFF2-40B4-BE49-F238E27FC236}">
              <a16:creationId xmlns:a16="http://schemas.microsoft.com/office/drawing/2014/main" id="{00000000-0008-0000-0500-0000AC000000}"/>
            </a:ext>
          </a:extLst>
        </xdr:cNvPr>
        <xdr:cNvSpPr/>
      </xdr:nvSpPr>
      <xdr:spPr>
        <a:xfrm rot="10800000">
          <a:off x="8917604" y="25854867"/>
          <a:ext cx="153049" cy="123112"/>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3622675</xdr:colOff>
      <xdr:row>38</xdr:row>
      <xdr:rowOff>28575</xdr:rowOff>
    </xdr:from>
    <xdr:to>
      <xdr:col>5</xdr:col>
      <xdr:colOff>3733671</xdr:colOff>
      <xdr:row>38</xdr:row>
      <xdr:rowOff>142292</xdr:rowOff>
    </xdr:to>
    <xdr:sp macro="" textlink="">
      <xdr:nvSpPr>
        <xdr:cNvPr id="173" name="Isosceles Triangle 172">
          <a:extLst>
            <a:ext uri="{FF2B5EF4-FFF2-40B4-BE49-F238E27FC236}">
              <a16:creationId xmlns:a16="http://schemas.microsoft.com/office/drawing/2014/main" id="{00000000-0008-0000-0500-0000AD000000}"/>
            </a:ext>
          </a:extLst>
        </xdr:cNvPr>
        <xdr:cNvSpPr/>
      </xdr:nvSpPr>
      <xdr:spPr>
        <a:xfrm rot="10800000">
          <a:off x="8969375" y="5718175"/>
          <a:ext cx="110996" cy="113717"/>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3438525</xdr:colOff>
      <xdr:row>76</xdr:row>
      <xdr:rowOff>28575</xdr:rowOff>
    </xdr:from>
    <xdr:to>
      <xdr:col>5</xdr:col>
      <xdr:colOff>3549521</xdr:colOff>
      <xdr:row>76</xdr:row>
      <xdr:rowOff>142292</xdr:rowOff>
    </xdr:to>
    <xdr:sp macro="" textlink="">
      <xdr:nvSpPr>
        <xdr:cNvPr id="174" name="Isosceles Triangle 173">
          <a:extLst>
            <a:ext uri="{FF2B5EF4-FFF2-40B4-BE49-F238E27FC236}">
              <a16:creationId xmlns:a16="http://schemas.microsoft.com/office/drawing/2014/main" id="{00000000-0008-0000-0500-0000AE000000}"/>
            </a:ext>
          </a:extLst>
        </xdr:cNvPr>
        <xdr:cNvSpPr/>
      </xdr:nvSpPr>
      <xdr:spPr>
        <a:xfrm rot="10800000">
          <a:off x="8534400" y="5791200"/>
          <a:ext cx="110996" cy="113717"/>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3438525</xdr:colOff>
      <xdr:row>95</xdr:row>
      <xdr:rowOff>28575</xdr:rowOff>
    </xdr:from>
    <xdr:to>
      <xdr:col>5</xdr:col>
      <xdr:colOff>3549521</xdr:colOff>
      <xdr:row>95</xdr:row>
      <xdr:rowOff>142292</xdr:rowOff>
    </xdr:to>
    <xdr:sp macro="" textlink="">
      <xdr:nvSpPr>
        <xdr:cNvPr id="175" name="Isosceles Triangle 174">
          <a:extLst>
            <a:ext uri="{FF2B5EF4-FFF2-40B4-BE49-F238E27FC236}">
              <a16:creationId xmlns:a16="http://schemas.microsoft.com/office/drawing/2014/main" id="{00000000-0008-0000-0500-0000AF000000}"/>
            </a:ext>
          </a:extLst>
        </xdr:cNvPr>
        <xdr:cNvSpPr/>
      </xdr:nvSpPr>
      <xdr:spPr>
        <a:xfrm rot="10800000">
          <a:off x="8534400" y="5791200"/>
          <a:ext cx="110996" cy="113717"/>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3438525</xdr:colOff>
      <xdr:row>118</xdr:row>
      <xdr:rowOff>28575</xdr:rowOff>
    </xdr:from>
    <xdr:to>
      <xdr:col>5</xdr:col>
      <xdr:colOff>3549521</xdr:colOff>
      <xdr:row>118</xdr:row>
      <xdr:rowOff>142292</xdr:rowOff>
    </xdr:to>
    <xdr:sp macro="" textlink="">
      <xdr:nvSpPr>
        <xdr:cNvPr id="176" name="Isosceles Triangle 175">
          <a:extLst>
            <a:ext uri="{FF2B5EF4-FFF2-40B4-BE49-F238E27FC236}">
              <a16:creationId xmlns:a16="http://schemas.microsoft.com/office/drawing/2014/main" id="{00000000-0008-0000-0500-0000B0000000}"/>
            </a:ext>
          </a:extLst>
        </xdr:cNvPr>
        <xdr:cNvSpPr/>
      </xdr:nvSpPr>
      <xdr:spPr>
        <a:xfrm rot="10800000">
          <a:off x="8534400" y="5791200"/>
          <a:ext cx="110996" cy="113717"/>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3438525</xdr:colOff>
      <xdr:row>138</xdr:row>
      <xdr:rowOff>28575</xdr:rowOff>
    </xdr:from>
    <xdr:to>
      <xdr:col>5</xdr:col>
      <xdr:colOff>3549521</xdr:colOff>
      <xdr:row>138</xdr:row>
      <xdr:rowOff>142292</xdr:rowOff>
    </xdr:to>
    <xdr:sp macro="" textlink="">
      <xdr:nvSpPr>
        <xdr:cNvPr id="177" name="Isosceles Triangle 176">
          <a:extLst>
            <a:ext uri="{FF2B5EF4-FFF2-40B4-BE49-F238E27FC236}">
              <a16:creationId xmlns:a16="http://schemas.microsoft.com/office/drawing/2014/main" id="{00000000-0008-0000-0500-0000B1000000}"/>
            </a:ext>
          </a:extLst>
        </xdr:cNvPr>
        <xdr:cNvSpPr/>
      </xdr:nvSpPr>
      <xdr:spPr>
        <a:xfrm rot="10800000">
          <a:off x="8534400" y="5791200"/>
          <a:ext cx="110996" cy="113717"/>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3438525</xdr:colOff>
      <xdr:row>158</xdr:row>
      <xdr:rowOff>28575</xdr:rowOff>
    </xdr:from>
    <xdr:to>
      <xdr:col>5</xdr:col>
      <xdr:colOff>3549521</xdr:colOff>
      <xdr:row>158</xdr:row>
      <xdr:rowOff>142292</xdr:rowOff>
    </xdr:to>
    <xdr:sp macro="" textlink="">
      <xdr:nvSpPr>
        <xdr:cNvPr id="178" name="Isosceles Triangle 177">
          <a:extLst>
            <a:ext uri="{FF2B5EF4-FFF2-40B4-BE49-F238E27FC236}">
              <a16:creationId xmlns:a16="http://schemas.microsoft.com/office/drawing/2014/main" id="{00000000-0008-0000-0500-0000B2000000}"/>
            </a:ext>
          </a:extLst>
        </xdr:cNvPr>
        <xdr:cNvSpPr/>
      </xdr:nvSpPr>
      <xdr:spPr>
        <a:xfrm rot="10800000">
          <a:off x="8534400" y="5791200"/>
          <a:ext cx="110996" cy="113717"/>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3594100</xdr:colOff>
      <xdr:row>352</xdr:row>
      <xdr:rowOff>31750</xdr:rowOff>
    </xdr:from>
    <xdr:to>
      <xdr:col>5</xdr:col>
      <xdr:colOff>3740797</xdr:colOff>
      <xdr:row>352</xdr:row>
      <xdr:rowOff>145986</xdr:rowOff>
    </xdr:to>
    <xdr:sp macro="" textlink="">
      <xdr:nvSpPr>
        <xdr:cNvPr id="179" name="Isosceles Triangle 178">
          <a:extLst>
            <a:ext uri="{FF2B5EF4-FFF2-40B4-BE49-F238E27FC236}">
              <a16:creationId xmlns:a16="http://schemas.microsoft.com/office/drawing/2014/main" id="{00000000-0008-0000-0500-0000B3000000}"/>
            </a:ext>
          </a:extLst>
        </xdr:cNvPr>
        <xdr:cNvSpPr/>
      </xdr:nvSpPr>
      <xdr:spPr>
        <a:xfrm rot="10800000">
          <a:off x="8940800" y="24225250"/>
          <a:ext cx="146697" cy="114236"/>
        </a:xfrm>
        <a:prstGeom prst="triangle">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1228725</xdr:colOff>
      <xdr:row>10</xdr:row>
      <xdr:rowOff>28575</xdr:rowOff>
    </xdr:from>
    <xdr:to>
      <xdr:col>2</xdr:col>
      <xdr:colOff>2676525</xdr:colOff>
      <xdr:row>20</xdr:row>
      <xdr:rowOff>182845</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2409825" y="2352675"/>
          <a:ext cx="1447800" cy="2440270"/>
        </a:xfrm>
        <a:prstGeom prst="rect">
          <a:avLst/>
        </a:prstGeom>
        <a:solidFill>
          <a:srgbClr val="FFFFFF"/>
        </a:solidFill>
      </xdr:spPr>
    </xdr:pic>
    <xdr:clientData/>
  </xdr:twoCellAnchor>
  <xdr:twoCellAnchor editAs="oneCell">
    <xdr:from>
      <xdr:col>2</xdr:col>
      <xdr:colOff>1257300</xdr:colOff>
      <xdr:row>32</xdr:row>
      <xdr:rowOff>114301</xdr:rowOff>
    </xdr:from>
    <xdr:to>
      <xdr:col>2</xdr:col>
      <xdr:colOff>2530261</xdr:colOff>
      <xdr:row>40</xdr:row>
      <xdr:rowOff>40217</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cstate="email">
          <a:extLst>
            <a:ext uri="{28A0092B-C50C-407E-A947-70E740481C1C}">
              <a14:useLocalDpi xmlns:a14="http://schemas.microsoft.com/office/drawing/2010/main"/>
            </a:ext>
          </a:extLst>
        </a:blip>
        <a:srcRect/>
        <a:stretch>
          <a:fillRect/>
        </a:stretch>
      </xdr:blipFill>
      <xdr:spPr bwMode="auto">
        <a:xfrm>
          <a:off x="2438400" y="4953001"/>
          <a:ext cx="1272961" cy="2152649"/>
        </a:xfrm>
        <a:prstGeom prst="rect">
          <a:avLst/>
        </a:prstGeom>
        <a:solidFill>
          <a:srgbClr val="FFFFFF"/>
        </a:solidFill>
      </xdr:spPr>
    </xdr:pic>
    <xdr:clientData/>
  </xdr:twoCellAnchor>
  <xdr:twoCellAnchor editAs="oneCell">
    <xdr:from>
      <xdr:col>2</xdr:col>
      <xdr:colOff>1333500</xdr:colOff>
      <xdr:row>50</xdr:row>
      <xdr:rowOff>19051</xdr:rowOff>
    </xdr:from>
    <xdr:to>
      <xdr:col>2</xdr:col>
      <xdr:colOff>2391833</xdr:colOff>
      <xdr:row>58</xdr:row>
      <xdr:rowOff>19051</xdr:rowOff>
    </xdr:to>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2514600" y="8886826"/>
          <a:ext cx="1058333" cy="1905000"/>
        </a:xfrm>
        <a:prstGeom prst="rect">
          <a:avLst/>
        </a:prstGeom>
        <a:solidFill>
          <a:srgbClr val="FFFFFF"/>
        </a:solidFill>
      </xdr:spPr>
    </xdr:pic>
    <xdr:clientData/>
  </xdr:twoCellAnchor>
  <xdr:twoCellAnchor editAs="oneCell">
    <xdr:from>
      <xdr:col>2</xdr:col>
      <xdr:colOff>1524000</xdr:colOff>
      <xdr:row>59</xdr:row>
      <xdr:rowOff>47625</xdr:rowOff>
    </xdr:from>
    <xdr:to>
      <xdr:col>2</xdr:col>
      <xdr:colOff>2582333</xdr:colOff>
      <xdr:row>67</xdr:row>
      <xdr:rowOff>200025</xdr:rowOff>
    </xdr:to>
    <xdr:pic>
      <xdr:nvPicPr>
        <xdr:cNvPr id="5" name="Picture 4">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2705100" y="10925175"/>
          <a:ext cx="1058333" cy="1905000"/>
        </a:xfrm>
        <a:prstGeom prst="rect">
          <a:avLst/>
        </a:prstGeom>
        <a:solidFill>
          <a:srgbClr val="FFFFFF"/>
        </a:solidFill>
      </xdr:spPr>
    </xdr:pic>
    <xdr:clientData/>
  </xdr:twoCellAnchor>
  <xdr:oneCellAnchor>
    <xdr:from>
      <xdr:col>1</xdr:col>
      <xdr:colOff>200025</xdr:colOff>
      <xdr:row>2</xdr:row>
      <xdr:rowOff>152400</xdr:rowOff>
    </xdr:from>
    <xdr:ext cx="4654159" cy="468013"/>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771525" y="609600"/>
          <a:ext cx="4654159"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AU" sz="2400" b="1"/>
            <a:t>Marking Stations</a:t>
          </a:r>
          <a:r>
            <a:rPr lang="en-AU" sz="2400" b="1" baseline="0"/>
            <a:t> - Bill Of Materials</a:t>
          </a:r>
          <a:endParaRPr lang="en-AU" sz="2400" b="1"/>
        </a:p>
      </xdr:txBody>
    </xdr:sp>
    <xdr:clientData/>
  </xdr:oneCellAnchor>
  <xdr:twoCellAnchor>
    <xdr:from>
      <xdr:col>9</xdr:col>
      <xdr:colOff>457200</xdr:colOff>
      <xdr:row>2</xdr:row>
      <xdr:rowOff>0</xdr:rowOff>
    </xdr:from>
    <xdr:to>
      <xdr:col>10</xdr:col>
      <xdr:colOff>131982</xdr:colOff>
      <xdr:row>140</xdr:row>
      <xdr:rowOff>20775</xdr:rowOff>
    </xdr:to>
    <xdr:sp macro="" textlink="">
      <xdr:nvSpPr>
        <xdr:cNvPr id="13" name="Rectangle 12">
          <a:extLst>
            <a:ext uri="{FF2B5EF4-FFF2-40B4-BE49-F238E27FC236}">
              <a16:creationId xmlns:a16="http://schemas.microsoft.com/office/drawing/2014/main" id="{00000000-0008-0000-0600-00000D000000}"/>
            </a:ext>
          </a:extLst>
        </xdr:cNvPr>
        <xdr:cNvSpPr/>
      </xdr:nvSpPr>
      <xdr:spPr>
        <a:xfrm>
          <a:off x="13649325" y="457200"/>
          <a:ext cx="284382" cy="15156000"/>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twoCellAnchor>
    <xdr:from>
      <xdr:col>0</xdr:col>
      <xdr:colOff>571499</xdr:colOff>
      <xdr:row>139</xdr:row>
      <xdr:rowOff>171450</xdr:rowOff>
    </xdr:from>
    <xdr:to>
      <xdr:col>10</xdr:col>
      <xdr:colOff>125774</xdr:colOff>
      <xdr:row>140</xdr:row>
      <xdr:rowOff>37368</xdr:rowOff>
    </xdr:to>
    <xdr:sp macro="" textlink="">
      <xdr:nvSpPr>
        <xdr:cNvPr id="14" name="Rectangle 13">
          <a:extLst>
            <a:ext uri="{FF2B5EF4-FFF2-40B4-BE49-F238E27FC236}">
              <a16:creationId xmlns:a16="http://schemas.microsoft.com/office/drawing/2014/main" id="{00000000-0008-0000-0600-00000E000000}"/>
            </a:ext>
          </a:extLst>
        </xdr:cNvPr>
        <xdr:cNvSpPr/>
      </xdr:nvSpPr>
      <xdr:spPr>
        <a:xfrm flipH="1">
          <a:off x="571499" y="15582900"/>
          <a:ext cx="13356000" cy="46893"/>
        </a:xfrm>
        <a:prstGeom prst="rect">
          <a:avLst/>
        </a:prstGeom>
        <a:solidFill>
          <a:sysClr val="window" lastClr="FFFFFF"/>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AU"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1028700</xdr:colOff>
      <xdr:row>7</xdr:row>
      <xdr:rowOff>0</xdr:rowOff>
    </xdr:from>
    <xdr:to>
      <xdr:col>2</xdr:col>
      <xdr:colOff>1028700</xdr:colOff>
      <xdr:row>9</xdr:row>
      <xdr:rowOff>36195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670050" y="1282700"/>
          <a:ext cx="0" cy="1223645"/>
        </a:xfrm>
        <a:prstGeom prst="rect">
          <a:avLst/>
        </a:prstGeom>
      </xdr:spPr>
    </xdr:pic>
    <xdr:clientData/>
  </xdr:twoCellAnchor>
  <xdr:twoCellAnchor editAs="oneCell">
    <xdr:from>
      <xdr:col>2</xdr:col>
      <xdr:colOff>1028700</xdr:colOff>
      <xdr:row>7</xdr:row>
      <xdr:rowOff>0</xdr:rowOff>
    </xdr:from>
    <xdr:to>
      <xdr:col>2</xdr:col>
      <xdr:colOff>1028700</xdr:colOff>
      <xdr:row>7</xdr:row>
      <xdr:rowOff>188595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1670050" y="1282700"/>
          <a:ext cx="0" cy="188595"/>
        </a:xfrm>
        <a:prstGeom prst="rect">
          <a:avLst/>
        </a:prstGeom>
      </xdr:spPr>
    </xdr:pic>
    <xdr:clientData/>
  </xdr:twoCellAnchor>
  <xdr:twoCellAnchor editAs="oneCell">
    <xdr:from>
      <xdr:col>2</xdr:col>
      <xdr:colOff>1190625</xdr:colOff>
      <xdr:row>7</xdr:row>
      <xdr:rowOff>0</xdr:rowOff>
    </xdr:from>
    <xdr:to>
      <xdr:col>2</xdr:col>
      <xdr:colOff>1190625</xdr:colOff>
      <xdr:row>7</xdr:row>
      <xdr:rowOff>83820</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1831975" y="1282700"/>
          <a:ext cx="0" cy="83820"/>
        </a:xfrm>
        <a:prstGeom prst="rect">
          <a:avLst/>
        </a:prstGeom>
      </xdr:spPr>
    </xdr:pic>
    <xdr:clientData/>
  </xdr:twoCellAnchor>
  <xdr:twoCellAnchor editAs="oneCell">
    <xdr:from>
      <xdr:col>2</xdr:col>
      <xdr:colOff>1028700</xdr:colOff>
      <xdr:row>7</xdr:row>
      <xdr:rowOff>0</xdr:rowOff>
    </xdr:from>
    <xdr:to>
      <xdr:col>2</xdr:col>
      <xdr:colOff>1028700</xdr:colOff>
      <xdr:row>9</xdr:row>
      <xdr:rowOff>36195</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a:stretch>
          <a:fillRect/>
        </a:stretch>
      </xdr:blipFill>
      <xdr:spPr>
        <a:xfrm>
          <a:off x="1670050" y="1282700"/>
          <a:ext cx="0" cy="1223645"/>
        </a:xfrm>
        <a:prstGeom prst="rect">
          <a:avLst/>
        </a:prstGeom>
      </xdr:spPr>
    </xdr:pic>
    <xdr:clientData/>
  </xdr:twoCellAnchor>
  <xdr:twoCellAnchor editAs="oneCell">
    <xdr:from>
      <xdr:col>2</xdr:col>
      <xdr:colOff>1028700</xdr:colOff>
      <xdr:row>8</xdr:row>
      <xdr:rowOff>0</xdr:rowOff>
    </xdr:from>
    <xdr:to>
      <xdr:col>2</xdr:col>
      <xdr:colOff>1028700</xdr:colOff>
      <xdr:row>8</xdr:row>
      <xdr:rowOff>188595</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1"/>
        <a:stretch>
          <a:fillRect/>
        </a:stretch>
      </xdr:blipFill>
      <xdr:spPr>
        <a:xfrm>
          <a:off x="1670050" y="1479550"/>
          <a:ext cx="0" cy="188595"/>
        </a:xfrm>
        <a:prstGeom prst="rect">
          <a:avLst/>
        </a:prstGeom>
      </xdr:spPr>
    </xdr:pic>
    <xdr:clientData/>
  </xdr:twoCellAnchor>
  <xdr:twoCellAnchor editAs="oneCell">
    <xdr:from>
      <xdr:col>2</xdr:col>
      <xdr:colOff>1190625</xdr:colOff>
      <xdr:row>8</xdr:row>
      <xdr:rowOff>0</xdr:rowOff>
    </xdr:from>
    <xdr:to>
      <xdr:col>2</xdr:col>
      <xdr:colOff>1190625</xdr:colOff>
      <xdr:row>8</xdr:row>
      <xdr:rowOff>83820</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1"/>
        <a:stretch>
          <a:fillRect/>
        </a:stretch>
      </xdr:blipFill>
      <xdr:spPr>
        <a:xfrm>
          <a:off x="1831975" y="1479550"/>
          <a:ext cx="0" cy="83820"/>
        </a:xfrm>
        <a:prstGeom prst="rect">
          <a:avLst/>
        </a:prstGeom>
      </xdr:spPr>
    </xdr:pic>
    <xdr:clientData/>
  </xdr:twoCellAnchor>
  <xdr:twoCellAnchor editAs="oneCell">
    <xdr:from>
      <xdr:col>2</xdr:col>
      <xdr:colOff>1028700</xdr:colOff>
      <xdr:row>9</xdr:row>
      <xdr:rowOff>0</xdr:rowOff>
    </xdr:from>
    <xdr:to>
      <xdr:col>2</xdr:col>
      <xdr:colOff>1028700</xdr:colOff>
      <xdr:row>9</xdr:row>
      <xdr:rowOff>188595</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1"/>
        <a:stretch>
          <a:fillRect/>
        </a:stretch>
      </xdr:blipFill>
      <xdr:spPr>
        <a:xfrm>
          <a:off x="1670050" y="2470150"/>
          <a:ext cx="0" cy="188595"/>
        </a:xfrm>
        <a:prstGeom prst="rect">
          <a:avLst/>
        </a:prstGeom>
      </xdr:spPr>
    </xdr:pic>
    <xdr:clientData/>
  </xdr:twoCellAnchor>
  <xdr:twoCellAnchor editAs="oneCell">
    <xdr:from>
      <xdr:col>2</xdr:col>
      <xdr:colOff>1190625</xdr:colOff>
      <xdr:row>9</xdr:row>
      <xdr:rowOff>0</xdr:rowOff>
    </xdr:from>
    <xdr:to>
      <xdr:col>2</xdr:col>
      <xdr:colOff>1190625</xdr:colOff>
      <xdr:row>9</xdr:row>
      <xdr:rowOff>83820</xdr:rowOff>
    </xdr:to>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1"/>
        <a:stretch>
          <a:fillRect/>
        </a:stretch>
      </xdr:blipFill>
      <xdr:spPr>
        <a:xfrm>
          <a:off x="1831975" y="2470150"/>
          <a:ext cx="0" cy="83820"/>
        </a:xfrm>
        <a:prstGeom prst="rect">
          <a:avLst/>
        </a:prstGeom>
      </xdr:spPr>
    </xdr:pic>
    <xdr:clientData/>
  </xdr:twoCellAnchor>
  <xdr:twoCellAnchor editAs="oneCell">
    <xdr:from>
      <xdr:col>2</xdr:col>
      <xdr:colOff>1028700</xdr:colOff>
      <xdr:row>10</xdr:row>
      <xdr:rowOff>0</xdr:rowOff>
    </xdr:from>
    <xdr:to>
      <xdr:col>2</xdr:col>
      <xdr:colOff>1028700</xdr:colOff>
      <xdr:row>10</xdr:row>
      <xdr:rowOff>188595</xdr:rowOff>
    </xdr:to>
    <xdr:pic>
      <xdr:nvPicPr>
        <xdr:cNvPr id="10" name="Picture 9">
          <a:extLst>
            <a:ext uri="{FF2B5EF4-FFF2-40B4-BE49-F238E27FC236}">
              <a16:creationId xmlns:a16="http://schemas.microsoft.com/office/drawing/2014/main" id="{00000000-0008-0000-0700-00000A000000}"/>
            </a:ext>
          </a:extLst>
        </xdr:cNvPr>
        <xdr:cNvPicPr>
          <a:picLocks noChangeAspect="1"/>
        </xdr:cNvPicPr>
      </xdr:nvPicPr>
      <xdr:blipFill>
        <a:blip xmlns:r="http://schemas.openxmlformats.org/officeDocument/2006/relationships" r:embed="rId1"/>
        <a:stretch>
          <a:fillRect/>
        </a:stretch>
      </xdr:blipFill>
      <xdr:spPr>
        <a:xfrm>
          <a:off x="1670050" y="3460750"/>
          <a:ext cx="0" cy="188595"/>
        </a:xfrm>
        <a:prstGeom prst="rect">
          <a:avLst/>
        </a:prstGeom>
      </xdr:spPr>
    </xdr:pic>
    <xdr:clientData/>
  </xdr:twoCellAnchor>
  <xdr:twoCellAnchor editAs="oneCell">
    <xdr:from>
      <xdr:col>2</xdr:col>
      <xdr:colOff>1190625</xdr:colOff>
      <xdr:row>10</xdr:row>
      <xdr:rowOff>0</xdr:rowOff>
    </xdr:from>
    <xdr:to>
      <xdr:col>2</xdr:col>
      <xdr:colOff>1190625</xdr:colOff>
      <xdr:row>10</xdr:row>
      <xdr:rowOff>83820</xdr:rowOff>
    </xdr:to>
    <xdr:pic>
      <xdr:nvPicPr>
        <xdr:cNvPr id="11" name="Picture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1"/>
        <a:stretch>
          <a:fillRect/>
        </a:stretch>
      </xdr:blipFill>
      <xdr:spPr>
        <a:xfrm>
          <a:off x="1831975" y="3460750"/>
          <a:ext cx="0" cy="83820"/>
        </a:xfrm>
        <a:prstGeom prst="rect">
          <a:avLst/>
        </a:prstGeom>
      </xdr:spPr>
    </xdr:pic>
    <xdr:clientData/>
  </xdr:twoCellAnchor>
  <xdr:twoCellAnchor editAs="oneCell">
    <xdr:from>
      <xdr:col>2</xdr:col>
      <xdr:colOff>1028700</xdr:colOff>
      <xdr:row>11</xdr:row>
      <xdr:rowOff>0</xdr:rowOff>
    </xdr:from>
    <xdr:to>
      <xdr:col>2</xdr:col>
      <xdr:colOff>1028700</xdr:colOff>
      <xdr:row>11</xdr:row>
      <xdr:rowOff>188595</xdr:rowOff>
    </xdr:to>
    <xdr:pic>
      <xdr:nvPicPr>
        <xdr:cNvPr id="12" name="Picture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
        <a:stretch>
          <a:fillRect/>
        </a:stretch>
      </xdr:blipFill>
      <xdr:spPr>
        <a:xfrm>
          <a:off x="1670050" y="4451350"/>
          <a:ext cx="0" cy="188595"/>
        </a:xfrm>
        <a:prstGeom prst="rect">
          <a:avLst/>
        </a:prstGeom>
      </xdr:spPr>
    </xdr:pic>
    <xdr:clientData/>
  </xdr:twoCellAnchor>
  <xdr:twoCellAnchor editAs="oneCell">
    <xdr:from>
      <xdr:col>2</xdr:col>
      <xdr:colOff>1190625</xdr:colOff>
      <xdr:row>11</xdr:row>
      <xdr:rowOff>0</xdr:rowOff>
    </xdr:from>
    <xdr:to>
      <xdr:col>2</xdr:col>
      <xdr:colOff>1190625</xdr:colOff>
      <xdr:row>11</xdr:row>
      <xdr:rowOff>83820</xdr:rowOff>
    </xdr:to>
    <xdr:pic>
      <xdr:nvPicPr>
        <xdr:cNvPr id="13" name="Picture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1"/>
        <a:stretch>
          <a:fillRect/>
        </a:stretch>
      </xdr:blipFill>
      <xdr:spPr>
        <a:xfrm>
          <a:off x="1831975" y="4451350"/>
          <a:ext cx="0" cy="83820"/>
        </a:xfrm>
        <a:prstGeom prst="rect">
          <a:avLst/>
        </a:prstGeom>
      </xdr:spPr>
    </xdr:pic>
    <xdr:clientData/>
  </xdr:twoCellAnchor>
  <xdr:twoCellAnchor editAs="oneCell">
    <xdr:from>
      <xdr:col>2</xdr:col>
      <xdr:colOff>904876</xdr:colOff>
      <xdr:row>8</xdr:row>
      <xdr:rowOff>219075</xdr:rowOff>
    </xdr:from>
    <xdr:to>
      <xdr:col>2</xdr:col>
      <xdr:colOff>3152776</xdr:colOff>
      <xdr:row>8</xdr:row>
      <xdr:rowOff>843492</xdr:rowOff>
    </xdr:to>
    <xdr:pic>
      <xdr:nvPicPr>
        <xdr:cNvPr id="14" name="Picture 13">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a:ext>
          </a:extLst>
        </a:blip>
        <a:srcRect/>
        <a:stretch>
          <a:fillRect/>
        </a:stretch>
      </xdr:blipFill>
      <xdr:spPr bwMode="auto">
        <a:xfrm>
          <a:off x="1514476" y="1619250"/>
          <a:ext cx="2247900" cy="624417"/>
        </a:xfrm>
        <a:prstGeom prst="rect">
          <a:avLst/>
        </a:prstGeom>
        <a:solidFill>
          <a:srgbClr val="FFFFFF"/>
        </a:solidFill>
      </xdr:spPr>
    </xdr:pic>
    <xdr:clientData/>
  </xdr:twoCellAnchor>
  <xdr:twoCellAnchor editAs="oneCell">
    <xdr:from>
      <xdr:col>2</xdr:col>
      <xdr:colOff>904876</xdr:colOff>
      <xdr:row>9</xdr:row>
      <xdr:rowOff>152400</xdr:rowOff>
    </xdr:from>
    <xdr:to>
      <xdr:col>2</xdr:col>
      <xdr:colOff>3152776</xdr:colOff>
      <xdr:row>9</xdr:row>
      <xdr:rowOff>776817</xdr:rowOff>
    </xdr:to>
    <xdr:pic>
      <xdr:nvPicPr>
        <xdr:cNvPr id="15" name="Picture 14">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a:ext>
          </a:extLst>
        </a:blip>
        <a:srcRect/>
        <a:stretch>
          <a:fillRect/>
        </a:stretch>
      </xdr:blipFill>
      <xdr:spPr bwMode="auto">
        <a:xfrm>
          <a:off x="1514476" y="2543175"/>
          <a:ext cx="2247900" cy="624417"/>
        </a:xfrm>
        <a:prstGeom prst="rect">
          <a:avLst/>
        </a:prstGeom>
        <a:solidFill>
          <a:srgbClr val="FFFFFF"/>
        </a:solidFill>
      </xdr:spPr>
    </xdr:pic>
    <xdr:clientData/>
  </xdr:twoCellAnchor>
  <xdr:twoCellAnchor editAs="oneCell">
    <xdr:from>
      <xdr:col>2</xdr:col>
      <xdr:colOff>1495425</xdr:colOff>
      <xdr:row>10</xdr:row>
      <xdr:rowOff>38100</xdr:rowOff>
    </xdr:from>
    <xdr:to>
      <xdr:col>2</xdr:col>
      <xdr:colOff>3086100</xdr:colOff>
      <xdr:row>10</xdr:row>
      <xdr:rowOff>967861</xdr:rowOff>
    </xdr:to>
    <xdr:pic>
      <xdr:nvPicPr>
        <xdr:cNvPr id="16" name="Picture 15">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3" cstate="email">
          <a:extLst>
            <a:ext uri="{28A0092B-C50C-407E-A947-70E740481C1C}">
              <a14:useLocalDpi xmlns:a14="http://schemas.microsoft.com/office/drawing/2010/main"/>
            </a:ext>
          </a:extLst>
        </a:blip>
        <a:srcRect/>
        <a:stretch>
          <a:fillRect/>
        </a:stretch>
      </xdr:blipFill>
      <xdr:spPr bwMode="auto">
        <a:xfrm>
          <a:off x="2105025" y="3419475"/>
          <a:ext cx="1590675" cy="929761"/>
        </a:xfrm>
        <a:prstGeom prst="rect">
          <a:avLst/>
        </a:prstGeom>
        <a:solidFill>
          <a:srgbClr val="FFFFFF"/>
        </a:solidFill>
      </xdr:spPr>
    </xdr:pic>
    <xdr:clientData/>
  </xdr:twoCellAnchor>
  <xdr:twoCellAnchor editAs="oneCell">
    <xdr:from>
      <xdr:col>2</xdr:col>
      <xdr:colOff>1447800</xdr:colOff>
      <xdr:row>11</xdr:row>
      <xdr:rowOff>38100</xdr:rowOff>
    </xdr:from>
    <xdr:to>
      <xdr:col>2</xdr:col>
      <xdr:colOff>2971800</xdr:colOff>
      <xdr:row>11</xdr:row>
      <xdr:rowOff>928889</xdr:rowOff>
    </xdr:to>
    <xdr:pic>
      <xdr:nvPicPr>
        <xdr:cNvPr id="17" name="Picture 16">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4" cstate="email">
          <a:extLst>
            <a:ext uri="{28A0092B-C50C-407E-A947-70E740481C1C}">
              <a14:useLocalDpi xmlns:a14="http://schemas.microsoft.com/office/drawing/2010/main"/>
            </a:ext>
          </a:extLst>
        </a:blip>
        <a:srcRect/>
        <a:stretch>
          <a:fillRect/>
        </a:stretch>
      </xdr:blipFill>
      <xdr:spPr bwMode="auto">
        <a:xfrm>
          <a:off x="2057400" y="4410075"/>
          <a:ext cx="1524000" cy="890789"/>
        </a:xfrm>
        <a:prstGeom prst="rect">
          <a:avLst/>
        </a:prstGeom>
        <a:solidFill>
          <a:srgbClr val="FFFFFF"/>
        </a:solidFill>
      </xdr:spPr>
    </xdr:pic>
    <xdr:clientData/>
  </xdr:twoCellAnchor>
  <xdr:twoCellAnchor editAs="oneCell">
    <xdr:from>
      <xdr:col>2</xdr:col>
      <xdr:colOff>1800226</xdr:colOff>
      <xdr:row>14</xdr:row>
      <xdr:rowOff>47625</xdr:rowOff>
    </xdr:from>
    <xdr:to>
      <xdr:col>2</xdr:col>
      <xdr:colOff>2714626</xdr:colOff>
      <xdr:row>14</xdr:row>
      <xdr:rowOff>1230966</xdr:rowOff>
    </xdr:to>
    <xdr:pic>
      <xdr:nvPicPr>
        <xdr:cNvPr id="18" name="Picture 17">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5" cstate="email">
          <a:extLst>
            <a:ext uri="{28A0092B-C50C-407E-A947-70E740481C1C}">
              <a14:useLocalDpi xmlns:a14="http://schemas.microsoft.com/office/drawing/2010/main"/>
            </a:ext>
          </a:extLst>
        </a:blip>
        <a:srcRect/>
        <a:stretch>
          <a:fillRect/>
        </a:stretch>
      </xdr:blipFill>
      <xdr:spPr bwMode="auto">
        <a:xfrm>
          <a:off x="2409826" y="5791200"/>
          <a:ext cx="914400" cy="1183341"/>
        </a:xfrm>
        <a:prstGeom prst="rect">
          <a:avLst/>
        </a:prstGeom>
        <a:solidFill>
          <a:srgbClr val="FFFFFF"/>
        </a:solidFill>
      </xdr:spPr>
    </xdr:pic>
    <xdr:clientData/>
  </xdr:twoCellAnchor>
  <xdr:twoCellAnchor editAs="oneCell">
    <xdr:from>
      <xdr:col>2</xdr:col>
      <xdr:colOff>1962150</xdr:colOff>
      <xdr:row>15</xdr:row>
      <xdr:rowOff>38100</xdr:rowOff>
    </xdr:from>
    <xdr:to>
      <xdr:col>2</xdr:col>
      <xdr:colOff>2476500</xdr:colOff>
      <xdr:row>15</xdr:row>
      <xdr:rowOff>871702</xdr:rowOff>
    </xdr:to>
    <xdr:pic>
      <xdr:nvPicPr>
        <xdr:cNvPr id="19" name="Picture 18">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6" cstate="email">
          <a:extLst>
            <a:ext uri="{28A0092B-C50C-407E-A947-70E740481C1C}">
              <a14:useLocalDpi xmlns:a14="http://schemas.microsoft.com/office/drawing/2010/main"/>
            </a:ext>
          </a:extLst>
        </a:blip>
        <a:srcRect/>
        <a:stretch>
          <a:fillRect/>
        </a:stretch>
      </xdr:blipFill>
      <xdr:spPr bwMode="auto">
        <a:xfrm>
          <a:off x="2571750" y="7077075"/>
          <a:ext cx="514350" cy="833602"/>
        </a:xfrm>
        <a:prstGeom prst="rect">
          <a:avLst/>
        </a:prstGeom>
        <a:solidFill>
          <a:srgbClr val="FFFFFF"/>
        </a:solidFill>
      </xdr:spPr>
    </xdr:pic>
    <xdr:clientData/>
  </xdr:twoCellAnchor>
  <xdr:twoCellAnchor editAs="oneCell">
    <xdr:from>
      <xdr:col>2</xdr:col>
      <xdr:colOff>1952625</xdr:colOff>
      <xdr:row>16</xdr:row>
      <xdr:rowOff>57150</xdr:rowOff>
    </xdr:from>
    <xdr:to>
      <xdr:col>2</xdr:col>
      <xdr:colOff>2400301</xdr:colOff>
      <xdr:row>17</xdr:row>
      <xdr:rowOff>2</xdr:rowOff>
    </xdr:to>
    <xdr:pic>
      <xdr:nvPicPr>
        <xdr:cNvPr id="20" name="Picture 19">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bwMode="auto">
        <a:xfrm>
          <a:off x="2562225" y="8048625"/>
          <a:ext cx="447676" cy="895352"/>
        </a:xfrm>
        <a:prstGeom prst="rect">
          <a:avLst/>
        </a:prstGeom>
        <a:solidFill>
          <a:srgbClr val="FFFFFF"/>
        </a:solidFill>
      </xdr:spPr>
    </xdr:pic>
    <xdr:clientData/>
  </xdr:twoCellAnchor>
  <xdr:twoCellAnchor editAs="oneCell">
    <xdr:from>
      <xdr:col>2</xdr:col>
      <xdr:colOff>1790700</xdr:colOff>
      <xdr:row>17</xdr:row>
      <xdr:rowOff>38100</xdr:rowOff>
    </xdr:from>
    <xdr:to>
      <xdr:col>2</xdr:col>
      <xdr:colOff>2409825</xdr:colOff>
      <xdr:row>17</xdr:row>
      <xdr:rowOff>933450</xdr:rowOff>
    </xdr:to>
    <xdr:pic>
      <xdr:nvPicPr>
        <xdr:cNvPr id="21" name="Picture 20">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8" cstate="email">
          <a:extLst>
            <a:ext uri="{28A0092B-C50C-407E-A947-70E740481C1C}">
              <a14:useLocalDpi xmlns:a14="http://schemas.microsoft.com/office/drawing/2010/main"/>
            </a:ext>
          </a:extLst>
        </a:blip>
        <a:srcRect/>
        <a:stretch>
          <a:fillRect/>
        </a:stretch>
      </xdr:blipFill>
      <xdr:spPr bwMode="auto">
        <a:xfrm>
          <a:off x="2400300" y="8982075"/>
          <a:ext cx="619125" cy="895350"/>
        </a:xfrm>
        <a:prstGeom prst="rect">
          <a:avLst/>
        </a:prstGeom>
        <a:solidFill>
          <a:srgbClr val="FFFFFF"/>
        </a:solidFill>
      </xdr:spPr>
    </xdr:pic>
    <xdr:clientData/>
  </xdr:twoCellAnchor>
  <xdr:twoCellAnchor>
    <xdr:from>
      <xdr:col>2</xdr:col>
      <xdr:colOff>1885950</xdr:colOff>
      <xdr:row>20</xdr:row>
      <xdr:rowOff>11479</xdr:rowOff>
    </xdr:from>
    <xdr:to>
      <xdr:col>2</xdr:col>
      <xdr:colOff>2562225</xdr:colOff>
      <xdr:row>20</xdr:row>
      <xdr:rowOff>1060572</xdr:rowOff>
    </xdr:to>
    <xdr:pic>
      <xdr:nvPicPr>
        <xdr:cNvPr id="22" name="Picture 21">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9" cstate="email">
          <a:extLst>
            <a:ext uri="{28A0092B-C50C-407E-A947-70E740481C1C}">
              <a14:useLocalDpi xmlns:a14="http://schemas.microsoft.com/office/drawing/2010/main"/>
            </a:ext>
          </a:extLst>
        </a:blip>
        <a:srcRect/>
        <a:stretch>
          <a:fillRect/>
        </a:stretch>
      </xdr:blipFill>
      <xdr:spPr bwMode="auto">
        <a:xfrm>
          <a:off x="2495550" y="10412779"/>
          <a:ext cx="676275" cy="1049093"/>
        </a:xfrm>
        <a:prstGeom prst="rect">
          <a:avLst/>
        </a:prstGeom>
        <a:solidFill>
          <a:srgbClr val="FFFFFF"/>
        </a:solidFill>
      </xdr:spPr>
    </xdr:pic>
    <xdr:clientData/>
  </xdr:twoCellAnchor>
  <xdr:twoCellAnchor editAs="oneCell">
    <xdr:from>
      <xdr:col>2</xdr:col>
      <xdr:colOff>1866900</xdr:colOff>
      <xdr:row>21</xdr:row>
      <xdr:rowOff>57151</xdr:rowOff>
    </xdr:from>
    <xdr:to>
      <xdr:col>2</xdr:col>
      <xdr:colOff>2394062</xdr:colOff>
      <xdr:row>21</xdr:row>
      <xdr:rowOff>1066801</xdr:rowOff>
    </xdr:to>
    <xdr:pic>
      <xdr:nvPicPr>
        <xdr:cNvPr id="23" name="Picture 22">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bwMode="auto">
        <a:xfrm>
          <a:off x="2476500" y="11572876"/>
          <a:ext cx="527162" cy="1009650"/>
        </a:xfrm>
        <a:prstGeom prst="rect">
          <a:avLst/>
        </a:prstGeom>
        <a:solidFill>
          <a:srgbClr val="FFFFFF"/>
        </a:solidFill>
      </xdr:spPr>
    </xdr:pic>
    <xdr:clientData/>
  </xdr:twoCellAnchor>
  <xdr:twoCellAnchor editAs="oneCell">
    <xdr:from>
      <xdr:col>2</xdr:col>
      <xdr:colOff>1504950</xdr:colOff>
      <xdr:row>23</xdr:row>
      <xdr:rowOff>28575</xdr:rowOff>
    </xdr:from>
    <xdr:to>
      <xdr:col>2</xdr:col>
      <xdr:colOff>2009775</xdr:colOff>
      <xdr:row>23</xdr:row>
      <xdr:rowOff>1084968</xdr:rowOff>
    </xdr:to>
    <xdr:pic>
      <xdr:nvPicPr>
        <xdr:cNvPr id="24" name="Picture 23">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1" cstate="email">
          <a:extLst>
            <a:ext uri="{28A0092B-C50C-407E-A947-70E740481C1C}">
              <a14:useLocalDpi xmlns:a14="http://schemas.microsoft.com/office/drawing/2010/main"/>
            </a:ext>
          </a:extLst>
        </a:blip>
        <a:srcRect/>
        <a:stretch>
          <a:fillRect/>
        </a:stretch>
      </xdr:blipFill>
      <xdr:spPr bwMode="auto">
        <a:xfrm>
          <a:off x="2146300" y="13674725"/>
          <a:ext cx="504825" cy="1056393"/>
        </a:xfrm>
        <a:prstGeom prst="rect">
          <a:avLst/>
        </a:prstGeom>
        <a:solidFill>
          <a:srgbClr val="FFFFFF"/>
        </a:solidFill>
      </xdr:spPr>
    </xdr:pic>
    <xdr:clientData/>
  </xdr:twoCellAnchor>
  <xdr:twoCellAnchor editAs="oneCell">
    <xdr:from>
      <xdr:col>2</xdr:col>
      <xdr:colOff>981075</xdr:colOff>
      <xdr:row>25</xdr:row>
      <xdr:rowOff>85725</xdr:rowOff>
    </xdr:from>
    <xdr:to>
      <xdr:col>2</xdr:col>
      <xdr:colOff>2443443</xdr:colOff>
      <xdr:row>25</xdr:row>
      <xdr:rowOff>942975</xdr:rowOff>
    </xdr:to>
    <xdr:pic>
      <xdr:nvPicPr>
        <xdr:cNvPr id="25" name="Picture 24">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a:ext>
          </a:extLst>
        </a:blip>
        <a:srcRect/>
        <a:stretch>
          <a:fillRect/>
        </a:stretch>
      </xdr:blipFill>
      <xdr:spPr bwMode="auto">
        <a:xfrm>
          <a:off x="1622425" y="15954375"/>
          <a:ext cx="1462368" cy="857250"/>
        </a:xfrm>
        <a:prstGeom prst="rect">
          <a:avLst/>
        </a:prstGeom>
        <a:solidFill>
          <a:srgbClr val="FFFFFF"/>
        </a:solidFill>
      </xdr:spPr>
    </xdr:pic>
    <xdr:clientData/>
  </xdr:twoCellAnchor>
  <xdr:twoCellAnchor editAs="oneCell">
    <xdr:from>
      <xdr:col>2</xdr:col>
      <xdr:colOff>1019175</xdr:colOff>
      <xdr:row>27</xdr:row>
      <xdr:rowOff>60638</xdr:rowOff>
    </xdr:from>
    <xdr:to>
      <xdr:col>2</xdr:col>
      <xdr:colOff>2190750</xdr:colOff>
      <xdr:row>27</xdr:row>
      <xdr:rowOff>1001198</xdr:rowOff>
    </xdr:to>
    <xdr:pic>
      <xdr:nvPicPr>
        <xdr:cNvPr id="26" name="Picture 25">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bwMode="auto">
        <a:xfrm>
          <a:off x="1660525" y="18151788"/>
          <a:ext cx="1171575" cy="940560"/>
        </a:xfrm>
        <a:prstGeom prst="rect">
          <a:avLst/>
        </a:prstGeom>
        <a:solidFill>
          <a:srgbClr val="FFFFFF"/>
        </a:solidFill>
      </xdr:spPr>
    </xdr:pic>
    <xdr:clientData/>
  </xdr:twoCellAnchor>
  <xdr:twoCellAnchor editAs="oneCell">
    <xdr:from>
      <xdr:col>2</xdr:col>
      <xdr:colOff>1457325</xdr:colOff>
      <xdr:row>22</xdr:row>
      <xdr:rowOff>19050</xdr:rowOff>
    </xdr:from>
    <xdr:to>
      <xdr:col>2</xdr:col>
      <xdr:colOff>2019300</xdr:colOff>
      <xdr:row>22</xdr:row>
      <xdr:rowOff>1095375</xdr:rowOff>
    </xdr:to>
    <xdr:pic>
      <xdr:nvPicPr>
        <xdr:cNvPr id="27" name="Picture 26">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4" cstate="email">
          <a:extLst>
            <a:ext uri="{28A0092B-C50C-407E-A947-70E740481C1C}">
              <a14:useLocalDpi xmlns:a14="http://schemas.microsoft.com/office/drawing/2010/main"/>
            </a:ext>
          </a:extLst>
        </a:blip>
        <a:srcRect/>
        <a:stretch>
          <a:fillRect/>
        </a:stretch>
      </xdr:blipFill>
      <xdr:spPr bwMode="auto">
        <a:xfrm>
          <a:off x="2098675" y="12553950"/>
          <a:ext cx="561975" cy="1076325"/>
        </a:xfrm>
        <a:prstGeom prst="rect">
          <a:avLst/>
        </a:prstGeom>
        <a:solidFill>
          <a:srgbClr val="FFFFFF"/>
        </a:solidFill>
      </xdr:spPr>
    </xdr:pic>
    <xdr:clientData/>
  </xdr:twoCellAnchor>
  <xdr:twoCellAnchor editAs="oneCell">
    <xdr:from>
      <xdr:col>2</xdr:col>
      <xdr:colOff>1476375</xdr:colOff>
      <xdr:row>24</xdr:row>
      <xdr:rowOff>57150</xdr:rowOff>
    </xdr:from>
    <xdr:to>
      <xdr:col>2</xdr:col>
      <xdr:colOff>1981200</xdr:colOff>
      <xdr:row>25</xdr:row>
      <xdr:rowOff>2293</xdr:rowOff>
    </xdr:to>
    <xdr:pic>
      <xdr:nvPicPr>
        <xdr:cNvPr id="28" name="Picture 27">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1" cstate="email">
          <a:extLst>
            <a:ext uri="{28A0092B-C50C-407E-A947-70E740481C1C}">
              <a14:useLocalDpi xmlns:a14="http://schemas.microsoft.com/office/drawing/2010/main"/>
            </a:ext>
          </a:extLst>
        </a:blip>
        <a:srcRect/>
        <a:stretch>
          <a:fillRect/>
        </a:stretch>
      </xdr:blipFill>
      <xdr:spPr bwMode="auto">
        <a:xfrm>
          <a:off x="2117725" y="14814550"/>
          <a:ext cx="504825" cy="1056393"/>
        </a:xfrm>
        <a:prstGeom prst="rect">
          <a:avLst/>
        </a:prstGeom>
        <a:solidFill>
          <a:srgbClr val="FFFFFF"/>
        </a:solidFill>
      </xdr:spPr>
    </xdr:pic>
    <xdr:clientData/>
  </xdr:twoCellAnchor>
  <xdr:twoCellAnchor>
    <xdr:from>
      <xdr:col>2</xdr:col>
      <xdr:colOff>923925</xdr:colOff>
      <xdr:row>26</xdr:row>
      <xdr:rowOff>114300</xdr:rowOff>
    </xdr:from>
    <xdr:to>
      <xdr:col>2</xdr:col>
      <xdr:colOff>2386293</xdr:colOff>
      <xdr:row>26</xdr:row>
      <xdr:rowOff>971550</xdr:rowOff>
    </xdr:to>
    <xdr:pic>
      <xdr:nvPicPr>
        <xdr:cNvPr id="29" name="Picture 28">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a:ext>
          </a:extLst>
        </a:blip>
        <a:srcRect/>
        <a:stretch>
          <a:fillRect/>
        </a:stretch>
      </xdr:blipFill>
      <xdr:spPr bwMode="auto">
        <a:xfrm>
          <a:off x="1565275" y="17094200"/>
          <a:ext cx="1462368" cy="857250"/>
        </a:xfrm>
        <a:prstGeom prst="rect">
          <a:avLst/>
        </a:prstGeom>
        <a:solidFill>
          <a:srgbClr val="FFFFFF"/>
        </a:solidFill>
      </xdr:spPr>
    </xdr:pic>
    <xdr:clientData/>
  </xdr:twoCellAnchor>
  <xdr:twoCellAnchor editAs="oneCell">
    <xdr:from>
      <xdr:col>2</xdr:col>
      <xdr:colOff>1228725</xdr:colOff>
      <xdr:row>33</xdr:row>
      <xdr:rowOff>16401</xdr:rowOff>
    </xdr:from>
    <xdr:to>
      <xdr:col>2</xdr:col>
      <xdr:colOff>3159955</xdr:colOff>
      <xdr:row>34</xdr:row>
      <xdr:rowOff>0</xdr:rowOff>
    </xdr:to>
    <xdr:pic>
      <xdr:nvPicPr>
        <xdr:cNvPr id="30" name="Picture 29">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5" cstate="email">
          <a:extLst>
            <a:ext uri="{28A0092B-C50C-407E-A947-70E740481C1C}">
              <a14:useLocalDpi xmlns:a14="http://schemas.microsoft.com/office/drawing/2010/main"/>
            </a:ext>
          </a:extLst>
        </a:blip>
        <a:srcRect/>
        <a:stretch>
          <a:fillRect/>
        </a:stretch>
      </xdr:blipFill>
      <xdr:spPr bwMode="auto">
        <a:xfrm>
          <a:off x="1870075" y="20806301"/>
          <a:ext cx="1931230" cy="828149"/>
        </a:xfrm>
        <a:prstGeom prst="rect">
          <a:avLst/>
        </a:prstGeom>
        <a:solidFill>
          <a:srgbClr val="FFFFFF"/>
        </a:solidFill>
      </xdr:spPr>
    </xdr:pic>
    <xdr:clientData/>
  </xdr:twoCellAnchor>
  <xdr:twoCellAnchor editAs="oneCell">
    <xdr:from>
      <xdr:col>2</xdr:col>
      <xdr:colOff>1552576</xdr:colOff>
      <xdr:row>36</xdr:row>
      <xdr:rowOff>66675</xdr:rowOff>
    </xdr:from>
    <xdr:to>
      <xdr:col>2</xdr:col>
      <xdr:colOff>2447926</xdr:colOff>
      <xdr:row>36</xdr:row>
      <xdr:rowOff>839932</xdr:rowOff>
    </xdr:to>
    <xdr:pic>
      <xdr:nvPicPr>
        <xdr:cNvPr id="31" name="Picture 30">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bwMode="auto">
        <a:xfrm>
          <a:off x="2193926" y="22056725"/>
          <a:ext cx="895350" cy="773257"/>
        </a:xfrm>
        <a:prstGeom prst="rect">
          <a:avLst/>
        </a:prstGeom>
        <a:solidFill>
          <a:srgbClr val="FFFFFF"/>
        </a:solid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59580</xdr:colOff>
      <xdr:row>1</xdr:row>
      <xdr:rowOff>21167</xdr:rowOff>
    </xdr:from>
    <xdr:to>
      <xdr:col>0</xdr:col>
      <xdr:colOff>593449</xdr:colOff>
      <xdr:row>3</xdr:row>
      <xdr:rowOff>91722</xdr:rowOff>
    </xdr:to>
    <xdr:pic>
      <xdr:nvPicPr>
        <xdr:cNvPr id="4" name="Graphic 3" descr="Books on Shelf">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xdr:blipFill>
      <xdr:spPr>
        <a:xfrm>
          <a:off x="59580" y="177957"/>
          <a:ext cx="533869" cy="525246"/>
        </a:xfrm>
        <a:prstGeom prst="rect">
          <a:avLst/>
        </a:prstGeom>
      </xdr:spPr>
    </xdr:pic>
    <xdr:clientData/>
  </xdr:twoCellAnchor>
  <xdr:twoCellAnchor>
    <xdr:from>
      <xdr:col>6</xdr:col>
      <xdr:colOff>421701</xdr:colOff>
      <xdr:row>103</xdr:row>
      <xdr:rowOff>146635</xdr:rowOff>
    </xdr:from>
    <xdr:to>
      <xdr:col>9</xdr:col>
      <xdr:colOff>332945</xdr:colOff>
      <xdr:row>119</xdr:row>
      <xdr:rowOff>28424</xdr:rowOff>
    </xdr:to>
    <xdr:grpSp>
      <xdr:nvGrpSpPr>
        <xdr:cNvPr id="5" name="Group 4">
          <a:extLst>
            <a:ext uri="{FF2B5EF4-FFF2-40B4-BE49-F238E27FC236}">
              <a16:creationId xmlns:a16="http://schemas.microsoft.com/office/drawing/2014/main" id="{00000000-0008-0000-0800-000005000000}"/>
            </a:ext>
          </a:extLst>
        </xdr:cNvPr>
        <xdr:cNvGrpSpPr/>
      </xdr:nvGrpSpPr>
      <xdr:grpSpPr>
        <a:xfrm>
          <a:off x="5132991" y="19206877"/>
          <a:ext cx="2522938" cy="2503724"/>
          <a:chOff x="1275524" y="9602304"/>
          <a:chExt cx="2639392" cy="2390430"/>
        </a:xfrm>
      </xdr:grpSpPr>
      <xdr:grpSp>
        <xdr:nvGrpSpPr>
          <xdr:cNvPr id="6" name="Group 5">
            <a:extLst>
              <a:ext uri="{FF2B5EF4-FFF2-40B4-BE49-F238E27FC236}">
                <a16:creationId xmlns:a16="http://schemas.microsoft.com/office/drawing/2014/main" id="{00000000-0008-0000-0800-000006000000}"/>
              </a:ext>
            </a:extLst>
          </xdr:cNvPr>
          <xdr:cNvGrpSpPr/>
        </xdr:nvGrpSpPr>
        <xdr:grpSpPr>
          <a:xfrm>
            <a:off x="1275524" y="9602304"/>
            <a:ext cx="2639392" cy="2030416"/>
            <a:chOff x="1750393" y="9795566"/>
            <a:chExt cx="2639392" cy="2030416"/>
          </a:xfrm>
        </xdr:grpSpPr>
        <xdr:pic>
          <xdr:nvPicPr>
            <xdr:cNvPr id="8" name="Picture 7" descr="file:///C:/Users/trentm/Desktop/Library/Marketing/Advertising/Presenter%20Media/shipping_box_closed_1600_clr_17464.png">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3" cstate="hqprint">
              <a:extLst>
                <a:ext uri="{28A0092B-C50C-407E-A947-70E740481C1C}">
                  <a14:useLocalDpi xmlns:a14="http://schemas.microsoft.com/office/drawing/2010/main"/>
                </a:ext>
              </a:extLst>
            </a:blip>
            <a:srcRect/>
            <a:stretch>
              <a:fillRect/>
            </a:stretch>
          </xdr:blipFill>
          <xdr:spPr bwMode="auto">
            <a:xfrm>
              <a:off x="2054086" y="9795566"/>
              <a:ext cx="1838739" cy="2030416"/>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Arrow: Right 8">
              <a:extLst>
                <a:ext uri="{FF2B5EF4-FFF2-40B4-BE49-F238E27FC236}">
                  <a16:creationId xmlns:a16="http://schemas.microsoft.com/office/drawing/2014/main" id="{00000000-0008-0000-0800-000009000000}"/>
                </a:ext>
              </a:extLst>
            </xdr:cNvPr>
            <xdr:cNvSpPr/>
          </xdr:nvSpPr>
          <xdr:spPr>
            <a:xfrm rot="700390">
              <a:off x="1750393" y="9856303"/>
              <a:ext cx="519044" cy="281608"/>
            </a:xfrm>
            <a:prstGeom prst="rightArrow">
              <a:avLst/>
            </a:prstGeom>
            <a:solidFill>
              <a:schemeClr val="accent4">
                <a:lumMod val="60000"/>
                <a:lumOff val="40000"/>
              </a:schemeClr>
            </a:solidFill>
            <a:ln>
              <a:noFill/>
            </a:ln>
            <a:effectLst>
              <a:outerShdw blurRad="127000" dist="38100" dir="2700000" algn="ctr">
                <a:srgbClr val="000000">
                  <a:alpha val="45000"/>
                </a:srgbClr>
              </a:outerShdw>
            </a:effectLst>
            <a:scene3d>
              <a:camera prst="perspectiveFront" fov="2700000">
                <a:rot lat="20376000" lon="1938000" rev="20112001"/>
              </a:camera>
              <a:lightRig rig="soft" dir="t">
                <a:rot lat="0" lon="0" rev="0"/>
              </a:lightRig>
            </a:scene3d>
            <a:sp3d prstMaterial="translucentPowder">
              <a:bevelT w="203200" h="50800" prst="softRound"/>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AU" sz="1100"/>
            </a:p>
          </xdr:txBody>
        </xdr:sp>
        <xdr:sp macro="" textlink="">
          <xdr:nvSpPr>
            <xdr:cNvPr id="10" name="Arrow: Right 9">
              <a:extLst>
                <a:ext uri="{FF2B5EF4-FFF2-40B4-BE49-F238E27FC236}">
                  <a16:creationId xmlns:a16="http://schemas.microsoft.com/office/drawing/2014/main" id="{00000000-0008-0000-0800-00000A000000}"/>
                </a:ext>
              </a:extLst>
            </xdr:cNvPr>
            <xdr:cNvSpPr/>
          </xdr:nvSpPr>
          <xdr:spPr>
            <a:xfrm rot="11727138">
              <a:off x="3870741" y="11126307"/>
              <a:ext cx="519044" cy="281608"/>
            </a:xfrm>
            <a:prstGeom prst="rightArrow">
              <a:avLst/>
            </a:prstGeom>
            <a:solidFill>
              <a:schemeClr val="accent4">
                <a:lumMod val="60000"/>
                <a:lumOff val="40000"/>
              </a:schemeClr>
            </a:solidFill>
            <a:ln>
              <a:noFill/>
            </a:ln>
            <a:effectLst>
              <a:outerShdw blurRad="127000" dist="38100" dir="2700000" algn="ctr">
                <a:srgbClr val="000000">
                  <a:alpha val="45000"/>
                </a:srgbClr>
              </a:outerShdw>
            </a:effectLst>
            <a:scene3d>
              <a:camera prst="perspectiveFront" fov="2700000">
                <a:rot lat="20376000" lon="1938000" rev="20112001"/>
              </a:camera>
              <a:lightRig rig="soft" dir="t">
                <a:rot lat="0" lon="0" rev="0"/>
              </a:lightRig>
            </a:scene3d>
            <a:sp3d prstMaterial="translucentPowder">
              <a:bevelT w="203200" h="50800" prst="softRound"/>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AU" sz="1100"/>
            </a:p>
          </xdr:txBody>
        </xdr:sp>
        <xdr:grpSp>
          <xdr:nvGrpSpPr>
            <xdr:cNvPr id="11" name="Group 10">
              <a:extLst>
                <a:ext uri="{FF2B5EF4-FFF2-40B4-BE49-F238E27FC236}">
                  <a16:creationId xmlns:a16="http://schemas.microsoft.com/office/drawing/2014/main" id="{00000000-0008-0000-0800-00000B000000}"/>
                </a:ext>
              </a:extLst>
            </xdr:cNvPr>
            <xdr:cNvGrpSpPr/>
          </xdr:nvGrpSpPr>
          <xdr:grpSpPr>
            <a:xfrm rot="19671766">
              <a:off x="2530059" y="10061713"/>
              <a:ext cx="455044" cy="307817"/>
              <a:chOff x="5024784" y="10779347"/>
              <a:chExt cx="1043608" cy="914400"/>
            </a:xfrm>
            <a:scene3d>
              <a:camera prst="orthographicFront">
                <a:rot lat="0" lon="0" rev="0"/>
              </a:camera>
              <a:lightRig rig="chilly" dir="t">
                <a:rot lat="0" lon="0" rev="18480000"/>
              </a:lightRig>
            </a:scene3d>
          </xdr:grpSpPr>
          <xdr:sp macro="" textlink="">
            <xdr:nvSpPr>
              <xdr:cNvPr id="18" name="Rectangle 17">
                <a:extLst>
                  <a:ext uri="{FF2B5EF4-FFF2-40B4-BE49-F238E27FC236}">
                    <a16:creationId xmlns:a16="http://schemas.microsoft.com/office/drawing/2014/main" id="{00000000-0008-0000-0800-000012000000}"/>
                  </a:ext>
                </a:extLst>
              </xdr:cNvPr>
              <xdr:cNvSpPr/>
            </xdr:nvSpPr>
            <xdr:spPr>
              <a:xfrm>
                <a:off x="5024784" y="10877827"/>
                <a:ext cx="1043608" cy="712303"/>
              </a:xfrm>
              <a:prstGeom prst="rect">
                <a:avLst/>
              </a:prstGeom>
              <a:solidFill>
                <a:schemeClr val="bg1"/>
              </a:solidFill>
              <a:ln>
                <a:noFill/>
              </a:ln>
              <a:effectLst/>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19" name="Graphic 18" descr="Barcode">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a:ext>
                  <a:ext uri="{96DAC541-7B7A-43D3-8B79-37D633B846F1}">
                    <asvg:svgBlip xmlns:asvg="http://schemas.microsoft.com/office/drawing/2016/SVG/main" r:embed="rId5"/>
                  </a:ext>
                </a:extLst>
              </a:blip>
              <a:stretch>
                <a:fillRect/>
              </a:stretch>
            </xdr:blipFill>
            <xdr:spPr>
              <a:xfrm>
                <a:off x="5080912" y="10779347"/>
                <a:ext cx="914400" cy="914400"/>
              </a:xfrm>
              <a:prstGeom prst="rect">
                <a:avLst/>
              </a:prstGeom>
              <a:ln>
                <a:noFill/>
              </a:ln>
              <a:effectLst/>
              <a:sp3d prstMaterial="clear">
                <a:bevelT h="63500"/>
              </a:sp3d>
            </xdr:spPr>
          </xdr:pic>
        </xdr:grpSp>
        <xdr:cxnSp macro="">
          <xdr:nvCxnSpPr>
            <xdr:cNvPr id="12" name="Straight Connector 11">
              <a:extLst>
                <a:ext uri="{FF2B5EF4-FFF2-40B4-BE49-F238E27FC236}">
                  <a16:creationId xmlns:a16="http://schemas.microsoft.com/office/drawing/2014/main" id="{00000000-0008-0000-0800-00000C000000}"/>
                </a:ext>
              </a:extLst>
            </xdr:cNvPr>
            <xdr:cNvCxnSpPr/>
          </xdr:nvCxnSpPr>
          <xdr:spPr>
            <a:xfrm flipV="1">
              <a:off x="2335696" y="10529958"/>
              <a:ext cx="674913" cy="408607"/>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00000000-0008-0000-0800-00000D000000}"/>
                </a:ext>
              </a:extLst>
            </xdr:cNvPr>
            <xdr:cNvCxnSpPr/>
          </xdr:nvCxnSpPr>
          <xdr:spPr>
            <a:xfrm>
              <a:off x="2998306" y="10535477"/>
              <a:ext cx="745433" cy="430697"/>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grpSp>
          <xdr:nvGrpSpPr>
            <xdr:cNvPr id="14" name="Group 13">
              <a:extLst>
                <a:ext uri="{FF2B5EF4-FFF2-40B4-BE49-F238E27FC236}">
                  <a16:creationId xmlns:a16="http://schemas.microsoft.com/office/drawing/2014/main" id="{00000000-0008-0000-0800-00000E000000}"/>
                </a:ext>
              </a:extLst>
            </xdr:cNvPr>
            <xdr:cNvGrpSpPr/>
          </xdr:nvGrpSpPr>
          <xdr:grpSpPr>
            <a:xfrm rot="19854786">
              <a:off x="3205921" y="10566399"/>
              <a:ext cx="455044" cy="307817"/>
              <a:chOff x="5024784" y="10779347"/>
              <a:chExt cx="1043608" cy="914400"/>
            </a:xfrm>
          </xdr:grpSpPr>
          <xdr:sp macro="" textlink="">
            <xdr:nvSpPr>
              <xdr:cNvPr id="16" name="Rectangle 15">
                <a:extLst>
                  <a:ext uri="{FF2B5EF4-FFF2-40B4-BE49-F238E27FC236}">
                    <a16:creationId xmlns:a16="http://schemas.microsoft.com/office/drawing/2014/main" id="{00000000-0008-0000-0800-000010000000}"/>
                  </a:ext>
                </a:extLst>
              </xdr:cNvPr>
              <xdr:cNvSpPr/>
            </xdr:nvSpPr>
            <xdr:spPr>
              <a:xfrm>
                <a:off x="5024784" y="10877827"/>
                <a:ext cx="1043608" cy="712303"/>
              </a:xfrm>
              <a:prstGeom prst="rect">
                <a:avLst/>
              </a:prstGeom>
              <a:solidFill>
                <a:schemeClr val="bg1"/>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17" name="Graphic 16" descr="Barcode">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a:ext>
                  <a:ext uri="{96DAC541-7B7A-43D3-8B79-37D633B846F1}">
                    <asvg:svgBlip xmlns:asvg="http://schemas.microsoft.com/office/drawing/2016/SVG/main" r:embed="rId5"/>
                  </a:ext>
                </a:extLst>
              </a:blip>
              <a:stretch>
                <a:fillRect/>
              </a:stretch>
            </xdr:blipFill>
            <xdr:spPr>
              <a:xfrm>
                <a:off x="5080912" y="10779347"/>
                <a:ext cx="914400" cy="914400"/>
              </a:xfrm>
              <a:prstGeom prst="rect">
                <a:avLst/>
              </a:prstGeom>
            </xdr:spPr>
          </xdr:pic>
        </xdr:grpSp>
        <xdr:cxnSp macro="">
          <xdr:nvCxnSpPr>
            <xdr:cNvPr id="15" name="Straight Connector 14">
              <a:extLst>
                <a:ext uri="{FF2B5EF4-FFF2-40B4-BE49-F238E27FC236}">
                  <a16:creationId xmlns:a16="http://schemas.microsoft.com/office/drawing/2014/main" id="{00000000-0008-0000-0800-00000F000000}"/>
                </a:ext>
              </a:extLst>
            </xdr:cNvPr>
            <xdr:cNvCxnSpPr/>
          </xdr:nvCxnSpPr>
          <xdr:spPr>
            <a:xfrm flipH="1" flipV="1">
              <a:off x="3020391" y="9823175"/>
              <a:ext cx="11043" cy="723347"/>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2092739" y="11728174"/>
            <a:ext cx="105451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b="1"/>
              <a:t>Opposite Sides</a:t>
            </a:r>
          </a:p>
        </xdr:txBody>
      </xdr:sp>
    </xdr:grpSp>
    <xdr:clientData/>
  </xdr:twoCellAnchor>
  <xdr:twoCellAnchor>
    <xdr:from>
      <xdr:col>10</xdr:col>
      <xdr:colOff>75676</xdr:colOff>
      <xdr:row>103</xdr:row>
      <xdr:rowOff>141112</xdr:rowOff>
    </xdr:from>
    <xdr:to>
      <xdr:col>12</xdr:col>
      <xdr:colOff>785313</xdr:colOff>
      <xdr:row>119</xdr:row>
      <xdr:rowOff>22902</xdr:rowOff>
    </xdr:to>
    <xdr:grpSp>
      <xdr:nvGrpSpPr>
        <xdr:cNvPr id="20" name="Group 19">
          <a:extLst>
            <a:ext uri="{FF2B5EF4-FFF2-40B4-BE49-F238E27FC236}">
              <a16:creationId xmlns:a16="http://schemas.microsoft.com/office/drawing/2014/main" id="{00000000-0008-0000-0800-000014000000}"/>
            </a:ext>
          </a:extLst>
        </xdr:cNvPr>
        <xdr:cNvGrpSpPr/>
      </xdr:nvGrpSpPr>
      <xdr:grpSpPr>
        <a:xfrm>
          <a:off x="8269224" y="19201354"/>
          <a:ext cx="2450766" cy="2503725"/>
          <a:chOff x="4732684" y="9646477"/>
          <a:chExt cx="2528402" cy="2390431"/>
        </a:xfrm>
      </xdr:grpSpPr>
      <xdr:grpSp>
        <xdr:nvGrpSpPr>
          <xdr:cNvPr id="21" name="Group 20">
            <a:extLst>
              <a:ext uri="{FF2B5EF4-FFF2-40B4-BE49-F238E27FC236}">
                <a16:creationId xmlns:a16="http://schemas.microsoft.com/office/drawing/2014/main" id="{00000000-0008-0000-0800-000015000000}"/>
              </a:ext>
            </a:extLst>
          </xdr:cNvPr>
          <xdr:cNvGrpSpPr/>
        </xdr:nvGrpSpPr>
        <xdr:grpSpPr>
          <a:xfrm>
            <a:off x="4732684" y="9646477"/>
            <a:ext cx="2528402" cy="2030416"/>
            <a:chOff x="5605118" y="9729304"/>
            <a:chExt cx="2528402" cy="2030416"/>
          </a:xfrm>
        </xdr:grpSpPr>
        <xdr:pic>
          <xdr:nvPicPr>
            <xdr:cNvPr id="23" name="Picture 22" descr="file:///C:/Users/trentm/Desktop/Library/Marketing/Advertising/Presenter%20Media/shipping_box_closed_1600_clr_17464.png">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3" cstate="hqprint">
              <a:extLst>
                <a:ext uri="{28A0092B-C50C-407E-A947-70E740481C1C}">
                  <a14:useLocalDpi xmlns:a14="http://schemas.microsoft.com/office/drawing/2010/main"/>
                </a:ext>
              </a:extLst>
            </a:blip>
            <a:srcRect/>
            <a:stretch>
              <a:fillRect/>
            </a:stretch>
          </xdr:blipFill>
          <xdr:spPr bwMode="auto">
            <a:xfrm>
              <a:off x="5770218" y="9729304"/>
              <a:ext cx="1838739" cy="2030416"/>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 name="Arrow: Right 23">
              <a:extLst>
                <a:ext uri="{FF2B5EF4-FFF2-40B4-BE49-F238E27FC236}">
                  <a16:creationId xmlns:a16="http://schemas.microsoft.com/office/drawing/2014/main" id="{00000000-0008-0000-0800-000018000000}"/>
                </a:ext>
              </a:extLst>
            </xdr:cNvPr>
            <xdr:cNvSpPr/>
          </xdr:nvSpPr>
          <xdr:spPr>
            <a:xfrm rot="11727138">
              <a:off x="7614476" y="10977218"/>
              <a:ext cx="519044" cy="281608"/>
            </a:xfrm>
            <a:prstGeom prst="rightArrow">
              <a:avLst/>
            </a:prstGeom>
            <a:solidFill>
              <a:schemeClr val="accent4">
                <a:lumMod val="60000"/>
                <a:lumOff val="40000"/>
              </a:schemeClr>
            </a:solidFill>
            <a:ln>
              <a:noFill/>
            </a:ln>
            <a:effectLst>
              <a:outerShdw blurRad="127000" dist="38100" dir="2700000" algn="ctr">
                <a:srgbClr val="000000">
                  <a:alpha val="45000"/>
                </a:srgbClr>
              </a:outerShdw>
            </a:effectLst>
            <a:scene3d>
              <a:camera prst="perspectiveFront" fov="2700000">
                <a:rot lat="20376000" lon="1938000" rev="20112001"/>
              </a:camera>
              <a:lightRig rig="soft" dir="t">
                <a:rot lat="0" lon="0" rev="0"/>
              </a:lightRig>
            </a:scene3d>
            <a:sp3d prstMaterial="translucentPowder">
              <a:bevelT w="203200" h="50800" prst="softRound"/>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AU" sz="1100"/>
            </a:p>
          </xdr:txBody>
        </xdr:sp>
        <xdr:sp macro="" textlink="">
          <xdr:nvSpPr>
            <xdr:cNvPr id="25" name="Arrow: Right 24">
              <a:extLst>
                <a:ext uri="{FF2B5EF4-FFF2-40B4-BE49-F238E27FC236}">
                  <a16:creationId xmlns:a16="http://schemas.microsoft.com/office/drawing/2014/main" id="{00000000-0008-0000-0800-000019000000}"/>
                </a:ext>
              </a:extLst>
            </xdr:cNvPr>
            <xdr:cNvSpPr/>
          </xdr:nvSpPr>
          <xdr:spPr>
            <a:xfrm rot="18870078">
              <a:off x="5486400" y="11173789"/>
              <a:ext cx="519044" cy="281608"/>
            </a:xfrm>
            <a:prstGeom prst="rightArrow">
              <a:avLst/>
            </a:prstGeom>
            <a:solidFill>
              <a:schemeClr val="accent4">
                <a:lumMod val="60000"/>
                <a:lumOff val="40000"/>
              </a:schemeClr>
            </a:solidFill>
            <a:ln>
              <a:noFill/>
            </a:ln>
            <a:effectLst>
              <a:outerShdw blurRad="127000" dist="38100" dir="2700000" algn="ctr">
                <a:srgbClr val="000000">
                  <a:alpha val="45000"/>
                </a:srgbClr>
              </a:outerShdw>
            </a:effectLst>
            <a:scene3d>
              <a:camera prst="perspectiveFront" fov="2700000">
                <a:rot lat="20376000" lon="1938000" rev="20112001"/>
              </a:camera>
              <a:lightRig rig="soft" dir="t">
                <a:rot lat="0" lon="0" rev="0"/>
              </a:lightRig>
            </a:scene3d>
            <a:sp3d prstMaterial="translucentPowder">
              <a:bevelT w="203200" h="50800" prst="softRound"/>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AU" sz="1100"/>
            </a:p>
          </xdr:txBody>
        </xdr:sp>
        <xdr:grpSp>
          <xdr:nvGrpSpPr>
            <xdr:cNvPr id="26" name="Group 25">
              <a:extLst>
                <a:ext uri="{FF2B5EF4-FFF2-40B4-BE49-F238E27FC236}">
                  <a16:creationId xmlns:a16="http://schemas.microsoft.com/office/drawing/2014/main" id="{00000000-0008-0000-0800-00001A000000}"/>
                </a:ext>
              </a:extLst>
            </xdr:cNvPr>
            <xdr:cNvGrpSpPr/>
          </xdr:nvGrpSpPr>
          <xdr:grpSpPr>
            <a:xfrm rot="19854786">
              <a:off x="6935304" y="10535477"/>
              <a:ext cx="455044" cy="307817"/>
              <a:chOff x="5024784" y="10779347"/>
              <a:chExt cx="1043608" cy="914400"/>
            </a:xfrm>
          </xdr:grpSpPr>
          <xdr:sp macro="" textlink="">
            <xdr:nvSpPr>
              <xdr:cNvPr id="30" name="Rectangle 29">
                <a:extLst>
                  <a:ext uri="{FF2B5EF4-FFF2-40B4-BE49-F238E27FC236}">
                    <a16:creationId xmlns:a16="http://schemas.microsoft.com/office/drawing/2014/main" id="{00000000-0008-0000-0800-00001E000000}"/>
                  </a:ext>
                </a:extLst>
              </xdr:cNvPr>
              <xdr:cNvSpPr/>
            </xdr:nvSpPr>
            <xdr:spPr>
              <a:xfrm>
                <a:off x="5024784" y="10877827"/>
                <a:ext cx="1043608" cy="712303"/>
              </a:xfrm>
              <a:prstGeom prst="rect">
                <a:avLst/>
              </a:prstGeom>
              <a:solidFill>
                <a:schemeClr val="bg1"/>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31" name="Graphic 30" descr="Barcode">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a:ext>
                  <a:ext uri="{96DAC541-7B7A-43D3-8B79-37D633B846F1}">
                    <asvg:svgBlip xmlns:asvg="http://schemas.microsoft.com/office/drawing/2016/SVG/main" r:embed="rId5"/>
                  </a:ext>
                </a:extLst>
              </a:blip>
              <a:stretch>
                <a:fillRect/>
              </a:stretch>
            </xdr:blipFill>
            <xdr:spPr>
              <a:xfrm>
                <a:off x="5080912" y="10779347"/>
                <a:ext cx="914400" cy="914400"/>
              </a:xfrm>
              <a:prstGeom prst="rect">
                <a:avLst/>
              </a:prstGeom>
            </xdr:spPr>
          </xdr:pic>
        </xdr:grpSp>
        <xdr:grpSp>
          <xdr:nvGrpSpPr>
            <xdr:cNvPr id="27" name="Group 26">
              <a:extLst>
                <a:ext uri="{FF2B5EF4-FFF2-40B4-BE49-F238E27FC236}">
                  <a16:creationId xmlns:a16="http://schemas.microsoft.com/office/drawing/2014/main" id="{00000000-0008-0000-0800-00001B000000}"/>
                </a:ext>
              </a:extLst>
            </xdr:cNvPr>
            <xdr:cNvGrpSpPr/>
          </xdr:nvGrpSpPr>
          <xdr:grpSpPr>
            <a:xfrm rot="1664080">
              <a:off x="6183241" y="10550938"/>
              <a:ext cx="455044" cy="307817"/>
              <a:chOff x="5024784" y="10779347"/>
              <a:chExt cx="1043608" cy="914400"/>
            </a:xfrm>
          </xdr:grpSpPr>
          <xdr:sp macro="" textlink="">
            <xdr:nvSpPr>
              <xdr:cNvPr id="28" name="Rectangle 27">
                <a:extLst>
                  <a:ext uri="{FF2B5EF4-FFF2-40B4-BE49-F238E27FC236}">
                    <a16:creationId xmlns:a16="http://schemas.microsoft.com/office/drawing/2014/main" id="{00000000-0008-0000-0800-00001C000000}"/>
                  </a:ext>
                </a:extLst>
              </xdr:cNvPr>
              <xdr:cNvSpPr/>
            </xdr:nvSpPr>
            <xdr:spPr>
              <a:xfrm>
                <a:off x="5024784" y="10877827"/>
                <a:ext cx="1043608" cy="712303"/>
              </a:xfrm>
              <a:prstGeom prst="rect">
                <a:avLst/>
              </a:prstGeom>
              <a:solidFill>
                <a:schemeClr val="bg1"/>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29" name="Graphic 28" descr="Barcode">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a:ext>
                  <a:ext uri="{96DAC541-7B7A-43D3-8B79-37D633B846F1}">
                    <asvg:svgBlip xmlns:asvg="http://schemas.microsoft.com/office/drawing/2016/SVG/main" r:embed="rId5"/>
                  </a:ext>
                </a:extLst>
              </a:blip>
              <a:stretch>
                <a:fillRect/>
              </a:stretch>
            </xdr:blipFill>
            <xdr:spPr>
              <a:xfrm>
                <a:off x="5080912" y="10779347"/>
                <a:ext cx="914400" cy="914400"/>
              </a:xfrm>
              <a:prstGeom prst="rect">
                <a:avLst/>
              </a:prstGeom>
            </xdr:spPr>
          </xdr:pic>
        </xdr:grpSp>
      </xdr:grpSp>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5483087" y="11772348"/>
            <a:ext cx="104252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b="1"/>
              <a:t>Adjacent Sides</a:t>
            </a:r>
          </a:p>
        </xdr:txBody>
      </xdr:sp>
    </xdr:grpSp>
    <xdr:clientData/>
  </xdr:twoCellAnchor>
  <xdr:twoCellAnchor>
    <xdr:from>
      <xdr:col>3</xdr:col>
      <xdr:colOff>493888</xdr:colOff>
      <xdr:row>104</xdr:row>
      <xdr:rowOff>94759</xdr:rowOff>
    </xdr:from>
    <xdr:to>
      <xdr:col>6</xdr:col>
      <xdr:colOff>101439</xdr:colOff>
      <xdr:row>119</xdr:row>
      <xdr:rowOff>6336</xdr:rowOff>
    </xdr:to>
    <xdr:grpSp>
      <xdr:nvGrpSpPr>
        <xdr:cNvPr id="32" name="Group 31">
          <a:extLst>
            <a:ext uri="{FF2B5EF4-FFF2-40B4-BE49-F238E27FC236}">
              <a16:creationId xmlns:a16="http://schemas.microsoft.com/office/drawing/2014/main" id="{00000000-0008-0000-0800-000020000000}"/>
            </a:ext>
          </a:extLst>
        </xdr:cNvPr>
        <xdr:cNvGrpSpPr/>
      </xdr:nvGrpSpPr>
      <xdr:grpSpPr>
        <a:xfrm>
          <a:off x="2593485" y="19318872"/>
          <a:ext cx="2219244" cy="2369641"/>
          <a:chOff x="7818780" y="9591261"/>
          <a:chExt cx="2335699" cy="2263429"/>
        </a:xfrm>
      </xdr:grpSpPr>
      <xdr:grpSp>
        <xdr:nvGrpSpPr>
          <xdr:cNvPr id="33" name="Group 32">
            <a:extLst>
              <a:ext uri="{FF2B5EF4-FFF2-40B4-BE49-F238E27FC236}">
                <a16:creationId xmlns:a16="http://schemas.microsoft.com/office/drawing/2014/main" id="{00000000-0008-0000-0800-000021000000}"/>
              </a:ext>
            </a:extLst>
          </xdr:cNvPr>
          <xdr:cNvGrpSpPr/>
        </xdr:nvGrpSpPr>
        <xdr:grpSpPr>
          <a:xfrm>
            <a:off x="7818780" y="9591261"/>
            <a:ext cx="2335699" cy="2030416"/>
            <a:chOff x="2054086" y="9795566"/>
            <a:chExt cx="2335699" cy="2030416"/>
          </a:xfrm>
        </xdr:grpSpPr>
        <xdr:pic>
          <xdr:nvPicPr>
            <xdr:cNvPr id="35" name="Picture 34" descr="file:///C:/Users/trentm/Desktop/Library/Marketing/Advertising/Presenter%20Media/shipping_box_closed_1600_clr_17464.png">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3" cstate="hqprint">
              <a:extLst>
                <a:ext uri="{28A0092B-C50C-407E-A947-70E740481C1C}">
                  <a14:useLocalDpi xmlns:a14="http://schemas.microsoft.com/office/drawing/2010/main"/>
                </a:ext>
              </a:extLst>
            </a:blip>
            <a:srcRect/>
            <a:stretch>
              <a:fillRect/>
            </a:stretch>
          </xdr:blipFill>
          <xdr:spPr bwMode="auto">
            <a:xfrm>
              <a:off x="2054086" y="9795566"/>
              <a:ext cx="1838739" cy="2030416"/>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6" name="Arrow: Right 35">
              <a:extLst>
                <a:ext uri="{FF2B5EF4-FFF2-40B4-BE49-F238E27FC236}">
                  <a16:creationId xmlns:a16="http://schemas.microsoft.com/office/drawing/2014/main" id="{00000000-0008-0000-0800-000024000000}"/>
                </a:ext>
              </a:extLst>
            </xdr:cNvPr>
            <xdr:cNvSpPr/>
          </xdr:nvSpPr>
          <xdr:spPr>
            <a:xfrm rot="11727138">
              <a:off x="3870741" y="11126307"/>
              <a:ext cx="519044" cy="281608"/>
            </a:xfrm>
            <a:prstGeom prst="rightArrow">
              <a:avLst/>
            </a:prstGeom>
            <a:solidFill>
              <a:schemeClr val="accent4">
                <a:lumMod val="60000"/>
                <a:lumOff val="40000"/>
              </a:schemeClr>
            </a:solidFill>
            <a:ln>
              <a:noFill/>
            </a:ln>
            <a:effectLst>
              <a:outerShdw blurRad="127000" dist="38100" dir="2700000" algn="ctr">
                <a:srgbClr val="000000">
                  <a:alpha val="45000"/>
                </a:srgbClr>
              </a:outerShdw>
            </a:effectLst>
            <a:scene3d>
              <a:camera prst="perspectiveFront" fov="2700000">
                <a:rot lat="20376000" lon="1938000" rev="20112001"/>
              </a:camera>
              <a:lightRig rig="soft" dir="t">
                <a:rot lat="0" lon="0" rev="0"/>
              </a:lightRig>
            </a:scene3d>
            <a:sp3d prstMaterial="translucentPowder">
              <a:bevelT w="203200" h="50800" prst="softRound"/>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AU" sz="1100"/>
            </a:p>
          </xdr:txBody>
        </xdr:sp>
        <xdr:cxnSp macro="">
          <xdr:nvCxnSpPr>
            <xdr:cNvPr id="37" name="Straight Connector 36">
              <a:extLst>
                <a:ext uri="{FF2B5EF4-FFF2-40B4-BE49-F238E27FC236}">
                  <a16:creationId xmlns:a16="http://schemas.microsoft.com/office/drawing/2014/main" id="{00000000-0008-0000-0800-000025000000}"/>
                </a:ext>
              </a:extLst>
            </xdr:cNvPr>
            <xdr:cNvCxnSpPr/>
          </xdr:nvCxnSpPr>
          <xdr:spPr>
            <a:xfrm flipV="1">
              <a:off x="2335696" y="10529958"/>
              <a:ext cx="674913" cy="408607"/>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00000000-0008-0000-0800-000026000000}"/>
                </a:ext>
              </a:extLst>
            </xdr:cNvPr>
            <xdr:cNvCxnSpPr/>
          </xdr:nvCxnSpPr>
          <xdr:spPr>
            <a:xfrm>
              <a:off x="2998306" y="10535477"/>
              <a:ext cx="745433" cy="430697"/>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grpSp>
          <xdr:nvGrpSpPr>
            <xdr:cNvPr id="39" name="Group 38">
              <a:extLst>
                <a:ext uri="{FF2B5EF4-FFF2-40B4-BE49-F238E27FC236}">
                  <a16:creationId xmlns:a16="http://schemas.microsoft.com/office/drawing/2014/main" id="{00000000-0008-0000-0800-000027000000}"/>
                </a:ext>
              </a:extLst>
            </xdr:cNvPr>
            <xdr:cNvGrpSpPr/>
          </xdr:nvGrpSpPr>
          <xdr:grpSpPr>
            <a:xfrm rot="19854786">
              <a:off x="3205921" y="10566399"/>
              <a:ext cx="455044" cy="307817"/>
              <a:chOff x="5024784" y="10779347"/>
              <a:chExt cx="1043608" cy="914400"/>
            </a:xfrm>
          </xdr:grpSpPr>
          <xdr:sp macro="" textlink="">
            <xdr:nvSpPr>
              <xdr:cNvPr id="41" name="Rectangle 40">
                <a:extLst>
                  <a:ext uri="{FF2B5EF4-FFF2-40B4-BE49-F238E27FC236}">
                    <a16:creationId xmlns:a16="http://schemas.microsoft.com/office/drawing/2014/main" id="{00000000-0008-0000-0800-000029000000}"/>
                  </a:ext>
                </a:extLst>
              </xdr:cNvPr>
              <xdr:cNvSpPr/>
            </xdr:nvSpPr>
            <xdr:spPr>
              <a:xfrm>
                <a:off x="5024784" y="10877827"/>
                <a:ext cx="1043608" cy="712303"/>
              </a:xfrm>
              <a:prstGeom prst="rect">
                <a:avLst/>
              </a:prstGeom>
              <a:solidFill>
                <a:schemeClr val="bg1"/>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42" name="Graphic 41" descr="Barcode">
                <a:extLst>
                  <a:ext uri="{FF2B5EF4-FFF2-40B4-BE49-F238E27FC236}">
                    <a16:creationId xmlns:a16="http://schemas.microsoft.com/office/drawing/2014/main" id="{00000000-0008-0000-0800-00002A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a:ext>
                  <a:ext uri="{96DAC541-7B7A-43D3-8B79-37D633B846F1}">
                    <asvg:svgBlip xmlns:asvg="http://schemas.microsoft.com/office/drawing/2016/SVG/main" r:embed="rId5"/>
                  </a:ext>
                </a:extLst>
              </a:blip>
              <a:stretch>
                <a:fillRect/>
              </a:stretch>
            </xdr:blipFill>
            <xdr:spPr>
              <a:xfrm>
                <a:off x="5080912" y="10779347"/>
                <a:ext cx="914400" cy="914400"/>
              </a:xfrm>
              <a:prstGeom prst="rect">
                <a:avLst/>
              </a:prstGeom>
            </xdr:spPr>
          </xdr:pic>
        </xdr:grpSp>
        <xdr:cxnSp macro="">
          <xdr:nvCxnSpPr>
            <xdr:cNvPr id="40" name="Straight Connector 39">
              <a:extLst>
                <a:ext uri="{FF2B5EF4-FFF2-40B4-BE49-F238E27FC236}">
                  <a16:creationId xmlns:a16="http://schemas.microsoft.com/office/drawing/2014/main" id="{00000000-0008-0000-0800-000028000000}"/>
                </a:ext>
              </a:extLst>
            </xdr:cNvPr>
            <xdr:cNvCxnSpPr/>
          </xdr:nvCxnSpPr>
          <xdr:spPr>
            <a:xfrm flipH="1" flipV="1">
              <a:off x="3020391" y="9823175"/>
              <a:ext cx="11043" cy="723347"/>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 name="TextBox 33">
            <a:extLst>
              <a:ext uri="{FF2B5EF4-FFF2-40B4-BE49-F238E27FC236}">
                <a16:creationId xmlns:a16="http://schemas.microsoft.com/office/drawing/2014/main" id="{00000000-0008-0000-0800-000022000000}"/>
              </a:ext>
            </a:extLst>
          </xdr:cNvPr>
          <xdr:cNvSpPr txBox="1"/>
        </xdr:nvSpPr>
        <xdr:spPr>
          <a:xfrm>
            <a:off x="8492433" y="11590130"/>
            <a:ext cx="81419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b="1"/>
              <a:t>Single Side</a:t>
            </a:r>
          </a:p>
        </xdr:txBody>
      </xdr:sp>
    </xdr:grpSp>
    <xdr:clientData/>
  </xdr:twoCellAnchor>
  <xdr:twoCellAnchor>
    <xdr:from>
      <xdr:col>4</xdr:col>
      <xdr:colOff>0</xdr:colOff>
      <xdr:row>127</xdr:row>
      <xdr:rowOff>1298</xdr:rowOff>
    </xdr:from>
    <xdr:to>
      <xdr:col>5</xdr:col>
      <xdr:colOff>1705</xdr:colOff>
      <xdr:row>134</xdr:row>
      <xdr:rowOff>156719</xdr:rowOff>
    </xdr:to>
    <xdr:grpSp>
      <xdr:nvGrpSpPr>
        <xdr:cNvPr id="43" name="Group 42">
          <a:extLst>
            <a:ext uri="{FF2B5EF4-FFF2-40B4-BE49-F238E27FC236}">
              <a16:creationId xmlns:a16="http://schemas.microsoft.com/office/drawing/2014/main" id="{00000000-0008-0000-0800-00002B000000}"/>
            </a:ext>
          </a:extLst>
        </xdr:cNvPr>
        <xdr:cNvGrpSpPr/>
      </xdr:nvGrpSpPr>
      <xdr:grpSpPr>
        <a:xfrm>
          <a:off x="2970161" y="22994443"/>
          <a:ext cx="872270" cy="1302518"/>
          <a:chOff x="2020956" y="10618304"/>
          <a:chExt cx="911088" cy="1252952"/>
        </a:xfrm>
      </xdr:grpSpPr>
      <xdr:pic>
        <xdr:nvPicPr>
          <xdr:cNvPr id="44" name="Graphic 43" descr="Box">
            <a:extLst>
              <a:ext uri="{FF2B5EF4-FFF2-40B4-BE49-F238E27FC236}">
                <a16:creationId xmlns:a16="http://schemas.microsoft.com/office/drawing/2014/main" id="{00000000-0008-0000-0800-00002C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a:ext>
              <a:ext uri="{96DAC541-7B7A-43D3-8B79-37D633B846F1}">
                <asvg:svgBlip xmlns:asvg="http://schemas.microsoft.com/office/drawing/2016/SVG/main" r:embed="rId7"/>
              </a:ext>
            </a:extLst>
          </a:blip>
          <a:stretch>
            <a:fillRect/>
          </a:stretch>
        </xdr:blipFill>
        <xdr:spPr>
          <a:xfrm>
            <a:off x="2020956" y="10618304"/>
            <a:ext cx="911088" cy="911088"/>
          </a:xfrm>
          <a:prstGeom prst="rect">
            <a:avLst/>
          </a:prstGeom>
        </xdr:spPr>
      </xdr:pic>
      <xdr:sp macro="" textlink="">
        <xdr:nvSpPr>
          <xdr:cNvPr id="45" name="TextBox 44">
            <a:extLst>
              <a:ext uri="{FF2B5EF4-FFF2-40B4-BE49-F238E27FC236}">
                <a16:creationId xmlns:a16="http://schemas.microsoft.com/office/drawing/2014/main" id="{00000000-0008-0000-0800-00002D000000}"/>
              </a:ext>
            </a:extLst>
          </xdr:cNvPr>
          <xdr:cNvSpPr txBox="1"/>
        </xdr:nvSpPr>
        <xdr:spPr>
          <a:xfrm>
            <a:off x="2164522" y="11606696"/>
            <a:ext cx="57240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t>Carton</a:t>
            </a:r>
          </a:p>
        </xdr:txBody>
      </xdr:sp>
    </xdr:grpSp>
    <xdr:clientData/>
  </xdr:twoCellAnchor>
  <xdr:twoCellAnchor>
    <xdr:from>
      <xdr:col>6</xdr:col>
      <xdr:colOff>340043</xdr:colOff>
      <xdr:row>127</xdr:row>
      <xdr:rowOff>0</xdr:rowOff>
    </xdr:from>
    <xdr:to>
      <xdr:col>7</xdr:col>
      <xdr:colOff>264634</xdr:colOff>
      <xdr:row>135</xdr:row>
      <xdr:rowOff>22016</xdr:rowOff>
    </xdr:to>
    <xdr:grpSp>
      <xdr:nvGrpSpPr>
        <xdr:cNvPr id="46" name="Group 45">
          <a:extLst>
            <a:ext uri="{FF2B5EF4-FFF2-40B4-BE49-F238E27FC236}">
              <a16:creationId xmlns:a16="http://schemas.microsoft.com/office/drawing/2014/main" id="{00000000-0008-0000-0800-00002E000000}"/>
            </a:ext>
          </a:extLst>
        </xdr:cNvPr>
        <xdr:cNvGrpSpPr/>
      </xdr:nvGrpSpPr>
      <xdr:grpSpPr>
        <a:xfrm>
          <a:off x="5051333" y="22993145"/>
          <a:ext cx="795156" cy="1332984"/>
          <a:chOff x="3887112" y="10594920"/>
          <a:chExt cx="833974" cy="1276337"/>
        </a:xfrm>
      </xdr:grpSpPr>
      <xdr:grpSp>
        <xdr:nvGrpSpPr>
          <xdr:cNvPr id="47" name="Group 46">
            <a:extLst>
              <a:ext uri="{FF2B5EF4-FFF2-40B4-BE49-F238E27FC236}">
                <a16:creationId xmlns:a16="http://schemas.microsoft.com/office/drawing/2014/main" id="{00000000-0008-0000-0800-00002F000000}"/>
              </a:ext>
            </a:extLst>
          </xdr:cNvPr>
          <xdr:cNvGrpSpPr/>
        </xdr:nvGrpSpPr>
        <xdr:grpSpPr>
          <a:xfrm>
            <a:off x="3887112" y="10594920"/>
            <a:ext cx="833974" cy="962080"/>
            <a:chOff x="3605504" y="10589398"/>
            <a:chExt cx="833974" cy="962080"/>
          </a:xfrm>
        </xdr:grpSpPr>
        <xdr:sp macro="" textlink="">
          <xdr:nvSpPr>
            <xdr:cNvPr id="49" name="Rectangle 10">
              <a:extLst>
                <a:ext uri="{FF2B5EF4-FFF2-40B4-BE49-F238E27FC236}">
                  <a16:creationId xmlns:a16="http://schemas.microsoft.com/office/drawing/2014/main" id="{00000000-0008-0000-0800-000031000000}"/>
                </a:ext>
              </a:extLst>
            </xdr:cNvPr>
            <xdr:cNvSpPr/>
          </xdr:nvSpPr>
          <xdr:spPr>
            <a:xfrm>
              <a:off x="3638827" y="11026914"/>
              <a:ext cx="800651" cy="524564"/>
            </a:xfrm>
            <a:custGeom>
              <a:avLst/>
              <a:gdLst>
                <a:gd name="connsiteX0" fmla="*/ 0 w 673653"/>
                <a:gd name="connsiteY0" fmla="*/ 0 h 535608"/>
                <a:gd name="connsiteX1" fmla="*/ 673653 w 673653"/>
                <a:gd name="connsiteY1" fmla="*/ 0 h 535608"/>
                <a:gd name="connsiteX2" fmla="*/ 673653 w 673653"/>
                <a:gd name="connsiteY2" fmla="*/ 535608 h 535608"/>
                <a:gd name="connsiteX3" fmla="*/ 0 w 673653"/>
                <a:gd name="connsiteY3" fmla="*/ 535608 h 535608"/>
                <a:gd name="connsiteX4" fmla="*/ 0 w 673653"/>
                <a:gd name="connsiteY4" fmla="*/ 0 h 535608"/>
                <a:gd name="connsiteX0" fmla="*/ 375478 w 673653"/>
                <a:gd name="connsiteY0" fmla="*/ 138044 h 535608"/>
                <a:gd name="connsiteX1" fmla="*/ 673653 w 673653"/>
                <a:gd name="connsiteY1" fmla="*/ 0 h 535608"/>
                <a:gd name="connsiteX2" fmla="*/ 673653 w 673653"/>
                <a:gd name="connsiteY2" fmla="*/ 535608 h 535608"/>
                <a:gd name="connsiteX3" fmla="*/ 0 w 673653"/>
                <a:gd name="connsiteY3" fmla="*/ 535608 h 535608"/>
                <a:gd name="connsiteX4" fmla="*/ 375478 w 673653"/>
                <a:gd name="connsiteY4" fmla="*/ 138044 h 535608"/>
                <a:gd name="connsiteX0" fmla="*/ 419652 w 673653"/>
                <a:gd name="connsiteY0" fmla="*/ 231914 h 535608"/>
                <a:gd name="connsiteX1" fmla="*/ 673653 w 673653"/>
                <a:gd name="connsiteY1" fmla="*/ 0 h 535608"/>
                <a:gd name="connsiteX2" fmla="*/ 673653 w 673653"/>
                <a:gd name="connsiteY2" fmla="*/ 535608 h 535608"/>
                <a:gd name="connsiteX3" fmla="*/ 0 w 673653"/>
                <a:gd name="connsiteY3" fmla="*/ 535608 h 535608"/>
                <a:gd name="connsiteX4" fmla="*/ 419652 w 673653"/>
                <a:gd name="connsiteY4" fmla="*/ 231914 h 535608"/>
                <a:gd name="connsiteX0" fmla="*/ 419652 w 673653"/>
                <a:gd name="connsiteY0" fmla="*/ 231914 h 844826"/>
                <a:gd name="connsiteX1" fmla="*/ 673653 w 673653"/>
                <a:gd name="connsiteY1" fmla="*/ 0 h 844826"/>
                <a:gd name="connsiteX2" fmla="*/ 458305 w 673653"/>
                <a:gd name="connsiteY2" fmla="*/ 844826 h 844826"/>
                <a:gd name="connsiteX3" fmla="*/ 0 w 673653"/>
                <a:gd name="connsiteY3" fmla="*/ 535608 h 844826"/>
                <a:gd name="connsiteX4" fmla="*/ 419652 w 673653"/>
                <a:gd name="connsiteY4" fmla="*/ 231914 h 844826"/>
                <a:gd name="connsiteX0" fmla="*/ 419652 w 960783"/>
                <a:gd name="connsiteY0" fmla="*/ 0 h 612912"/>
                <a:gd name="connsiteX1" fmla="*/ 960783 w 960783"/>
                <a:gd name="connsiteY1" fmla="*/ 187739 h 612912"/>
                <a:gd name="connsiteX2" fmla="*/ 458305 w 960783"/>
                <a:gd name="connsiteY2" fmla="*/ 612912 h 612912"/>
                <a:gd name="connsiteX3" fmla="*/ 0 w 960783"/>
                <a:gd name="connsiteY3" fmla="*/ 303694 h 612912"/>
                <a:gd name="connsiteX4" fmla="*/ 419652 w 960783"/>
                <a:gd name="connsiteY4" fmla="*/ 0 h 612912"/>
                <a:gd name="connsiteX0" fmla="*/ 419652 w 911087"/>
                <a:gd name="connsiteY0" fmla="*/ 0 h 612912"/>
                <a:gd name="connsiteX1" fmla="*/ 911087 w 911087"/>
                <a:gd name="connsiteY1" fmla="*/ 176696 h 612912"/>
                <a:gd name="connsiteX2" fmla="*/ 458305 w 911087"/>
                <a:gd name="connsiteY2" fmla="*/ 612912 h 612912"/>
                <a:gd name="connsiteX3" fmla="*/ 0 w 911087"/>
                <a:gd name="connsiteY3" fmla="*/ 303694 h 612912"/>
                <a:gd name="connsiteX4" fmla="*/ 419652 w 911087"/>
                <a:gd name="connsiteY4" fmla="*/ 0 h 612912"/>
                <a:gd name="connsiteX0" fmla="*/ 320261 w 911087"/>
                <a:gd name="connsiteY0" fmla="*/ 0 h 563216"/>
                <a:gd name="connsiteX1" fmla="*/ 911087 w 911087"/>
                <a:gd name="connsiteY1" fmla="*/ 127000 h 563216"/>
                <a:gd name="connsiteX2" fmla="*/ 458305 w 911087"/>
                <a:gd name="connsiteY2" fmla="*/ 563216 h 563216"/>
                <a:gd name="connsiteX3" fmla="*/ 0 w 911087"/>
                <a:gd name="connsiteY3" fmla="*/ 253998 h 563216"/>
                <a:gd name="connsiteX4" fmla="*/ 320261 w 911087"/>
                <a:gd name="connsiteY4" fmla="*/ 0 h 563216"/>
                <a:gd name="connsiteX0" fmla="*/ 320261 w 773043"/>
                <a:gd name="connsiteY0" fmla="*/ 0 h 563216"/>
                <a:gd name="connsiteX1" fmla="*/ 773043 w 773043"/>
                <a:gd name="connsiteY1" fmla="*/ 248478 h 563216"/>
                <a:gd name="connsiteX2" fmla="*/ 458305 w 773043"/>
                <a:gd name="connsiteY2" fmla="*/ 563216 h 563216"/>
                <a:gd name="connsiteX3" fmla="*/ 0 w 773043"/>
                <a:gd name="connsiteY3" fmla="*/ 253998 h 563216"/>
                <a:gd name="connsiteX4" fmla="*/ 320261 w 773043"/>
                <a:gd name="connsiteY4" fmla="*/ 0 h 563216"/>
                <a:gd name="connsiteX0" fmla="*/ 320261 w 773043"/>
                <a:gd name="connsiteY0" fmla="*/ 0 h 530086"/>
                <a:gd name="connsiteX1" fmla="*/ 773043 w 773043"/>
                <a:gd name="connsiteY1" fmla="*/ 248478 h 530086"/>
                <a:gd name="connsiteX2" fmla="*/ 325783 w 773043"/>
                <a:gd name="connsiteY2" fmla="*/ 530086 h 530086"/>
                <a:gd name="connsiteX3" fmla="*/ 0 w 773043"/>
                <a:gd name="connsiteY3" fmla="*/ 253998 h 530086"/>
                <a:gd name="connsiteX4" fmla="*/ 320261 w 773043"/>
                <a:gd name="connsiteY4" fmla="*/ 0 h 530086"/>
                <a:gd name="connsiteX0" fmla="*/ 320261 w 773043"/>
                <a:gd name="connsiteY0" fmla="*/ 0 h 524564"/>
                <a:gd name="connsiteX1" fmla="*/ 773043 w 773043"/>
                <a:gd name="connsiteY1" fmla="*/ 248478 h 524564"/>
                <a:gd name="connsiteX2" fmla="*/ 375478 w 773043"/>
                <a:gd name="connsiteY2" fmla="*/ 524564 h 524564"/>
                <a:gd name="connsiteX3" fmla="*/ 0 w 773043"/>
                <a:gd name="connsiteY3" fmla="*/ 253998 h 524564"/>
                <a:gd name="connsiteX4" fmla="*/ 320261 w 773043"/>
                <a:gd name="connsiteY4" fmla="*/ 0 h 524564"/>
                <a:gd name="connsiteX0" fmla="*/ 320261 w 822738"/>
                <a:gd name="connsiteY0" fmla="*/ 0 h 524564"/>
                <a:gd name="connsiteX1" fmla="*/ 822738 w 822738"/>
                <a:gd name="connsiteY1" fmla="*/ 248478 h 524564"/>
                <a:gd name="connsiteX2" fmla="*/ 375478 w 822738"/>
                <a:gd name="connsiteY2" fmla="*/ 524564 h 524564"/>
                <a:gd name="connsiteX3" fmla="*/ 0 w 822738"/>
                <a:gd name="connsiteY3" fmla="*/ 253998 h 524564"/>
                <a:gd name="connsiteX4" fmla="*/ 320261 w 822738"/>
                <a:gd name="connsiteY4" fmla="*/ 0 h 524564"/>
                <a:gd name="connsiteX0" fmla="*/ 320261 w 800651"/>
                <a:gd name="connsiteY0" fmla="*/ 0 h 524564"/>
                <a:gd name="connsiteX1" fmla="*/ 800651 w 800651"/>
                <a:gd name="connsiteY1" fmla="*/ 237435 h 524564"/>
                <a:gd name="connsiteX2" fmla="*/ 375478 w 800651"/>
                <a:gd name="connsiteY2" fmla="*/ 524564 h 524564"/>
                <a:gd name="connsiteX3" fmla="*/ 0 w 800651"/>
                <a:gd name="connsiteY3" fmla="*/ 253998 h 524564"/>
                <a:gd name="connsiteX4" fmla="*/ 320261 w 800651"/>
                <a:gd name="connsiteY4" fmla="*/ 0 h 52456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00651" h="524564">
                  <a:moveTo>
                    <a:pt x="320261" y="0"/>
                  </a:moveTo>
                  <a:lnTo>
                    <a:pt x="800651" y="237435"/>
                  </a:lnTo>
                  <a:lnTo>
                    <a:pt x="375478" y="524564"/>
                  </a:lnTo>
                  <a:lnTo>
                    <a:pt x="0" y="253998"/>
                  </a:lnTo>
                  <a:lnTo>
                    <a:pt x="320261" y="0"/>
                  </a:lnTo>
                  <a:close/>
                </a:path>
              </a:pathLst>
            </a:custGeom>
            <a:solidFill>
              <a:schemeClr val="bg1">
                <a:lumMod val="65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nvGrpSpPr>
            <xdr:cNvPr id="50" name="Group 49">
              <a:extLst>
                <a:ext uri="{FF2B5EF4-FFF2-40B4-BE49-F238E27FC236}">
                  <a16:creationId xmlns:a16="http://schemas.microsoft.com/office/drawing/2014/main" id="{00000000-0008-0000-0800-000032000000}"/>
                </a:ext>
              </a:extLst>
            </xdr:cNvPr>
            <xdr:cNvGrpSpPr/>
          </xdr:nvGrpSpPr>
          <xdr:grpSpPr>
            <a:xfrm>
              <a:off x="3618756" y="10795911"/>
              <a:ext cx="801949" cy="693721"/>
              <a:chOff x="4170929" y="10757260"/>
              <a:chExt cx="801949" cy="693721"/>
            </a:xfrm>
            <a:effectLst>
              <a:outerShdw blurRad="50800" dist="38100" dir="2700000" algn="tl" rotWithShape="0">
                <a:prstClr val="black">
                  <a:alpha val="40000"/>
                </a:prstClr>
              </a:outerShdw>
            </a:effectLst>
          </xdr:grpSpPr>
          <xdr:pic>
            <xdr:nvPicPr>
              <xdr:cNvPr id="56" name="Graphic 55" descr="Box">
                <a:extLst>
                  <a:ext uri="{FF2B5EF4-FFF2-40B4-BE49-F238E27FC236}">
                    <a16:creationId xmlns:a16="http://schemas.microsoft.com/office/drawing/2014/main" id="{00000000-0008-0000-0800-000038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a:ext>
                  <a:ext uri="{96DAC541-7B7A-43D3-8B79-37D633B846F1}">
                    <asvg:svgBlip xmlns:asvg="http://schemas.microsoft.com/office/drawing/2016/SVG/main" r:embed="rId9"/>
                  </a:ext>
                </a:extLst>
              </a:blip>
              <a:stretch>
                <a:fillRect/>
              </a:stretch>
            </xdr:blipFill>
            <xdr:spPr>
              <a:xfrm>
                <a:off x="4340999" y="10757260"/>
                <a:ext cx="457392" cy="457392"/>
              </a:xfrm>
              <a:prstGeom prst="rect">
                <a:avLst/>
              </a:prstGeom>
            </xdr:spPr>
          </xdr:pic>
          <xdr:pic>
            <xdr:nvPicPr>
              <xdr:cNvPr id="57" name="Graphic 56" descr="Box">
                <a:extLst>
                  <a:ext uri="{FF2B5EF4-FFF2-40B4-BE49-F238E27FC236}">
                    <a16:creationId xmlns:a16="http://schemas.microsoft.com/office/drawing/2014/main" id="{00000000-0008-0000-0800-00003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a:ext>
                  <a:ext uri="{96DAC541-7B7A-43D3-8B79-37D633B846F1}">
                    <asvg:svgBlip xmlns:asvg="http://schemas.microsoft.com/office/drawing/2016/SVG/main" r:embed="rId9"/>
                  </a:ext>
                </a:extLst>
              </a:blip>
              <a:stretch>
                <a:fillRect/>
              </a:stretch>
            </xdr:blipFill>
            <xdr:spPr>
              <a:xfrm>
                <a:off x="4515486" y="10871007"/>
                <a:ext cx="457392" cy="457392"/>
              </a:xfrm>
              <a:prstGeom prst="rect">
                <a:avLst/>
              </a:prstGeom>
            </xdr:spPr>
          </xdr:pic>
          <xdr:pic>
            <xdr:nvPicPr>
              <xdr:cNvPr id="58" name="Graphic 57" descr="Box">
                <a:extLst>
                  <a:ext uri="{FF2B5EF4-FFF2-40B4-BE49-F238E27FC236}">
                    <a16:creationId xmlns:a16="http://schemas.microsoft.com/office/drawing/2014/main" id="{00000000-0008-0000-0800-00003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a:ext>
                  <a:ext uri="{96DAC541-7B7A-43D3-8B79-37D633B846F1}">
                    <asvg:svgBlip xmlns:asvg="http://schemas.microsoft.com/office/drawing/2016/SVG/main" r:embed="rId9"/>
                  </a:ext>
                </a:extLst>
              </a:blip>
              <a:stretch>
                <a:fillRect/>
              </a:stretch>
            </xdr:blipFill>
            <xdr:spPr>
              <a:xfrm>
                <a:off x="4170929" y="10868798"/>
                <a:ext cx="457392" cy="457392"/>
              </a:xfrm>
              <a:prstGeom prst="rect">
                <a:avLst/>
              </a:prstGeom>
            </xdr:spPr>
          </xdr:pic>
          <xdr:pic>
            <xdr:nvPicPr>
              <xdr:cNvPr id="59" name="Graphic 58" descr="Box">
                <a:extLst>
                  <a:ext uri="{FF2B5EF4-FFF2-40B4-BE49-F238E27FC236}">
                    <a16:creationId xmlns:a16="http://schemas.microsoft.com/office/drawing/2014/main" id="{00000000-0008-0000-0800-00003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a:ext>
                  <a:ext uri="{96DAC541-7B7A-43D3-8B79-37D633B846F1}">
                    <asvg:svgBlip xmlns:asvg="http://schemas.microsoft.com/office/drawing/2016/SVG/main" r:embed="rId11"/>
                  </a:ext>
                </a:extLst>
              </a:blip>
              <a:stretch>
                <a:fillRect/>
              </a:stretch>
            </xdr:blipFill>
            <xdr:spPr>
              <a:xfrm>
                <a:off x="4334372" y="10993589"/>
                <a:ext cx="457392" cy="457392"/>
              </a:xfrm>
              <a:prstGeom prst="rect">
                <a:avLst/>
              </a:prstGeom>
            </xdr:spPr>
          </xdr:pic>
        </xdr:grpSp>
        <xdr:grpSp>
          <xdr:nvGrpSpPr>
            <xdr:cNvPr id="51" name="Group 50">
              <a:extLst>
                <a:ext uri="{FF2B5EF4-FFF2-40B4-BE49-F238E27FC236}">
                  <a16:creationId xmlns:a16="http://schemas.microsoft.com/office/drawing/2014/main" id="{00000000-0008-0000-0800-000033000000}"/>
                </a:ext>
              </a:extLst>
            </xdr:cNvPr>
            <xdr:cNvGrpSpPr/>
          </xdr:nvGrpSpPr>
          <xdr:grpSpPr>
            <a:xfrm>
              <a:off x="3605504" y="10589398"/>
              <a:ext cx="801949" cy="693721"/>
              <a:chOff x="4170929" y="10757260"/>
              <a:chExt cx="801949" cy="693721"/>
            </a:xfrm>
          </xdr:grpSpPr>
          <xdr:pic>
            <xdr:nvPicPr>
              <xdr:cNvPr id="52" name="Graphic 51" descr="Box">
                <a:extLst>
                  <a:ext uri="{FF2B5EF4-FFF2-40B4-BE49-F238E27FC236}">
                    <a16:creationId xmlns:a16="http://schemas.microsoft.com/office/drawing/2014/main" id="{00000000-0008-0000-0800-000034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a:ext>
                  <a:ext uri="{96DAC541-7B7A-43D3-8B79-37D633B846F1}">
                    <asvg:svgBlip xmlns:asvg="http://schemas.microsoft.com/office/drawing/2016/SVG/main" r:embed="rId9"/>
                  </a:ext>
                </a:extLst>
              </a:blip>
              <a:stretch>
                <a:fillRect/>
              </a:stretch>
            </xdr:blipFill>
            <xdr:spPr>
              <a:xfrm>
                <a:off x="4340999" y="10757260"/>
                <a:ext cx="457392" cy="457392"/>
              </a:xfrm>
              <a:prstGeom prst="rect">
                <a:avLst/>
              </a:prstGeom>
            </xdr:spPr>
          </xdr:pic>
          <xdr:pic>
            <xdr:nvPicPr>
              <xdr:cNvPr id="53" name="Graphic 52" descr="Box">
                <a:extLst>
                  <a:ext uri="{FF2B5EF4-FFF2-40B4-BE49-F238E27FC236}">
                    <a16:creationId xmlns:a16="http://schemas.microsoft.com/office/drawing/2014/main" id="{00000000-0008-0000-0800-00003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a:ext>
                  <a:ext uri="{96DAC541-7B7A-43D3-8B79-37D633B846F1}">
                    <asvg:svgBlip xmlns:asvg="http://schemas.microsoft.com/office/drawing/2016/SVG/main" r:embed="rId9"/>
                  </a:ext>
                </a:extLst>
              </a:blip>
              <a:stretch>
                <a:fillRect/>
              </a:stretch>
            </xdr:blipFill>
            <xdr:spPr>
              <a:xfrm>
                <a:off x="4515486" y="10871007"/>
                <a:ext cx="457392" cy="457392"/>
              </a:xfrm>
              <a:prstGeom prst="rect">
                <a:avLst/>
              </a:prstGeom>
            </xdr:spPr>
          </xdr:pic>
          <xdr:pic>
            <xdr:nvPicPr>
              <xdr:cNvPr id="54" name="Graphic 53" descr="Box">
                <a:extLst>
                  <a:ext uri="{FF2B5EF4-FFF2-40B4-BE49-F238E27FC236}">
                    <a16:creationId xmlns:a16="http://schemas.microsoft.com/office/drawing/2014/main" id="{00000000-0008-0000-0800-00003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a:ext>
                  <a:ext uri="{96DAC541-7B7A-43D3-8B79-37D633B846F1}">
                    <asvg:svgBlip xmlns:asvg="http://schemas.microsoft.com/office/drawing/2016/SVG/main" r:embed="rId9"/>
                  </a:ext>
                </a:extLst>
              </a:blip>
              <a:stretch>
                <a:fillRect/>
              </a:stretch>
            </xdr:blipFill>
            <xdr:spPr>
              <a:xfrm>
                <a:off x="4170929" y="10868798"/>
                <a:ext cx="457392" cy="457392"/>
              </a:xfrm>
              <a:prstGeom prst="rect">
                <a:avLst/>
              </a:prstGeom>
            </xdr:spPr>
          </xdr:pic>
          <xdr:pic>
            <xdr:nvPicPr>
              <xdr:cNvPr id="55" name="Graphic 54" descr="Box">
                <a:extLst>
                  <a:ext uri="{FF2B5EF4-FFF2-40B4-BE49-F238E27FC236}">
                    <a16:creationId xmlns:a16="http://schemas.microsoft.com/office/drawing/2014/main" id="{00000000-0008-0000-0800-00003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a:ext>
                  <a:ext uri="{96DAC541-7B7A-43D3-8B79-37D633B846F1}">
                    <asvg:svgBlip xmlns:asvg="http://schemas.microsoft.com/office/drawing/2016/SVG/main" r:embed="rId13"/>
                  </a:ext>
                </a:extLst>
              </a:blip>
              <a:stretch>
                <a:fillRect/>
              </a:stretch>
            </xdr:blipFill>
            <xdr:spPr>
              <a:xfrm>
                <a:off x="4334372" y="10993589"/>
                <a:ext cx="457392" cy="457392"/>
              </a:xfrm>
              <a:prstGeom prst="rect">
                <a:avLst/>
              </a:prstGeom>
            </xdr:spPr>
          </xdr:pic>
        </xdr:grpSp>
      </xdr:grpSp>
      <xdr:sp macro="" textlink="">
        <xdr:nvSpPr>
          <xdr:cNvPr id="48" name="TextBox 47">
            <a:extLst>
              <a:ext uri="{FF2B5EF4-FFF2-40B4-BE49-F238E27FC236}">
                <a16:creationId xmlns:a16="http://schemas.microsoft.com/office/drawing/2014/main" id="{00000000-0008-0000-0800-000030000000}"/>
              </a:ext>
            </a:extLst>
          </xdr:cNvPr>
          <xdr:cNvSpPr txBox="1"/>
        </xdr:nvSpPr>
        <xdr:spPr>
          <a:xfrm>
            <a:off x="4036391" y="11606697"/>
            <a:ext cx="5073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t>Pallet</a:t>
            </a:r>
          </a:p>
        </xdr:txBody>
      </xdr:sp>
    </xdr:grpSp>
    <xdr:clientData/>
  </xdr:twoCellAnchor>
  <xdr:twoCellAnchor>
    <xdr:from>
      <xdr:col>8</xdr:col>
      <xdr:colOff>558988</xdr:colOff>
      <xdr:row>127</xdr:row>
      <xdr:rowOff>50995</xdr:rowOff>
    </xdr:from>
    <xdr:to>
      <xdr:col>9</xdr:col>
      <xdr:colOff>665605</xdr:colOff>
      <xdr:row>135</xdr:row>
      <xdr:rowOff>27540</xdr:rowOff>
    </xdr:to>
    <xdr:grpSp>
      <xdr:nvGrpSpPr>
        <xdr:cNvPr id="60" name="Group 59">
          <a:extLst>
            <a:ext uri="{FF2B5EF4-FFF2-40B4-BE49-F238E27FC236}">
              <a16:creationId xmlns:a16="http://schemas.microsoft.com/office/drawing/2014/main" id="{00000000-0008-0000-0800-00003C000000}"/>
            </a:ext>
          </a:extLst>
        </xdr:cNvPr>
        <xdr:cNvGrpSpPr/>
      </xdr:nvGrpSpPr>
      <xdr:grpSpPr>
        <a:xfrm>
          <a:off x="7011407" y="23044140"/>
          <a:ext cx="977182" cy="1287513"/>
          <a:chOff x="7012607" y="10966174"/>
          <a:chExt cx="1016000" cy="1230866"/>
        </a:xfrm>
      </xdr:grpSpPr>
      <xdr:pic>
        <xdr:nvPicPr>
          <xdr:cNvPr id="61" name="Graphic 60" descr="Paint">
            <a:extLst>
              <a:ext uri="{FF2B5EF4-FFF2-40B4-BE49-F238E27FC236}">
                <a16:creationId xmlns:a16="http://schemas.microsoft.com/office/drawing/2014/main" id="{00000000-0008-0000-0800-00003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a:ext>
              <a:ext uri="{96DAC541-7B7A-43D3-8B79-37D633B846F1}">
                <asvg:svgBlip xmlns:asvg="http://schemas.microsoft.com/office/drawing/2016/SVG/main" r:embed="rId15"/>
              </a:ext>
            </a:extLst>
          </a:blip>
          <a:stretch>
            <a:fillRect/>
          </a:stretch>
        </xdr:blipFill>
        <xdr:spPr>
          <a:xfrm>
            <a:off x="7078867" y="10966174"/>
            <a:ext cx="850352" cy="850352"/>
          </a:xfrm>
          <a:prstGeom prst="rect">
            <a:avLst/>
          </a:prstGeom>
        </xdr:spPr>
      </xdr:pic>
      <xdr:sp macro="" textlink="">
        <xdr:nvSpPr>
          <xdr:cNvPr id="62" name="TextBox 61">
            <a:extLst>
              <a:ext uri="{FF2B5EF4-FFF2-40B4-BE49-F238E27FC236}">
                <a16:creationId xmlns:a16="http://schemas.microsoft.com/office/drawing/2014/main" id="{00000000-0008-0000-0800-00003E000000}"/>
              </a:ext>
            </a:extLst>
          </xdr:cNvPr>
          <xdr:cNvSpPr txBox="1"/>
        </xdr:nvSpPr>
        <xdr:spPr>
          <a:xfrm>
            <a:off x="7012607" y="11932480"/>
            <a:ext cx="1016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AU" sz="1100"/>
              <a:t>Other Product</a:t>
            </a:r>
          </a:p>
        </xdr:txBody>
      </xdr:sp>
    </xdr:grpSp>
    <xdr:clientData/>
  </xdr:twoCellAnchor>
  <xdr:twoCellAnchor editAs="oneCell">
    <xdr:from>
      <xdr:col>3</xdr:col>
      <xdr:colOff>310924</xdr:colOff>
      <xdr:row>10</xdr:row>
      <xdr:rowOff>102420</xdr:rowOff>
    </xdr:from>
    <xdr:to>
      <xdr:col>10</xdr:col>
      <xdr:colOff>522340</xdr:colOff>
      <xdr:row>35</xdr:row>
      <xdr:rowOff>107385</xdr:rowOff>
    </xdr:to>
    <xdr:pic>
      <xdr:nvPicPr>
        <xdr:cNvPr id="64" name="Picture 63">
          <a:extLst>
            <a:ext uri="{FF2B5EF4-FFF2-40B4-BE49-F238E27FC236}">
              <a16:creationId xmlns:a16="http://schemas.microsoft.com/office/drawing/2014/main" id="{00000000-0008-0000-0800-000040000000}"/>
            </a:ext>
          </a:extLst>
        </xdr:cNvPr>
        <xdr:cNvPicPr>
          <a:picLocks noChangeAspect="1"/>
        </xdr:cNvPicPr>
      </xdr:nvPicPr>
      <xdr:blipFill>
        <a:blip xmlns:r="http://schemas.openxmlformats.org/officeDocument/2006/relationships" r:embed="rId16"/>
        <a:stretch>
          <a:fillRect/>
        </a:stretch>
      </xdr:blipFill>
      <xdr:spPr>
        <a:xfrm>
          <a:off x="2410521" y="1884517"/>
          <a:ext cx="6305367" cy="4101739"/>
        </a:xfrm>
        <a:prstGeom prst="rect">
          <a:avLst/>
        </a:prstGeom>
      </xdr:spPr>
    </xdr:pic>
    <xdr:clientData/>
  </xdr:twoCellAnchor>
  <xdr:twoCellAnchor editAs="oneCell">
    <xdr:from>
      <xdr:col>3</xdr:col>
      <xdr:colOff>542822</xdr:colOff>
      <xdr:row>39</xdr:row>
      <xdr:rowOff>40968</xdr:rowOff>
    </xdr:from>
    <xdr:to>
      <xdr:col>10</xdr:col>
      <xdr:colOff>839347</xdr:colOff>
      <xdr:row>52</xdr:row>
      <xdr:rowOff>72551</xdr:rowOff>
    </xdr:to>
    <xdr:pic>
      <xdr:nvPicPr>
        <xdr:cNvPr id="63" name="Picture 62">
          <a:extLst>
            <a:ext uri="{FF2B5EF4-FFF2-40B4-BE49-F238E27FC236}">
              <a16:creationId xmlns:a16="http://schemas.microsoft.com/office/drawing/2014/main" id="{00000000-0008-0000-0800-00003F000000}"/>
            </a:ext>
          </a:extLst>
        </xdr:cNvPr>
        <xdr:cNvPicPr>
          <a:picLocks noChangeAspect="1"/>
        </xdr:cNvPicPr>
      </xdr:nvPicPr>
      <xdr:blipFill>
        <a:blip xmlns:r="http://schemas.openxmlformats.org/officeDocument/2006/relationships" r:embed="rId17"/>
        <a:stretch>
          <a:fillRect/>
        </a:stretch>
      </xdr:blipFill>
      <xdr:spPr>
        <a:xfrm>
          <a:off x="2642419" y="6575323"/>
          <a:ext cx="6390476" cy="216190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ent Munro" refreshedDate="43612.627960648148" createdVersion="6" refreshedVersion="6" minRefreshableVersion="3" recordCount="385" xr:uid="{00000000-000A-0000-FFFF-FFFF00000000}">
  <cacheSource type="worksheet">
    <worksheetSource ref="AG23:AR408" sheet="A-Series"/>
  </cacheSource>
  <cacheFields count="12">
    <cacheField name="Supplier#" numFmtId="0">
      <sharedItems containsBlank="1" containsMixedTypes="1" containsNumber="1" minValue="0" maxValue="937600080" count="92">
        <m/>
        <s v="A100001"/>
        <s v="K102250, A100536"/>
        <s v="K103250, A100536"/>
        <s v="TBA"/>
        <s v="K100130"/>
        <s v="K100005"/>
        <s v="A100248"/>
        <n v="23020095"/>
        <s v="CLI 56P310-E0"/>
        <s v="27021519-01_C-01"/>
        <s v="A100367"/>
        <s v="A100141"/>
        <s v="P101566"/>
        <n v="20091604"/>
        <n v="15011615"/>
        <s v="5612B162MATTHEWS"/>
        <s v=""/>
        <s v="A100180"/>
        <s v="A100047"/>
        <s v="A100261"/>
        <s v="A100501"/>
        <s v="A100511"/>
        <n v="0"/>
        <s v="AP110140"/>
        <s v="A100048"/>
        <s v="A100479"/>
        <s v="AP100018"/>
        <s v="K100113"/>
        <s v="K100111"/>
        <n v="6033180"/>
        <n v="6025889"/>
        <s v="13120085 KIT"/>
        <s v="13120086 KIT"/>
        <n v="1025896"/>
        <n v="11060038"/>
        <e v="#N/A"/>
        <s v="SW100002"/>
        <s v="SW100003"/>
        <s v="SW100006"/>
        <s v="SW100005"/>
        <s v="SW100004"/>
        <s v="41057665, 41039350"/>
        <s v="41057665, 41039351"/>
        <n v="41204972"/>
        <s v="41057666, 41039350"/>
        <s v="41057666, 41039351"/>
        <n v="41044264"/>
        <s v="R15IB3S-65C3/PT/W8, 20191602"/>
        <n v="20191603"/>
        <n v="133951.01"/>
        <s v="A100046"/>
        <n v="20091601"/>
        <s v="41204998, 41039404"/>
        <n v="41204999"/>
        <n v="41039404"/>
        <n v="41039403"/>
        <n v="41039405"/>
        <n v="41205000"/>
        <s v="A100053"/>
        <s v="P101171"/>
        <s v="TSM-92153-A-002/01"/>
        <s v="F3S-TGR-NSPR-21-0"/>
        <s v="MCA-1705024 "/>
        <s v="27021519-01_C-01 "/>
        <s v="P101858"/>
        <s v="P100141"/>
        <s v="A100038"/>
        <s v="A100161"/>
        <s v="SC03"/>
        <s v="M28-22"/>
        <s v="T57244ANM"/>
        <n v="12990013"/>
        <n v="13080198"/>
        <s v="LCE-302-BYG"/>
        <s v="GM4130-BK-433K2"/>
        <s v="GD4130-BK, 90G000008"/>
        <n v="937600050"/>
        <n v="937600080"/>
        <n v="30081706"/>
        <s v="93A051348"/>
        <s v="93A050077"/>
        <s v="MCA-1101006"/>
        <s v="MCA-1006014-0"/>
        <s v="KD2004N00Y07"/>
        <n v="133903" u="1"/>
        <n v="133992" u="1"/>
        <n v="133993" u="1"/>
        <n v="133994" u="1"/>
        <n v="133995" u="1"/>
        <n v="133996" u="1"/>
        <n v="133901" u="1"/>
      </sharedItems>
    </cacheField>
    <cacheField name="Matthews#" numFmtId="0">
      <sharedItems containsBlank="1" containsMixedTypes="1" containsNumber="1" containsInteger="1" minValue="0" maxValue="99990167" count="99">
        <m/>
        <n v="23010001"/>
        <s v="23020235, 23020270"/>
        <s v="23020224, 23020270"/>
        <n v="23020047"/>
        <n v="23020177"/>
        <n v="23020017"/>
        <n v="23020016"/>
        <n v="23020095"/>
        <s v="13020122"/>
        <n v="13020148"/>
        <n v="23020014"/>
        <n v="23020009"/>
        <n v="23020225"/>
        <s v="13080192"/>
        <s v="13080193"/>
        <s v="13120079"/>
        <s v=""/>
        <n v="23020023"/>
        <n v="23010003"/>
        <n v="23020039"/>
        <n v="23020173"/>
        <n v="23020145"/>
        <n v="0"/>
        <s v="23020123"/>
        <n v="23010004"/>
        <n v="23020187"/>
        <n v="23020050"/>
        <n v="23010007"/>
        <n v="23020222"/>
        <n v="23020006"/>
        <n v="11060156"/>
        <s v="11020007"/>
        <n v="13120085"/>
        <n v="13120086"/>
        <n v="11060159"/>
        <n v="11060038"/>
        <e v="#N/A"/>
        <n v="23020056"/>
        <n v="23020057"/>
        <n v="23020058"/>
        <n v="23020059"/>
        <n v="23020060"/>
        <s v="14010025, 14020062"/>
        <s v="14010025, 14020096"/>
        <n v="14010013"/>
        <s v="14010024, 14020062"/>
        <s v="14010024, 14020096"/>
        <n v="14020074"/>
        <s v="12990026, 10020146"/>
        <s v="10020147"/>
        <s v="14020069 "/>
        <s v="23020126"/>
        <s v="10020145"/>
        <s v="14020055, 14020054"/>
        <n v="14020043"/>
        <n v="14020054"/>
        <n v="14020053"/>
        <n v="14020056"/>
        <n v="14020099"/>
        <n v="23020063"/>
        <n v="23020008"/>
        <n v="13090046"/>
        <n v="13120076"/>
        <n v="13090047"/>
        <s v="P100515/01"/>
        <s v="13090048, 13020149, 04020021, 13120083, 13120094"/>
        <n v="23020240"/>
        <n v="23020064"/>
        <n v="23020065"/>
        <n v="99990149"/>
        <n v="99990167"/>
        <n v="99990166"/>
        <s v="17190004"/>
        <n v="18210027"/>
        <n v="12080017"/>
        <s v="12080050"/>
        <n v="12080009"/>
        <n v="12080026"/>
        <n v="12990013"/>
        <n v="13080198"/>
        <n v="13080094"/>
        <s v="10040052"/>
        <s v="10040032, 10020022"/>
        <n v="10020142"/>
        <n v="10040174"/>
        <n v="13120099"/>
        <n v="10020139"/>
        <n v="10020149"/>
        <n v="10030004"/>
        <n v="13090050"/>
        <s v="13090020"/>
        <s v="07010077"/>
        <s v="12080010"/>
        <n v="23020235" u="1"/>
        <n v="23020224" u="1"/>
        <n v="12990026" u="1"/>
        <n v="123" u="1"/>
        <n v="23" u="1"/>
      </sharedItems>
    </cacheField>
    <cacheField name="Product Description" numFmtId="0">
      <sharedItems containsBlank="1" count="137">
        <m/>
        <s v="D43 LPA"/>
        <s v="E-Wipe 90 Applicator G2 250 (Repeater) - L→R"/>
        <s v="E-Wipe 90 Applicator G2 250 (Repeater) - R→L"/>
        <s v="Applicator Plate  104mm X 55mm"/>
        <s v="Mini-panel with 4 buttons &amp; Holder that allow mounting - Status beacon &amp; chassis."/>
        <s v="Color touch screen 12” with 1.8 m cabling and ergonomic holder that suits all Autolabel stands_x000a_"/>
        <s v="Column (aluminum 1500mm)"/>
        <s v="Min Wireless N Usb Adap 300Mbs"/>
        <s v="Plug 250V 10A 3F Pins"/>
        <s v="Base Plate 1"/>
        <s v="H-Foot with adjustable rubber feet and built in wheels for convenient relocation of the system. _x000a_  "/>
        <s v="Tube Holder - Mounting arm"/>
        <s v="Holder tube D51 L560"/>
        <s v="JBox Assy"/>
        <s v="JBox Holding Plate 4mm 304 2B"/>
        <s v="Air Regulator Assembly"/>
        <s v=""/>
        <s v="Tamp Applicator (Side Apply)"/>
        <s v="T43 LPA"/>
        <s v="Belt Applicator - Upto 40M/Min Fixed Speed"/>
        <s v="E-Tamp Applicator 650 G2"/>
        <s v="FLEX-MOUNT 2X COMPL"/>
        <s v="Please select"/>
        <s v="Applicator Plate  110X140"/>
        <s v="T63 LPA"/>
        <s v="FLEX-MOUNT LARGE COMPL. "/>
        <s v="Applicator Plate  150X210"/>
        <s v="T63 LPA Flexiwipe"/>
        <s v="Flexwipe Scanner Kit"/>
        <s v="Status Beacon"/>
        <s v="Custom Applicator Pad - Approved by Product Mgr"/>
        <s v="Reflective Sensor WL8-P2131 "/>
        <s v="1 x M8 3PIN 5M CABLE"/>
        <s v="BRACKET PE SENSOR ASSY"/>
        <s v="BRACKET PE REFLECTOR ASSY"/>
        <s v="Proximity Sensor PNP Long Range 600MM"/>
        <s v="Cable 4 PIN M12 5M"/>
        <s v="LPA I/O BOX - CARTON"/>
        <s v="CABLE LPA I/O INTERFACE 3.0M"/>
        <s v="LPA I/O BOX WITHOUT ETHERNET"/>
        <s v="Handling of scanner for control scanning of printed barcode or for scan and select PLU. _x000a__x000a_Add Hand Scanner"/>
        <s v="For configuration of maintenance program where the operator gets prompted to for example clean the print head or roller at selected times or intervals. _x000a_"/>
        <s v="Presents a graphical view in the form of a bar chart, the number of applied labels per minute for the last 24 hours. Each bar corresponds to 15 minutes_x000a_"/>
        <s v="Print capacity (peak) up to 120 labels/min (standard is up to 60 labels/min) _x000a__x000a_This app is available for D43 model only.  _x000a_"/>
        <s v="Makes it possible to show an external PC screen on the Autolabel touch screen._x000a_"/>
        <s v="7D ViaExtend Enclosed (5 ports)"/>
        <s v="7D ViaExtend Enclosed (8 ports)"/>
        <s v="Mperia 12” ViaAdvanced (IP40)"/>
        <s v="12” ViaAdvanced Enclosed (5 ports)"/>
        <s v="12” ViaAdvanced Enclosed (8 ports)"/>
        <s v="Mperia 15” ViaAdvanced Plus (IP65)"/>
        <s v="PANEL PC 15&quot; IP65 SS TFT  (inc 12v Power supply)"/>
        <s v="Power Supply 24V "/>
        <s v="PCM Wall Mount Vesa 75/100 "/>
        <s v="Holder Touch Screen Compl."/>
        <s v="Circuit Breaker "/>
        <s v="ViaPortal"/>
        <s v="ViaSelect"/>
        <s v="ViaConnect "/>
        <s v="ViaEdit"/>
        <s v="ViaBase"/>
        <s v="ViaPlugin"/>
        <s v="Floor stand in aluminum 1500 mm. The stand can either be bolted directly in the floor, on the floor plate P100515 or mounted on the foot A100043. _x000a_Bracket A100141 suits this floor stand. _x000a_"/>
        <s v="Floor stand in aluminum 2000 mm. The stand can either be bolted directly in the floor, on the floor plate P100515 or mounted on the foot A100367. _x000a__x000a_"/>
        <s v="Motorized floor stand in aluminum. Adjustable from 1050 to 1500 mm. Other physical dimensions same as the base stands above. _x000a_Built in motordriveboard for USB connection to the printer and required software APP included._x000a_"/>
        <s v="Motorized floor stand in aluminum. Adjustable from 1100 to 1500 mm. Other physical dimensions same as the base stands above. _x000a_Built in motordriveboard for USB connection to the printer and required software APP included._x000a_"/>
        <s v="Motorized floor stand in aluminum. Adjustable from 650 to 1050 mm. Other physical dimensions same as the base stands above. _x000a_Built in motordriveboard for USB connection to the printer and required software APP included._x000a_"/>
        <s v="Motorized floor stand in aluminum. Adjustable from 350 to 550 mm. Other physical dimensions same as the base stands above. _x000a_Built in motordriveboard for USB connection to the printer and required software APP included._x000a_"/>
        <s v="For mounting A100255 horizontalls on a vertical base stand or Adj stand."/>
        <s v="Heavy duty mounting foot in aluminum. Adjustable rubber feet and built in wheels for convenient relocation of the system. Suits all Autolabel floor stands._x000a_  _x000a_"/>
        <s v="Mounting plate in stainless steel for  floor stand. Suitable when the floor stand shall be bolted in the floor. Suits all Autolabel floor stands._x000a__x000a_"/>
        <s v="This module is used for mounting one of the mounting tubes P100446 or P100077 on any of the Autolabel floor stands. _x000a__x000a_"/>
        <s v="Mounting tube with outer diameter 51 mm and length 460 mm. The mounting tube works together with the tube holder A100141 and allow stable and flexible mounting of the print&amp;apply module._x000a__x000a_"/>
        <s v="Pivot Base"/>
        <s v="Magnetic Swich"/>
        <s v="Height Extension Base"/>
        <s v="Floor Plate 1 - local option"/>
        <s v="AUTOLABEL X-ADJUSTMENT (with clamp and 520mm lead screw)"/>
        <s v="Stand Welded Base 1500"/>
        <s v="Mounting spacer for simplified mounting."/>
        <s v="Adjustable Label Guide Kit"/>
        <s v="Sata Clean Alcohol Wipes (50)"/>
        <s v="Please confirm the type of QC Required"/>
        <s v="Carton - Installation, commissioning &amp; training"/>
        <s v="Pallet - Installation, commissioning &amp; training"/>
        <s v="Additional - Installation"/>
        <s v="Basic SSCC Setup 2 Applicator with CIM &amp; Scanners"/>
        <s v="QC Rate"/>
        <s v="Onboard Database Creation"/>
        <s v="Number of label formats creation"/>
        <s v="Additional Travel Allowance - Rural Customers (Both Ways)"/>
        <s v="Additional Travel Allowance - Flights (Both ways)"/>
        <s v="Accomodation Allowance - Per Day"/>
        <s v="Presite visit including (Onsite inspection &amp; travel to &amp; from)"/>
        <s v="Special Discount (Approved by Service)"/>
        <s v="Essential Service Package"/>
        <s v="You Have Not Selected Any Label or Ribbons"/>
        <s v="LABEL TT 104X152MM"/>
        <s v="RIBBON FE WAX 104X360M BLK CSI"/>
        <s v="Express Software"/>
        <s v="Upgrade Enterprise - Custom Business Logic"/>
        <s v="IDSnet Installation - Express Remote"/>
        <s v="Hardware Driver - Express/Enterprise - LPA"/>
        <s v="Hardware Driver - Express/Enterprise - DOD"/>
        <s v="Scanner Driver - Validation"/>
        <s v="Idsnet Portal Driver"/>
        <s v="Enterprise (Budget only)"/>
        <s v="Enterprise (ERP Integration - SAP, JDE)"/>
        <s v="Upgrade Enterprise V1 to V4"/>
        <s v="IDSnet Installation - Enterprise Onsite"/>
        <s v="Hardware Driver - Enterprise - VIS"/>
        <s v="Scanner Driver - Induct (Enterprise only)"/>
        <s v="Mini CIM V2"/>
        <s v="CIM V7 Carton &amp; Pallet"/>
        <s v="Beacon B/A/G"/>
        <s v="CORDLESS HAND SCNR "/>
        <s v="Corded Hand Scanner &amp; cable"/>
        <s v="Validation Scanner - Matrix 300N - LQL 9mm"/>
        <s v="Validation Scanner - Matrix 300N - LNS 16mm"/>
        <s v="Validation Scanner - Matrix 300N Bracket (Pallet)"/>
        <s v="Validation Scanner - Matrix 300N Bracket (Carton)"/>
        <s v="CAB-ETH-M05 M12-IP67 ETH 5M "/>
        <s v="CAB-GD05 M12 PWR I/O F/L 5M "/>
        <s v="Induct Scanner DS5100 Kit (inc CBX and cables)"/>
        <s v="Induct Scanner Pole (Oscillating Scanners)"/>
        <s v="STAND - H W/TABEL FEET"/>
        <s v="SAP - Datamax DMX M4206 TT "/>
        <s v="Driver Licence Software"/>
        <s v="Mini CIM V2 (inc Beacon)" u="1"/>
        <s v="Custom Applicator Plate" u="1"/>
        <s v="Panel PC 15&quot; IP65 SS TFT " u="1"/>
        <s v="Validation Scanner - Matrix 300N" u="1"/>
        <s v="CIM V7 Carton &amp; Pallet (Inc Beacon)" u="1"/>
        <s v="Basic Stand Setup" u="1"/>
        <s v="Induct Scanner Pole" u="1"/>
        <s v="Custom Applicator Arm" u="1"/>
      </sharedItems>
    </cacheField>
    <cacheField name="Original PG" numFmtId="0">
      <sharedItems containsBlank="1"/>
    </cacheField>
    <cacheField name="Assembly" numFmtId="0">
      <sharedItems containsBlank="1" containsMixedTypes="1" containsNumber="1" containsInteger="1" minValue="0" maxValue="0" count="18">
        <m/>
        <s v="LPA01"/>
        <s v="Datacapture Assembly"/>
        <s v="IMP01"/>
        <s v="Engineering Assembly"/>
        <s v="ENG02"/>
        <e v="#N/A"/>
        <s v="LPA02"/>
        <s v="Installation"/>
        <s v="QC"/>
        <s v="Travel &amp; Accomodation"/>
        <s v="Essential Service Package"/>
        <s v="Software Support"/>
        <s v="iDSnet Express"/>
        <s v="IDSnet Installation – Enterprise Onsite "/>
        <s v="IDSnet Enterprise"/>
        <s v="Assy Datamax"/>
        <n v="0"/>
      </sharedItems>
    </cacheField>
    <cacheField name="x" numFmtId="0">
      <sharedItems containsBlank="1"/>
    </cacheField>
    <cacheField name="Nett Disc" numFmtId="0">
      <sharedItems containsBlank="1" containsMixedTypes="1" containsNumber="1" containsInteger="1" minValue="0" maxValue="0"/>
    </cacheField>
    <cacheField name="Quantity Required" numFmtId="0">
      <sharedItems containsBlank="1" containsMixedTypes="1" containsNumber="1" containsInteger="1" minValue="-1" maxValue="33" count="9">
        <s v="Qty"/>
        <n v="0"/>
        <m/>
        <n v="-1"/>
        <n v="2" u="1"/>
        <n v="33" u="1"/>
        <n v="1" u="1"/>
        <n v="3" u="1"/>
        <n v="4" u="1"/>
      </sharedItems>
    </cacheField>
    <cacheField name="Show" numFmtId="0">
      <sharedItems containsBlank="1" count="3">
        <m/>
        <s v=""/>
        <s v="Show" u="1"/>
      </sharedItems>
    </cacheField>
    <cacheField name="Assembly2" numFmtId="0">
      <sharedItems containsBlank="1" containsMixedTypes="1" containsNumber="1" containsInteger="1" minValue="0" maxValue="0" count="21">
        <m/>
        <s v="Carton Assembly"/>
        <s v="Pallet 43 Assembly"/>
        <s v="Pallet 63 Assembly"/>
        <n v="0"/>
        <s v="Datacapture Assembly"/>
        <s v=""/>
        <s v="IMP01"/>
        <s v="Engineering Assembly"/>
        <s v="ENG02"/>
        <e v="#N/A"/>
        <s v="LPA02"/>
        <s v="Installation"/>
        <s v="QC"/>
        <s v="Travel &amp; Accomodation"/>
        <s v="Essential Service Package"/>
        <s v="Software Support"/>
        <s v="iDSnet Express"/>
        <s v="IDSnet Installation – Enterprise Onsite "/>
        <s v="IDSnet Enterprise"/>
        <s v="Assy Datamax"/>
      </sharedItems>
    </cacheField>
    <cacheField name="x3" numFmtId="0">
      <sharedItems containsNonDate="0" containsString="0" containsBlank="1"/>
    </cacheField>
    <cacheField name="zx"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5">
  <r>
    <x v="0"/>
    <x v="0"/>
    <x v="0"/>
    <m/>
    <x v="0"/>
    <m/>
    <s v="Nett Disc"/>
    <x v="0"/>
    <x v="0"/>
    <x v="0"/>
    <m/>
    <m/>
  </r>
  <r>
    <x v="1"/>
    <x v="1"/>
    <x v="1"/>
    <s v="LPA01"/>
    <x v="1"/>
    <s v=""/>
    <n v="0"/>
    <x v="1"/>
    <x v="1"/>
    <x v="1"/>
    <m/>
    <m/>
  </r>
  <r>
    <x v="2"/>
    <x v="2"/>
    <x v="2"/>
    <s v="LPA02"/>
    <x v="1"/>
    <s v=""/>
    <n v="0"/>
    <x v="1"/>
    <x v="1"/>
    <x v="1"/>
    <m/>
    <m/>
  </r>
  <r>
    <x v="3"/>
    <x v="3"/>
    <x v="3"/>
    <s v="LPA02"/>
    <x v="1"/>
    <s v=""/>
    <n v="0"/>
    <x v="1"/>
    <x v="1"/>
    <x v="1"/>
    <m/>
    <m/>
  </r>
  <r>
    <x v="4"/>
    <x v="4"/>
    <x v="4"/>
    <s v="LPA02"/>
    <x v="1"/>
    <s v=""/>
    <n v="0"/>
    <x v="1"/>
    <x v="1"/>
    <x v="1"/>
    <m/>
    <m/>
  </r>
  <r>
    <x v="5"/>
    <x v="5"/>
    <x v="5"/>
    <s v="LPA02"/>
    <x v="1"/>
    <s v=""/>
    <n v="0"/>
    <x v="1"/>
    <x v="1"/>
    <x v="1"/>
    <m/>
    <m/>
  </r>
  <r>
    <x v="6"/>
    <x v="6"/>
    <x v="6"/>
    <s v="LPA02"/>
    <x v="1"/>
    <s v=""/>
    <n v="0"/>
    <x v="1"/>
    <x v="1"/>
    <x v="1"/>
    <m/>
    <m/>
  </r>
  <r>
    <x v="7"/>
    <x v="7"/>
    <x v="7"/>
    <s v="LPA02"/>
    <x v="1"/>
    <s v=""/>
    <n v="0"/>
    <x v="1"/>
    <x v="1"/>
    <x v="1"/>
    <m/>
    <m/>
  </r>
  <r>
    <x v="7"/>
    <x v="7"/>
    <x v="7"/>
    <s v="LPA02"/>
    <x v="1"/>
    <s v=""/>
    <n v="0"/>
    <x v="1"/>
    <x v="1"/>
    <x v="1"/>
    <m/>
    <m/>
  </r>
  <r>
    <x v="8"/>
    <x v="8"/>
    <x v="8"/>
    <s v="LPA02"/>
    <x v="1"/>
    <s v=""/>
    <n v="0"/>
    <x v="1"/>
    <x v="1"/>
    <x v="1"/>
    <m/>
    <m/>
  </r>
  <r>
    <x v="9"/>
    <x v="9"/>
    <x v="9"/>
    <s v="LPA02"/>
    <x v="1"/>
    <s v=""/>
    <n v="0"/>
    <x v="1"/>
    <x v="1"/>
    <x v="1"/>
    <m/>
    <m/>
  </r>
  <r>
    <x v="10"/>
    <x v="10"/>
    <x v="10"/>
    <s v="LPA02"/>
    <x v="1"/>
    <s v=""/>
    <n v="0"/>
    <x v="1"/>
    <x v="1"/>
    <x v="1"/>
    <m/>
    <m/>
  </r>
  <r>
    <x v="11"/>
    <x v="11"/>
    <x v="11"/>
    <s v="LPA02"/>
    <x v="1"/>
    <s v=""/>
    <n v="0"/>
    <x v="1"/>
    <x v="1"/>
    <x v="1"/>
    <m/>
    <m/>
  </r>
  <r>
    <x v="12"/>
    <x v="12"/>
    <x v="12"/>
    <s v="LPA02"/>
    <x v="1"/>
    <s v=""/>
    <n v="0"/>
    <x v="1"/>
    <x v="1"/>
    <x v="1"/>
    <m/>
    <m/>
  </r>
  <r>
    <x v="13"/>
    <x v="13"/>
    <x v="13"/>
    <s v="LPA02"/>
    <x v="1"/>
    <s v=""/>
    <n v="0"/>
    <x v="1"/>
    <x v="1"/>
    <x v="1"/>
    <m/>
    <m/>
  </r>
  <r>
    <x v="14"/>
    <x v="14"/>
    <x v="14"/>
    <s v="ENG02"/>
    <x v="1"/>
    <s v=""/>
    <n v="0"/>
    <x v="1"/>
    <x v="1"/>
    <x v="1"/>
    <m/>
    <m/>
  </r>
  <r>
    <x v="15"/>
    <x v="15"/>
    <x v="15"/>
    <s v="ENG02"/>
    <x v="1"/>
    <s v=""/>
    <n v="0"/>
    <x v="1"/>
    <x v="1"/>
    <x v="1"/>
    <m/>
    <m/>
  </r>
  <r>
    <x v="16"/>
    <x v="16"/>
    <x v="16"/>
    <s v="ENG02"/>
    <x v="1"/>
    <s v=""/>
    <n v="0"/>
    <x v="1"/>
    <x v="1"/>
    <x v="1"/>
    <m/>
    <m/>
  </r>
  <r>
    <x v="17"/>
    <x v="17"/>
    <x v="17"/>
    <m/>
    <x v="1"/>
    <s v=""/>
    <m/>
    <x v="1"/>
    <x v="1"/>
    <x v="1"/>
    <m/>
    <m/>
  </r>
  <r>
    <x v="17"/>
    <x v="17"/>
    <x v="17"/>
    <m/>
    <x v="1"/>
    <s v=""/>
    <m/>
    <x v="1"/>
    <x v="1"/>
    <x v="1"/>
    <m/>
    <m/>
  </r>
  <r>
    <x v="1"/>
    <x v="1"/>
    <x v="1"/>
    <s v="LPA01"/>
    <x v="1"/>
    <s v=""/>
    <n v="0"/>
    <x v="1"/>
    <x v="1"/>
    <x v="1"/>
    <m/>
    <m/>
  </r>
  <r>
    <x v="18"/>
    <x v="18"/>
    <x v="18"/>
    <s v="LPA02"/>
    <x v="1"/>
    <s v=""/>
    <n v="0"/>
    <x v="1"/>
    <x v="1"/>
    <x v="1"/>
    <m/>
    <m/>
  </r>
  <r>
    <x v="3"/>
    <x v="3"/>
    <x v="3"/>
    <s v="LPA02"/>
    <x v="1"/>
    <s v=""/>
    <n v="0"/>
    <x v="1"/>
    <x v="1"/>
    <x v="1"/>
    <m/>
    <m/>
  </r>
  <r>
    <x v="4"/>
    <x v="4"/>
    <x v="4"/>
    <s v="LPA02"/>
    <x v="1"/>
    <s v=""/>
    <n v="0"/>
    <x v="1"/>
    <x v="1"/>
    <x v="1"/>
    <m/>
    <m/>
  </r>
  <r>
    <x v="5"/>
    <x v="5"/>
    <x v="5"/>
    <s v="LPA02"/>
    <x v="1"/>
    <s v=""/>
    <n v="0"/>
    <x v="1"/>
    <x v="1"/>
    <x v="1"/>
    <m/>
    <m/>
  </r>
  <r>
    <x v="6"/>
    <x v="6"/>
    <x v="6"/>
    <s v="LPA02"/>
    <x v="1"/>
    <s v=""/>
    <n v="0"/>
    <x v="1"/>
    <x v="1"/>
    <x v="1"/>
    <m/>
    <m/>
  </r>
  <r>
    <x v="7"/>
    <x v="7"/>
    <x v="7"/>
    <s v="LPA02"/>
    <x v="1"/>
    <s v=""/>
    <n v="0"/>
    <x v="1"/>
    <x v="1"/>
    <x v="1"/>
    <m/>
    <m/>
  </r>
  <r>
    <x v="7"/>
    <x v="7"/>
    <x v="7"/>
    <s v="LPA02"/>
    <x v="1"/>
    <s v=""/>
    <n v="0"/>
    <x v="1"/>
    <x v="1"/>
    <x v="1"/>
    <m/>
    <m/>
  </r>
  <r>
    <x v="8"/>
    <x v="8"/>
    <x v="8"/>
    <s v="LPA02"/>
    <x v="1"/>
    <s v=""/>
    <n v="0"/>
    <x v="1"/>
    <x v="1"/>
    <x v="1"/>
    <m/>
    <m/>
  </r>
  <r>
    <x v="9"/>
    <x v="9"/>
    <x v="9"/>
    <s v="LPA02"/>
    <x v="1"/>
    <s v=""/>
    <n v="0"/>
    <x v="1"/>
    <x v="1"/>
    <x v="1"/>
    <m/>
    <m/>
  </r>
  <r>
    <x v="10"/>
    <x v="10"/>
    <x v="10"/>
    <s v="LPA02"/>
    <x v="1"/>
    <s v=""/>
    <n v="0"/>
    <x v="1"/>
    <x v="1"/>
    <x v="1"/>
    <m/>
    <m/>
  </r>
  <r>
    <x v="11"/>
    <x v="11"/>
    <x v="11"/>
    <s v="LPA02"/>
    <x v="1"/>
    <s v=""/>
    <n v="0"/>
    <x v="1"/>
    <x v="1"/>
    <x v="1"/>
    <m/>
    <m/>
  </r>
  <r>
    <x v="12"/>
    <x v="12"/>
    <x v="12"/>
    <s v="LPA02"/>
    <x v="1"/>
    <s v=""/>
    <n v="0"/>
    <x v="1"/>
    <x v="1"/>
    <x v="1"/>
    <m/>
    <m/>
  </r>
  <r>
    <x v="13"/>
    <x v="13"/>
    <x v="13"/>
    <s v="LPA02"/>
    <x v="1"/>
    <s v=""/>
    <n v="0"/>
    <x v="1"/>
    <x v="1"/>
    <x v="1"/>
    <m/>
    <m/>
  </r>
  <r>
    <x v="14"/>
    <x v="14"/>
    <x v="14"/>
    <s v="ENG02"/>
    <x v="1"/>
    <s v=""/>
    <n v="0"/>
    <x v="1"/>
    <x v="1"/>
    <x v="1"/>
    <m/>
    <m/>
  </r>
  <r>
    <x v="15"/>
    <x v="15"/>
    <x v="15"/>
    <s v="ENG02"/>
    <x v="1"/>
    <s v=""/>
    <n v="0"/>
    <x v="1"/>
    <x v="1"/>
    <x v="1"/>
    <m/>
    <m/>
  </r>
  <r>
    <x v="16"/>
    <x v="16"/>
    <x v="16"/>
    <s v="ENG02"/>
    <x v="1"/>
    <s v=""/>
    <n v="0"/>
    <x v="1"/>
    <x v="1"/>
    <x v="1"/>
    <m/>
    <m/>
  </r>
  <r>
    <x v="17"/>
    <x v="17"/>
    <x v="17"/>
    <m/>
    <x v="1"/>
    <s v=""/>
    <m/>
    <x v="1"/>
    <x v="1"/>
    <x v="0"/>
    <m/>
    <m/>
  </r>
  <r>
    <x v="17"/>
    <x v="17"/>
    <x v="17"/>
    <m/>
    <x v="1"/>
    <s v=""/>
    <m/>
    <x v="1"/>
    <x v="1"/>
    <x v="0"/>
    <m/>
    <m/>
  </r>
  <r>
    <x v="19"/>
    <x v="19"/>
    <x v="19"/>
    <s v="LPA01"/>
    <x v="1"/>
    <s v=""/>
    <n v="0"/>
    <x v="1"/>
    <x v="1"/>
    <x v="1"/>
    <m/>
    <m/>
  </r>
  <r>
    <x v="20"/>
    <x v="20"/>
    <x v="20"/>
    <s v="LPA02"/>
    <x v="1"/>
    <s v=""/>
    <n v="0"/>
    <x v="1"/>
    <x v="1"/>
    <x v="1"/>
    <m/>
    <m/>
  </r>
  <r>
    <x v="20"/>
    <x v="20"/>
    <x v="20"/>
    <s v="LPA02"/>
    <x v="1"/>
    <s v=""/>
    <n v="0"/>
    <x v="1"/>
    <x v="1"/>
    <x v="1"/>
    <m/>
    <m/>
  </r>
  <r>
    <x v="4"/>
    <x v="4"/>
    <x v="4"/>
    <s v="LPA02"/>
    <x v="1"/>
    <s v=""/>
    <n v="0"/>
    <x v="1"/>
    <x v="1"/>
    <x v="1"/>
    <m/>
    <m/>
  </r>
  <r>
    <x v="5"/>
    <x v="5"/>
    <x v="5"/>
    <s v="LPA02"/>
    <x v="1"/>
    <s v=""/>
    <n v="0"/>
    <x v="1"/>
    <x v="1"/>
    <x v="1"/>
    <m/>
    <m/>
  </r>
  <r>
    <x v="6"/>
    <x v="6"/>
    <x v="6"/>
    <s v="LPA02"/>
    <x v="1"/>
    <s v=""/>
    <n v="0"/>
    <x v="1"/>
    <x v="1"/>
    <x v="1"/>
    <m/>
    <m/>
  </r>
  <r>
    <x v="8"/>
    <x v="8"/>
    <x v="8"/>
    <s v="LPA02"/>
    <x v="1"/>
    <s v=""/>
    <n v="0"/>
    <x v="1"/>
    <x v="1"/>
    <x v="1"/>
    <m/>
    <m/>
  </r>
  <r>
    <x v="9"/>
    <x v="9"/>
    <x v="9"/>
    <s v="LPA02"/>
    <x v="1"/>
    <s v=""/>
    <n v="0"/>
    <x v="1"/>
    <x v="1"/>
    <x v="1"/>
    <m/>
    <m/>
  </r>
  <r>
    <x v="7"/>
    <x v="7"/>
    <x v="7"/>
    <s v="LPA02"/>
    <x v="1"/>
    <s v=""/>
    <n v="0"/>
    <x v="1"/>
    <x v="1"/>
    <x v="1"/>
    <m/>
    <m/>
  </r>
  <r>
    <x v="7"/>
    <x v="7"/>
    <x v="7"/>
    <s v="LPA02"/>
    <x v="1"/>
    <s v=""/>
    <n v="0"/>
    <x v="1"/>
    <x v="1"/>
    <x v="1"/>
    <m/>
    <m/>
  </r>
  <r>
    <x v="10"/>
    <x v="10"/>
    <x v="10"/>
    <s v="LPA02"/>
    <x v="1"/>
    <s v=""/>
    <n v="0"/>
    <x v="1"/>
    <x v="1"/>
    <x v="1"/>
    <m/>
    <m/>
  </r>
  <r>
    <x v="11"/>
    <x v="11"/>
    <x v="11"/>
    <s v="LPA02"/>
    <x v="1"/>
    <s v=""/>
    <n v="0"/>
    <x v="1"/>
    <x v="1"/>
    <x v="1"/>
    <m/>
    <m/>
  </r>
  <r>
    <x v="12"/>
    <x v="12"/>
    <x v="12"/>
    <s v="LPA02"/>
    <x v="1"/>
    <s v=""/>
    <n v="0"/>
    <x v="1"/>
    <x v="1"/>
    <x v="1"/>
    <m/>
    <m/>
  </r>
  <r>
    <x v="13"/>
    <x v="13"/>
    <x v="13"/>
    <s v="LPA02"/>
    <x v="1"/>
    <s v=""/>
    <n v="0"/>
    <x v="1"/>
    <x v="1"/>
    <x v="1"/>
    <m/>
    <m/>
  </r>
  <r>
    <x v="14"/>
    <x v="14"/>
    <x v="14"/>
    <s v="ENG02"/>
    <x v="1"/>
    <s v=""/>
    <n v="0"/>
    <x v="1"/>
    <x v="1"/>
    <x v="1"/>
    <m/>
    <m/>
  </r>
  <r>
    <x v="15"/>
    <x v="15"/>
    <x v="15"/>
    <s v="ENG02"/>
    <x v="1"/>
    <s v=""/>
    <n v="0"/>
    <x v="1"/>
    <x v="1"/>
    <x v="1"/>
    <m/>
    <m/>
  </r>
  <r>
    <x v="16"/>
    <x v="16"/>
    <x v="16"/>
    <s v="ENG02"/>
    <x v="1"/>
    <s v=""/>
    <n v="0"/>
    <x v="1"/>
    <x v="1"/>
    <x v="1"/>
    <m/>
    <m/>
  </r>
  <r>
    <x v="17"/>
    <x v="17"/>
    <x v="17"/>
    <m/>
    <x v="1"/>
    <s v=""/>
    <m/>
    <x v="1"/>
    <x v="1"/>
    <x v="0"/>
    <m/>
    <m/>
  </r>
  <r>
    <x v="17"/>
    <x v="17"/>
    <x v="17"/>
    <m/>
    <x v="1"/>
    <s v=""/>
    <m/>
    <x v="1"/>
    <x v="1"/>
    <x v="0"/>
    <m/>
    <m/>
  </r>
  <r>
    <x v="19"/>
    <x v="19"/>
    <x v="19"/>
    <s v="LPA01"/>
    <x v="1"/>
    <s v=""/>
    <n v="0"/>
    <x v="1"/>
    <x v="1"/>
    <x v="1"/>
    <m/>
    <m/>
  </r>
  <r>
    <x v="20"/>
    <x v="20"/>
    <x v="20"/>
    <s v="LPA02"/>
    <x v="1"/>
    <s v=""/>
    <n v="0"/>
    <x v="1"/>
    <x v="1"/>
    <x v="1"/>
    <m/>
    <m/>
  </r>
  <r>
    <x v="20"/>
    <x v="20"/>
    <x v="20"/>
    <s v="LPA02"/>
    <x v="1"/>
    <s v=""/>
    <n v="0"/>
    <x v="1"/>
    <x v="1"/>
    <x v="1"/>
    <m/>
    <m/>
  </r>
  <r>
    <x v="4"/>
    <x v="4"/>
    <x v="4"/>
    <s v="LPA02"/>
    <x v="1"/>
    <s v=""/>
    <n v="0"/>
    <x v="1"/>
    <x v="1"/>
    <x v="1"/>
    <m/>
    <m/>
  </r>
  <r>
    <x v="5"/>
    <x v="5"/>
    <x v="5"/>
    <s v="LPA02"/>
    <x v="1"/>
    <s v=""/>
    <n v="0"/>
    <x v="1"/>
    <x v="1"/>
    <x v="1"/>
    <m/>
    <m/>
  </r>
  <r>
    <x v="6"/>
    <x v="6"/>
    <x v="6"/>
    <s v="LPA02"/>
    <x v="1"/>
    <s v=""/>
    <n v="0"/>
    <x v="1"/>
    <x v="1"/>
    <x v="1"/>
    <m/>
    <m/>
  </r>
  <r>
    <x v="8"/>
    <x v="8"/>
    <x v="8"/>
    <s v="LPA02"/>
    <x v="1"/>
    <s v=""/>
    <n v="0"/>
    <x v="1"/>
    <x v="1"/>
    <x v="1"/>
    <m/>
    <m/>
  </r>
  <r>
    <x v="9"/>
    <x v="9"/>
    <x v="9"/>
    <s v="LPA02"/>
    <x v="1"/>
    <s v=""/>
    <n v="0"/>
    <x v="1"/>
    <x v="1"/>
    <x v="1"/>
    <m/>
    <m/>
  </r>
  <r>
    <x v="7"/>
    <x v="7"/>
    <x v="7"/>
    <s v="LPA02"/>
    <x v="1"/>
    <s v=""/>
    <n v="0"/>
    <x v="1"/>
    <x v="1"/>
    <x v="1"/>
    <m/>
    <m/>
  </r>
  <r>
    <x v="7"/>
    <x v="7"/>
    <x v="7"/>
    <s v="LPA02"/>
    <x v="1"/>
    <s v=""/>
    <n v="0"/>
    <x v="1"/>
    <x v="1"/>
    <x v="1"/>
    <m/>
    <m/>
  </r>
  <r>
    <x v="10"/>
    <x v="10"/>
    <x v="10"/>
    <s v="LPA02"/>
    <x v="1"/>
    <s v=""/>
    <n v="0"/>
    <x v="1"/>
    <x v="1"/>
    <x v="1"/>
    <m/>
    <m/>
  </r>
  <r>
    <x v="11"/>
    <x v="11"/>
    <x v="11"/>
    <s v="LPA02"/>
    <x v="1"/>
    <s v=""/>
    <n v="0"/>
    <x v="1"/>
    <x v="1"/>
    <x v="1"/>
    <m/>
    <m/>
  </r>
  <r>
    <x v="12"/>
    <x v="12"/>
    <x v="12"/>
    <s v="LPA02"/>
    <x v="1"/>
    <s v=""/>
    <n v="0"/>
    <x v="1"/>
    <x v="1"/>
    <x v="1"/>
    <m/>
    <m/>
  </r>
  <r>
    <x v="13"/>
    <x v="13"/>
    <x v="13"/>
    <s v="LPA02"/>
    <x v="1"/>
    <s v=""/>
    <n v="0"/>
    <x v="1"/>
    <x v="1"/>
    <x v="1"/>
    <m/>
    <m/>
  </r>
  <r>
    <x v="14"/>
    <x v="14"/>
    <x v="14"/>
    <s v="ENG02"/>
    <x v="1"/>
    <s v=""/>
    <n v="0"/>
    <x v="1"/>
    <x v="1"/>
    <x v="1"/>
    <m/>
    <m/>
  </r>
  <r>
    <x v="15"/>
    <x v="15"/>
    <x v="15"/>
    <s v="ENG02"/>
    <x v="1"/>
    <s v=""/>
    <n v="0"/>
    <x v="1"/>
    <x v="1"/>
    <x v="1"/>
    <m/>
    <m/>
  </r>
  <r>
    <x v="16"/>
    <x v="16"/>
    <x v="16"/>
    <s v="ENG02"/>
    <x v="1"/>
    <s v=""/>
    <n v="0"/>
    <x v="1"/>
    <x v="1"/>
    <x v="1"/>
    <m/>
    <m/>
  </r>
  <r>
    <x v="17"/>
    <x v="17"/>
    <x v="17"/>
    <m/>
    <x v="1"/>
    <s v=""/>
    <m/>
    <x v="1"/>
    <x v="1"/>
    <x v="0"/>
    <m/>
    <m/>
  </r>
  <r>
    <x v="17"/>
    <x v="17"/>
    <x v="17"/>
    <m/>
    <x v="1"/>
    <s v=""/>
    <m/>
    <x v="1"/>
    <x v="1"/>
    <x v="0"/>
    <m/>
    <m/>
  </r>
  <r>
    <x v="17"/>
    <x v="17"/>
    <x v="17"/>
    <m/>
    <x v="1"/>
    <s v=""/>
    <m/>
    <x v="1"/>
    <x v="1"/>
    <x v="0"/>
    <m/>
    <m/>
  </r>
  <r>
    <x v="17"/>
    <x v="17"/>
    <x v="17"/>
    <m/>
    <x v="1"/>
    <s v=""/>
    <m/>
    <x v="1"/>
    <x v="1"/>
    <x v="0"/>
    <m/>
    <m/>
  </r>
  <r>
    <x v="17"/>
    <x v="17"/>
    <x v="17"/>
    <m/>
    <x v="1"/>
    <s v=""/>
    <m/>
    <x v="1"/>
    <x v="1"/>
    <x v="0"/>
    <m/>
    <m/>
  </r>
  <r>
    <x v="1"/>
    <x v="1"/>
    <x v="1"/>
    <s v="LPA01"/>
    <x v="1"/>
    <s v=""/>
    <n v="0"/>
    <x v="1"/>
    <x v="1"/>
    <x v="2"/>
    <m/>
    <m/>
  </r>
  <r>
    <x v="21"/>
    <x v="21"/>
    <x v="21"/>
    <s v="LPA02"/>
    <x v="1"/>
    <s v=""/>
    <n v="0"/>
    <x v="1"/>
    <x v="1"/>
    <x v="2"/>
    <m/>
    <m/>
  </r>
  <r>
    <x v="22"/>
    <x v="22"/>
    <x v="22"/>
    <s v="LPA02"/>
    <x v="1"/>
    <s v=""/>
    <n v="0"/>
    <x v="1"/>
    <x v="1"/>
    <x v="2"/>
    <m/>
    <m/>
  </r>
  <r>
    <x v="23"/>
    <x v="23"/>
    <x v="23"/>
    <s v="LPA02"/>
    <x v="1"/>
    <s v=""/>
    <n v="0"/>
    <x v="1"/>
    <x v="1"/>
    <x v="2"/>
    <m/>
    <m/>
  </r>
  <r>
    <x v="24"/>
    <x v="24"/>
    <x v="24"/>
    <s v="LPA02"/>
    <x v="1"/>
    <s v=""/>
    <n v="0"/>
    <x v="1"/>
    <x v="1"/>
    <x v="2"/>
    <m/>
    <m/>
  </r>
  <r>
    <x v="5"/>
    <x v="5"/>
    <x v="5"/>
    <s v="LPA02"/>
    <x v="1"/>
    <s v=""/>
    <n v="0"/>
    <x v="1"/>
    <x v="1"/>
    <x v="2"/>
    <m/>
    <m/>
  </r>
  <r>
    <x v="6"/>
    <x v="6"/>
    <x v="6"/>
    <s v="LPA02"/>
    <x v="1"/>
    <s v=""/>
    <n v="0"/>
    <x v="1"/>
    <x v="1"/>
    <x v="2"/>
    <m/>
    <m/>
  </r>
  <r>
    <x v="7"/>
    <x v="7"/>
    <x v="7"/>
    <s v="LPA02"/>
    <x v="1"/>
    <s v=""/>
    <n v="0"/>
    <x v="1"/>
    <x v="1"/>
    <x v="2"/>
    <m/>
    <m/>
  </r>
  <r>
    <x v="7"/>
    <x v="7"/>
    <x v="7"/>
    <s v="LPA02"/>
    <x v="1"/>
    <s v=""/>
    <n v="0"/>
    <x v="1"/>
    <x v="1"/>
    <x v="2"/>
    <m/>
    <m/>
  </r>
  <r>
    <x v="8"/>
    <x v="8"/>
    <x v="8"/>
    <s v="LPA02"/>
    <x v="1"/>
    <s v=""/>
    <n v="0"/>
    <x v="1"/>
    <x v="1"/>
    <x v="2"/>
    <m/>
    <m/>
  </r>
  <r>
    <x v="9"/>
    <x v="9"/>
    <x v="9"/>
    <s v="LPA02"/>
    <x v="1"/>
    <s v=""/>
    <n v="0"/>
    <x v="1"/>
    <x v="1"/>
    <x v="2"/>
    <m/>
    <m/>
  </r>
  <r>
    <x v="10"/>
    <x v="10"/>
    <x v="10"/>
    <s v="LPA02"/>
    <x v="1"/>
    <s v=""/>
    <n v="0"/>
    <x v="1"/>
    <x v="1"/>
    <x v="2"/>
    <m/>
    <m/>
  </r>
  <r>
    <x v="11"/>
    <x v="11"/>
    <x v="11"/>
    <s v="LPA02"/>
    <x v="1"/>
    <s v=""/>
    <n v="0"/>
    <x v="1"/>
    <x v="1"/>
    <x v="2"/>
    <m/>
    <m/>
  </r>
  <r>
    <x v="12"/>
    <x v="12"/>
    <x v="12"/>
    <s v="LPA02"/>
    <x v="1"/>
    <s v=""/>
    <n v="0"/>
    <x v="1"/>
    <x v="1"/>
    <x v="2"/>
    <m/>
    <m/>
  </r>
  <r>
    <x v="13"/>
    <x v="13"/>
    <x v="13"/>
    <s v="LPA02"/>
    <x v="1"/>
    <s v=""/>
    <n v="0"/>
    <x v="1"/>
    <x v="1"/>
    <x v="2"/>
    <m/>
    <m/>
  </r>
  <r>
    <x v="14"/>
    <x v="14"/>
    <x v="14"/>
    <s v="ENG02"/>
    <x v="1"/>
    <s v=""/>
    <n v="0"/>
    <x v="1"/>
    <x v="1"/>
    <x v="2"/>
    <m/>
    <m/>
  </r>
  <r>
    <x v="15"/>
    <x v="15"/>
    <x v="15"/>
    <s v="ENG02"/>
    <x v="1"/>
    <s v=""/>
    <n v="0"/>
    <x v="1"/>
    <x v="1"/>
    <x v="2"/>
    <m/>
    <m/>
  </r>
  <r>
    <x v="16"/>
    <x v="16"/>
    <x v="16"/>
    <s v="ENG02"/>
    <x v="1"/>
    <s v=""/>
    <n v="0"/>
    <x v="1"/>
    <x v="1"/>
    <x v="2"/>
    <m/>
    <m/>
  </r>
  <r>
    <x v="17"/>
    <x v="17"/>
    <x v="17"/>
    <m/>
    <x v="1"/>
    <s v=""/>
    <m/>
    <x v="1"/>
    <x v="1"/>
    <x v="0"/>
    <m/>
    <m/>
  </r>
  <r>
    <x v="17"/>
    <x v="17"/>
    <x v="17"/>
    <m/>
    <x v="1"/>
    <s v=""/>
    <m/>
    <x v="1"/>
    <x v="1"/>
    <x v="0"/>
    <m/>
    <m/>
  </r>
  <r>
    <x v="19"/>
    <x v="19"/>
    <x v="19"/>
    <s v="LPA01"/>
    <x v="1"/>
    <s v=""/>
    <n v="0"/>
    <x v="1"/>
    <x v="1"/>
    <x v="2"/>
    <m/>
    <m/>
  </r>
  <r>
    <x v="21"/>
    <x v="21"/>
    <x v="21"/>
    <s v="LPA02"/>
    <x v="1"/>
    <s v=""/>
    <n v="0"/>
    <x v="1"/>
    <x v="1"/>
    <x v="2"/>
    <m/>
    <m/>
  </r>
  <r>
    <x v="22"/>
    <x v="22"/>
    <x v="22"/>
    <s v="LPA02"/>
    <x v="1"/>
    <s v=""/>
    <n v="0"/>
    <x v="1"/>
    <x v="1"/>
    <x v="2"/>
    <m/>
    <m/>
  </r>
  <r>
    <x v="23"/>
    <x v="23"/>
    <x v="23"/>
    <s v="LPA02"/>
    <x v="1"/>
    <s v=""/>
    <n v="0"/>
    <x v="1"/>
    <x v="1"/>
    <x v="2"/>
    <m/>
    <m/>
  </r>
  <r>
    <x v="24"/>
    <x v="24"/>
    <x v="24"/>
    <s v="LPA02"/>
    <x v="1"/>
    <s v=""/>
    <n v="0"/>
    <x v="1"/>
    <x v="1"/>
    <x v="2"/>
    <m/>
    <m/>
  </r>
  <r>
    <x v="5"/>
    <x v="5"/>
    <x v="5"/>
    <s v="LPA02"/>
    <x v="1"/>
    <s v=""/>
    <n v="0"/>
    <x v="1"/>
    <x v="1"/>
    <x v="2"/>
    <m/>
    <m/>
  </r>
  <r>
    <x v="6"/>
    <x v="6"/>
    <x v="6"/>
    <s v="LPA02"/>
    <x v="1"/>
    <s v=""/>
    <n v="0"/>
    <x v="1"/>
    <x v="1"/>
    <x v="2"/>
    <m/>
    <m/>
  </r>
  <r>
    <x v="7"/>
    <x v="7"/>
    <x v="7"/>
    <s v="LPA02"/>
    <x v="1"/>
    <s v=""/>
    <n v="0"/>
    <x v="1"/>
    <x v="1"/>
    <x v="2"/>
    <m/>
    <m/>
  </r>
  <r>
    <x v="7"/>
    <x v="7"/>
    <x v="7"/>
    <s v="LPA02"/>
    <x v="1"/>
    <s v=""/>
    <n v="0"/>
    <x v="1"/>
    <x v="1"/>
    <x v="2"/>
    <m/>
    <m/>
  </r>
  <r>
    <x v="8"/>
    <x v="8"/>
    <x v="8"/>
    <s v="LPA02"/>
    <x v="1"/>
    <s v=""/>
    <n v="0"/>
    <x v="1"/>
    <x v="1"/>
    <x v="2"/>
    <m/>
    <m/>
  </r>
  <r>
    <x v="9"/>
    <x v="9"/>
    <x v="9"/>
    <s v="LPA02"/>
    <x v="1"/>
    <s v=""/>
    <n v="0"/>
    <x v="1"/>
    <x v="1"/>
    <x v="2"/>
    <m/>
    <m/>
  </r>
  <r>
    <x v="10"/>
    <x v="10"/>
    <x v="10"/>
    <s v="LPA02"/>
    <x v="1"/>
    <s v=""/>
    <n v="0"/>
    <x v="1"/>
    <x v="1"/>
    <x v="2"/>
    <m/>
    <m/>
  </r>
  <r>
    <x v="11"/>
    <x v="11"/>
    <x v="11"/>
    <s v="LPA02"/>
    <x v="1"/>
    <s v=""/>
    <n v="0"/>
    <x v="1"/>
    <x v="1"/>
    <x v="2"/>
    <m/>
    <m/>
  </r>
  <r>
    <x v="12"/>
    <x v="12"/>
    <x v="12"/>
    <s v="LPA02"/>
    <x v="1"/>
    <s v=""/>
    <n v="0"/>
    <x v="1"/>
    <x v="1"/>
    <x v="2"/>
    <m/>
    <m/>
  </r>
  <r>
    <x v="13"/>
    <x v="13"/>
    <x v="13"/>
    <s v="LPA02"/>
    <x v="1"/>
    <s v=""/>
    <n v="0"/>
    <x v="1"/>
    <x v="1"/>
    <x v="2"/>
    <m/>
    <m/>
  </r>
  <r>
    <x v="14"/>
    <x v="14"/>
    <x v="14"/>
    <s v="ENG02"/>
    <x v="1"/>
    <s v=""/>
    <n v="0"/>
    <x v="1"/>
    <x v="1"/>
    <x v="2"/>
    <m/>
    <m/>
  </r>
  <r>
    <x v="15"/>
    <x v="15"/>
    <x v="15"/>
    <s v="ENG02"/>
    <x v="1"/>
    <s v=""/>
    <n v="0"/>
    <x v="1"/>
    <x v="1"/>
    <x v="2"/>
    <m/>
    <m/>
  </r>
  <r>
    <x v="16"/>
    <x v="16"/>
    <x v="16"/>
    <s v="ENG02"/>
    <x v="1"/>
    <s v=""/>
    <n v="0"/>
    <x v="1"/>
    <x v="1"/>
    <x v="2"/>
    <m/>
    <m/>
  </r>
  <r>
    <x v="17"/>
    <x v="17"/>
    <x v="17"/>
    <m/>
    <x v="1"/>
    <s v=""/>
    <m/>
    <x v="1"/>
    <x v="1"/>
    <x v="0"/>
    <m/>
    <m/>
  </r>
  <r>
    <x v="17"/>
    <x v="17"/>
    <x v="17"/>
    <m/>
    <x v="1"/>
    <s v=""/>
    <m/>
    <x v="1"/>
    <x v="1"/>
    <x v="0"/>
    <m/>
    <m/>
  </r>
  <r>
    <x v="25"/>
    <x v="25"/>
    <x v="25"/>
    <s v="LPA01"/>
    <x v="1"/>
    <s v=""/>
    <n v="0"/>
    <x v="1"/>
    <x v="1"/>
    <x v="3"/>
    <m/>
    <m/>
  </r>
  <r>
    <x v="21"/>
    <x v="21"/>
    <x v="21"/>
    <s v="LPA02"/>
    <x v="1"/>
    <s v=""/>
    <n v="0"/>
    <x v="1"/>
    <x v="1"/>
    <x v="3"/>
    <m/>
    <m/>
  </r>
  <r>
    <x v="26"/>
    <x v="26"/>
    <x v="26"/>
    <s v="LPA02"/>
    <x v="1"/>
    <s v=""/>
    <n v="0"/>
    <x v="1"/>
    <x v="1"/>
    <x v="3"/>
    <m/>
    <m/>
  </r>
  <r>
    <x v="23"/>
    <x v="23"/>
    <x v="23"/>
    <s v="LPA02"/>
    <x v="1"/>
    <s v=""/>
    <n v="0"/>
    <x v="1"/>
    <x v="1"/>
    <x v="3"/>
    <m/>
    <m/>
  </r>
  <r>
    <x v="27"/>
    <x v="27"/>
    <x v="27"/>
    <s v="LPA02"/>
    <x v="1"/>
    <s v=""/>
    <n v="0"/>
    <x v="1"/>
    <x v="1"/>
    <x v="3"/>
    <m/>
    <m/>
  </r>
  <r>
    <x v="5"/>
    <x v="5"/>
    <x v="5"/>
    <s v="LPA02"/>
    <x v="1"/>
    <s v=""/>
    <n v="0"/>
    <x v="1"/>
    <x v="1"/>
    <x v="3"/>
    <m/>
    <m/>
  </r>
  <r>
    <x v="6"/>
    <x v="6"/>
    <x v="6"/>
    <s v="LPA02"/>
    <x v="1"/>
    <s v=""/>
    <n v="0"/>
    <x v="1"/>
    <x v="1"/>
    <x v="3"/>
    <m/>
    <m/>
  </r>
  <r>
    <x v="7"/>
    <x v="7"/>
    <x v="7"/>
    <s v="LPA02"/>
    <x v="1"/>
    <s v=""/>
    <n v="0"/>
    <x v="1"/>
    <x v="1"/>
    <x v="3"/>
    <m/>
    <m/>
  </r>
  <r>
    <x v="7"/>
    <x v="7"/>
    <x v="7"/>
    <s v="LPA02"/>
    <x v="1"/>
    <s v=""/>
    <n v="0"/>
    <x v="1"/>
    <x v="1"/>
    <x v="3"/>
    <m/>
    <m/>
  </r>
  <r>
    <x v="8"/>
    <x v="8"/>
    <x v="8"/>
    <s v="LPA02"/>
    <x v="1"/>
    <s v=""/>
    <n v="0"/>
    <x v="1"/>
    <x v="1"/>
    <x v="3"/>
    <m/>
    <m/>
  </r>
  <r>
    <x v="9"/>
    <x v="9"/>
    <x v="9"/>
    <s v="LPA02"/>
    <x v="1"/>
    <s v=""/>
    <n v="0"/>
    <x v="1"/>
    <x v="1"/>
    <x v="3"/>
    <m/>
    <m/>
  </r>
  <r>
    <x v="10"/>
    <x v="10"/>
    <x v="10"/>
    <s v="LPA02"/>
    <x v="1"/>
    <s v=""/>
    <n v="0"/>
    <x v="1"/>
    <x v="1"/>
    <x v="3"/>
    <m/>
    <m/>
  </r>
  <r>
    <x v="11"/>
    <x v="11"/>
    <x v="11"/>
    <s v="LPA02"/>
    <x v="1"/>
    <s v=""/>
    <n v="0"/>
    <x v="1"/>
    <x v="1"/>
    <x v="3"/>
    <m/>
    <m/>
  </r>
  <r>
    <x v="12"/>
    <x v="12"/>
    <x v="12"/>
    <s v="LPA02"/>
    <x v="1"/>
    <s v=""/>
    <n v="0"/>
    <x v="1"/>
    <x v="1"/>
    <x v="3"/>
    <m/>
    <m/>
  </r>
  <r>
    <x v="13"/>
    <x v="13"/>
    <x v="13"/>
    <s v="LPA02"/>
    <x v="1"/>
    <s v=""/>
    <n v="0"/>
    <x v="1"/>
    <x v="1"/>
    <x v="3"/>
    <m/>
    <m/>
  </r>
  <r>
    <x v="14"/>
    <x v="14"/>
    <x v="14"/>
    <s v="ENG02"/>
    <x v="1"/>
    <s v=""/>
    <n v="0"/>
    <x v="1"/>
    <x v="1"/>
    <x v="3"/>
    <m/>
    <m/>
  </r>
  <r>
    <x v="15"/>
    <x v="15"/>
    <x v="15"/>
    <s v="ENG02"/>
    <x v="1"/>
    <s v=""/>
    <n v="0"/>
    <x v="1"/>
    <x v="1"/>
    <x v="3"/>
    <m/>
    <m/>
  </r>
  <r>
    <x v="16"/>
    <x v="16"/>
    <x v="16"/>
    <s v="ENG02"/>
    <x v="1"/>
    <s v=""/>
    <n v="0"/>
    <x v="1"/>
    <x v="1"/>
    <x v="3"/>
    <m/>
    <m/>
  </r>
  <r>
    <x v="17"/>
    <x v="17"/>
    <x v="17"/>
    <m/>
    <x v="1"/>
    <s v=""/>
    <m/>
    <x v="1"/>
    <x v="1"/>
    <x v="0"/>
    <m/>
    <m/>
  </r>
  <r>
    <x v="17"/>
    <x v="17"/>
    <x v="17"/>
    <m/>
    <x v="1"/>
    <s v=""/>
    <m/>
    <x v="1"/>
    <x v="1"/>
    <x v="0"/>
    <m/>
    <m/>
  </r>
  <r>
    <x v="28"/>
    <x v="28"/>
    <x v="28"/>
    <s v="LPA01"/>
    <x v="1"/>
    <s v=""/>
    <n v="0"/>
    <x v="1"/>
    <x v="1"/>
    <x v="3"/>
    <m/>
    <m/>
  </r>
  <r>
    <x v="27"/>
    <x v="27"/>
    <x v="27"/>
    <s v="LPA02"/>
    <x v="1"/>
    <s v=""/>
    <n v="0"/>
    <x v="1"/>
    <x v="1"/>
    <x v="3"/>
    <m/>
    <m/>
  </r>
  <r>
    <x v="29"/>
    <x v="29"/>
    <x v="29"/>
    <s v="LPA02"/>
    <x v="1"/>
    <s v=""/>
    <n v="0"/>
    <x v="1"/>
    <x v="1"/>
    <x v="3"/>
    <m/>
    <m/>
  </r>
  <r>
    <x v="8"/>
    <x v="8"/>
    <x v="8"/>
    <s v="LPA02"/>
    <x v="1"/>
    <s v=""/>
    <n v="0"/>
    <x v="1"/>
    <x v="1"/>
    <x v="3"/>
    <m/>
    <m/>
  </r>
  <r>
    <x v="9"/>
    <x v="9"/>
    <x v="9"/>
    <s v="LPA02"/>
    <x v="1"/>
    <s v=""/>
    <n v="0"/>
    <x v="1"/>
    <x v="1"/>
    <x v="3"/>
    <m/>
    <m/>
  </r>
  <r>
    <x v="0"/>
    <x v="0"/>
    <x v="0"/>
    <m/>
    <x v="0"/>
    <m/>
    <m/>
    <x v="2"/>
    <x v="0"/>
    <x v="0"/>
    <m/>
    <m/>
  </r>
  <r>
    <x v="0"/>
    <x v="0"/>
    <x v="0"/>
    <m/>
    <x v="0"/>
    <m/>
    <m/>
    <x v="2"/>
    <x v="0"/>
    <x v="0"/>
    <m/>
    <m/>
  </r>
  <r>
    <x v="0"/>
    <x v="0"/>
    <x v="0"/>
    <m/>
    <x v="0"/>
    <m/>
    <m/>
    <x v="2"/>
    <x v="0"/>
    <x v="0"/>
    <m/>
    <m/>
  </r>
  <r>
    <x v="0"/>
    <x v="0"/>
    <x v="0"/>
    <m/>
    <x v="0"/>
    <m/>
    <m/>
    <x v="2"/>
    <x v="0"/>
    <x v="0"/>
    <m/>
    <m/>
  </r>
  <r>
    <x v="17"/>
    <x v="30"/>
    <x v="30"/>
    <m/>
    <x v="1"/>
    <s v=""/>
    <n v="0"/>
    <x v="1"/>
    <x v="1"/>
    <x v="4"/>
    <m/>
    <m/>
  </r>
  <r>
    <x v="17"/>
    <x v="17"/>
    <x v="31"/>
    <m/>
    <x v="1"/>
    <s v=""/>
    <n v="0"/>
    <x v="1"/>
    <x v="1"/>
    <x v="4"/>
    <m/>
    <m/>
  </r>
  <r>
    <x v="17"/>
    <x v="17"/>
    <x v="17"/>
    <m/>
    <x v="1"/>
    <s v=""/>
    <n v="0"/>
    <x v="1"/>
    <x v="1"/>
    <x v="4"/>
    <m/>
    <m/>
  </r>
  <r>
    <x v="17"/>
    <x v="17"/>
    <x v="17"/>
    <m/>
    <x v="1"/>
    <s v=""/>
    <n v="0"/>
    <x v="1"/>
    <x v="1"/>
    <x v="4"/>
    <m/>
    <m/>
  </r>
  <r>
    <x v="17"/>
    <x v="17"/>
    <x v="17"/>
    <m/>
    <x v="1"/>
    <s v=""/>
    <n v="0"/>
    <x v="1"/>
    <x v="1"/>
    <x v="4"/>
    <m/>
    <m/>
  </r>
  <r>
    <x v="17"/>
    <x v="17"/>
    <x v="17"/>
    <m/>
    <x v="0"/>
    <m/>
    <m/>
    <x v="1"/>
    <x v="1"/>
    <x v="0"/>
    <m/>
    <m/>
  </r>
  <r>
    <x v="17"/>
    <x v="17"/>
    <x v="17"/>
    <m/>
    <x v="0"/>
    <s v=""/>
    <m/>
    <x v="1"/>
    <x v="1"/>
    <x v="0"/>
    <m/>
    <m/>
  </r>
  <r>
    <x v="17"/>
    <x v="17"/>
    <x v="17"/>
    <m/>
    <x v="0"/>
    <s v=""/>
    <m/>
    <x v="1"/>
    <x v="1"/>
    <x v="0"/>
    <m/>
    <m/>
  </r>
  <r>
    <x v="17"/>
    <x v="17"/>
    <x v="17"/>
    <m/>
    <x v="0"/>
    <s v=""/>
    <m/>
    <x v="1"/>
    <x v="1"/>
    <x v="0"/>
    <m/>
    <m/>
  </r>
  <r>
    <x v="17"/>
    <x v="17"/>
    <x v="17"/>
    <m/>
    <x v="0"/>
    <s v=""/>
    <m/>
    <x v="1"/>
    <x v="1"/>
    <x v="0"/>
    <m/>
    <m/>
  </r>
  <r>
    <x v="17"/>
    <x v="17"/>
    <x v="17"/>
    <m/>
    <x v="0"/>
    <s v=""/>
    <m/>
    <x v="1"/>
    <x v="1"/>
    <x v="0"/>
    <m/>
    <m/>
  </r>
  <r>
    <x v="30"/>
    <x v="31"/>
    <x v="32"/>
    <s v="PST02"/>
    <x v="2"/>
    <s v=""/>
    <s v=""/>
    <x v="1"/>
    <x v="1"/>
    <x v="5"/>
    <m/>
    <m/>
  </r>
  <r>
    <x v="31"/>
    <x v="32"/>
    <x v="33"/>
    <s v="PST02"/>
    <x v="2"/>
    <s v=""/>
    <s v=""/>
    <x v="1"/>
    <x v="1"/>
    <x v="5"/>
    <m/>
    <m/>
  </r>
  <r>
    <x v="32"/>
    <x v="33"/>
    <x v="34"/>
    <s v="ENG02"/>
    <x v="2"/>
    <s v=""/>
    <s v=""/>
    <x v="1"/>
    <x v="1"/>
    <x v="5"/>
    <m/>
    <m/>
  </r>
  <r>
    <x v="33"/>
    <x v="34"/>
    <x v="35"/>
    <s v="ENG02"/>
    <x v="2"/>
    <s v=""/>
    <s v=""/>
    <x v="1"/>
    <x v="1"/>
    <x v="5"/>
    <m/>
    <m/>
  </r>
  <r>
    <x v="17"/>
    <x v="17"/>
    <x v="17"/>
    <m/>
    <x v="0"/>
    <s v=""/>
    <s v=""/>
    <x v="1"/>
    <x v="1"/>
    <x v="6"/>
    <m/>
    <m/>
  </r>
  <r>
    <x v="17"/>
    <x v="17"/>
    <x v="17"/>
    <m/>
    <x v="0"/>
    <s v=""/>
    <s v=""/>
    <x v="1"/>
    <x v="1"/>
    <x v="6"/>
    <m/>
    <m/>
  </r>
  <r>
    <x v="34"/>
    <x v="35"/>
    <x v="36"/>
    <s v="PST02"/>
    <x v="2"/>
    <s v=""/>
    <s v=""/>
    <x v="1"/>
    <x v="1"/>
    <x v="5"/>
    <m/>
    <m/>
  </r>
  <r>
    <x v="35"/>
    <x v="36"/>
    <x v="37"/>
    <s v="PST02"/>
    <x v="2"/>
    <s v=""/>
    <s v=""/>
    <x v="1"/>
    <x v="1"/>
    <x v="5"/>
    <m/>
    <m/>
  </r>
  <r>
    <x v="17"/>
    <x v="17"/>
    <x v="17"/>
    <m/>
    <x v="0"/>
    <s v=""/>
    <s v=""/>
    <x v="1"/>
    <x v="1"/>
    <x v="6"/>
    <m/>
    <m/>
  </r>
  <r>
    <x v="17"/>
    <x v="17"/>
    <x v="17"/>
    <m/>
    <x v="0"/>
    <s v=""/>
    <s v=""/>
    <x v="1"/>
    <x v="1"/>
    <x v="6"/>
    <m/>
    <m/>
  </r>
  <r>
    <x v="17"/>
    <x v="17"/>
    <x v="17"/>
    <m/>
    <x v="0"/>
    <s v=""/>
    <s v=""/>
    <x v="1"/>
    <x v="1"/>
    <x v="6"/>
    <m/>
    <m/>
  </r>
  <r>
    <x v="36"/>
    <x v="37"/>
    <x v="38"/>
    <m/>
    <x v="0"/>
    <s v=""/>
    <s v=""/>
    <x v="1"/>
    <x v="1"/>
    <x v="6"/>
    <m/>
    <m/>
  </r>
  <r>
    <x v="36"/>
    <x v="37"/>
    <x v="39"/>
    <m/>
    <x v="0"/>
    <s v=""/>
    <s v=""/>
    <x v="1"/>
    <x v="1"/>
    <x v="6"/>
    <m/>
    <m/>
  </r>
  <r>
    <x v="36"/>
    <x v="37"/>
    <x v="38"/>
    <m/>
    <x v="0"/>
    <s v=""/>
    <s v=""/>
    <x v="1"/>
    <x v="1"/>
    <x v="6"/>
    <m/>
    <m/>
  </r>
  <r>
    <x v="36"/>
    <x v="37"/>
    <x v="39"/>
    <m/>
    <x v="0"/>
    <s v=""/>
    <s v=""/>
    <x v="1"/>
    <x v="1"/>
    <x v="6"/>
    <m/>
    <m/>
  </r>
  <r>
    <x v="17"/>
    <x v="17"/>
    <x v="17"/>
    <m/>
    <x v="0"/>
    <s v=""/>
    <s v=""/>
    <x v="1"/>
    <x v="1"/>
    <x v="6"/>
    <m/>
    <m/>
  </r>
  <r>
    <x v="17"/>
    <x v="17"/>
    <x v="17"/>
    <m/>
    <x v="0"/>
    <s v=""/>
    <s v=""/>
    <x v="1"/>
    <x v="1"/>
    <x v="6"/>
    <m/>
    <m/>
  </r>
  <r>
    <x v="17"/>
    <x v="17"/>
    <x v="17"/>
    <m/>
    <x v="0"/>
    <s v=""/>
    <s v=""/>
    <x v="1"/>
    <x v="1"/>
    <x v="6"/>
    <m/>
    <m/>
  </r>
  <r>
    <x v="17"/>
    <x v="17"/>
    <x v="17"/>
    <m/>
    <x v="0"/>
    <s v=""/>
    <s v=""/>
    <x v="1"/>
    <x v="1"/>
    <x v="6"/>
    <m/>
    <m/>
  </r>
  <r>
    <x v="36"/>
    <x v="37"/>
    <x v="40"/>
    <m/>
    <x v="0"/>
    <s v=""/>
    <s v=""/>
    <x v="1"/>
    <x v="1"/>
    <x v="6"/>
    <m/>
    <m/>
  </r>
  <r>
    <x v="36"/>
    <x v="37"/>
    <x v="39"/>
    <m/>
    <x v="0"/>
    <s v=""/>
    <s v=""/>
    <x v="1"/>
    <x v="1"/>
    <x v="6"/>
    <m/>
    <m/>
  </r>
  <r>
    <x v="36"/>
    <x v="37"/>
    <x v="40"/>
    <m/>
    <x v="0"/>
    <s v=""/>
    <s v=""/>
    <x v="1"/>
    <x v="1"/>
    <x v="6"/>
    <m/>
    <m/>
  </r>
  <r>
    <x v="36"/>
    <x v="37"/>
    <x v="39"/>
    <m/>
    <x v="0"/>
    <s v=""/>
    <s v=""/>
    <x v="1"/>
    <x v="1"/>
    <x v="6"/>
    <m/>
    <m/>
  </r>
  <r>
    <x v="17"/>
    <x v="17"/>
    <x v="17"/>
    <m/>
    <x v="0"/>
    <s v=""/>
    <s v=""/>
    <x v="1"/>
    <x v="1"/>
    <x v="6"/>
    <m/>
    <m/>
  </r>
  <r>
    <x v="17"/>
    <x v="17"/>
    <x v="17"/>
    <m/>
    <x v="0"/>
    <s v=""/>
    <s v=""/>
    <x v="1"/>
    <x v="1"/>
    <x v="6"/>
    <m/>
    <m/>
  </r>
  <r>
    <x v="37"/>
    <x v="38"/>
    <x v="41"/>
    <m/>
    <x v="0"/>
    <s v=""/>
    <s v=""/>
    <x v="1"/>
    <x v="1"/>
    <x v="6"/>
    <m/>
    <m/>
  </r>
  <r>
    <x v="38"/>
    <x v="39"/>
    <x v="42"/>
    <m/>
    <x v="0"/>
    <s v=""/>
    <s v=""/>
    <x v="1"/>
    <x v="1"/>
    <x v="6"/>
    <m/>
    <m/>
  </r>
  <r>
    <x v="39"/>
    <x v="40"/>
    <x v="43"/>
    <m/>
    <x v="0"/>
    <s v=""/>
    <s v=""/>
    <x v="1"/>
    <x v="1"/>
    <x v="6"/>
    <m/>
    <m/>
  </r>
  <r>
    <x v="40"/>
    <x v="41"/>
    <x v="44"/>
    <m/>
    <x v="0"/>
    <s v=""/>
    <s v=""/>
    <x v="1"/>
    <x v="1"/>
    <x v="6"/>
    <m/>
    <m/>
  </r>
  <r>
    <x v="41"/>
    <x v="42"/>
    <x v="45"/>
    <m/>
    <x v="0"/>
    <s v=""/>
    <s v=""/>
    <x v="1"/>
    <x v="1"/>
    <x v="6"/>
    <m/>
    <m/>
  </r>
  <r>
    <x v="17"/>
    <x v="17"/>
    <x v="17"/>
    <m/>
    <x v="0"/>
    <s v=""/>
    <s v=""/>
    <x v="1"/>
    <x v="1"/>
    <x v="6"/>
    <m/>
    <m/>
  </r>
  <r>
    <x v="17"/>
    <x v="17"/>
    <x v="17"/>
    <m/>
    <x v="0"/>
    <s v=""/>
    <s v=""/>
    <x v="1"/>
    <x v="1"/>
    <x v="6"/>
    <m/>
    <m/>
  </r>
  <r>
    <x v="17"/>
    <x v="17"/>
    <x v="17"/>
    <m/>
    <x v="0"/>
    <s v=""/>
    <s v=""/>
    <x v="1"/>
    <x v="1"/>
    <x v="6"/>
    <m/>
    <m/>
  </r>
  <r>
    <x v="42"/>
    <x v="43"/>
    <x v="46"/>
    <s v="IMP01"/>
    <x v="3"/>
    <s v=""/>
    <s v=""/>
    <x v="1"/>
    <x v="1"/>
    <x v="7"/>
    <m/>
    <m/>
  </r>
  <r>
    <x v="42"/>
    <x v="43"/>
    <x v="46"/>
    <s v="IMP01"/>
    <x v="3"/>
    <s v=""/>
    <s v=""/>
    <x v="1"/>
    <x v="1"/>
    <x v="7"/>
    <m/>
    <m/>
  </r>
  <r>
    <x v="43"/>
    <x v="44"/>
    <x v="47"/>
    <s v="IMP01"/>
    <x v="3"/>
    <s v=""/>
    <s v=""/>
    <x v="1"/>
    <x v="1"/>
    <x v="7"/>
    <m/>
    <m/>
  </r>
  <r>
    <x v="44"/>
    <x v="45"/>
    <x v="48"/>
    <s v="IMP01"/>
    <x v="3"/>
    <s v=""/>
    <s v=""/>
    <x v="1"/>
    <x v="1"/>
    <x v="7"/>
    <m/>
    <m/>
  </r>
  <r>
    <x v="45"/>
    <x v="46"/>
    <x v="49"/>
    <s v="IMP01"/>
    <x v="3"/>
    <s v=""/>
    <s v=""/>
    <x v="1"/>
    <x v="1"/>
    <x v="7"/>
    <m/>
    <m/>
  </r>
  <r>
    <x v="46"/>
    <x v="47"/>
    <x v="50"/>
    <s v="IMP01"/>
    <x v="3"/>
    <s v=""/>
    <s v=""/>
    <x v="1"/>
    <x v="1"/>
    <x v="7"/>
    <m/>
    <m/>
  </r>
  <r>
    <x v="47"/>
    <x v="48"/>
    <x v="51"/>
    <s v="IMP01"/>
    <x v="3"/>
    <s v=""/>
    <s v=""/>
    <x v="1"/>
    <x v="1"/>
    <x v="7"/>
    <m/>
    <m/>
  </r>
  <r>
    <x v="48"/>
    <x v="49"/>
    <x v="52"/>
    <s v="DCD02"/>
    <x v="2"/>
    <s v=""/>
    <s v=""/>
    <x v="1"/>
    <x v="1"/>
    <x v="5"/>
    <m/>
    <m/>
  </r>
  <r>
    <x v="49"/>
    <x v="50"/>
    <x v="53"/>
    <s v="DCD02"/>
    <x v="2"/>
    <s v=""/>
    <s v=""/>
    <x v="1"/>
    <x v="1"/>
    <x v="5"/>
    <m/>
    <m/>
  </r>
  <r>
    <x v="50"/>
    <x v="51"/>
    <x v="54"/>
    <s v="IMP01"/>
    <x v="3"/>
    <s v=""/>
    <s v=""/>
    <x v="1"/>
    <x v="1"/>
    <x v="7"/>
    <m/>
    <m/>
  </r>
  <r>
    <x v="51"/>
    <x v="52"/>
    <x v="55"/>
    <s v="LPA02"/>
    <x v="4"/>
    <s v=""/>
    <s v=""/>
    <x v="1"/>
    <x v="1"/>
    <x v="8"/>
    <m/>
    <m/>
  </r>
  <r>
    <x v="52"/>
    <x v="53"/>
    <x v="56"/>
    <s v="DCD02"/>
    <x v="2"/>
    <s v=""/>
    <s v=""/>
    <x v="1"/>
    <x v="1"/>
    <x v="5"/>
    <m/>
    <m/>
  </r>
  <r>
    <x v="17"/>
    <x v="17"/>
    <x v="17"/>
    <m/>
    <x v="0"/>
    <s v=""/>
    <s v=""/>
    <x v="1"/>
    <x v="1"/>
    <x v="6"/>
    <m/>
    <m/>
  </r>
  <r>
    <x v="17"/>
    <x v="17"/>
    <x v="17"/>
    <m/>
    <x v="0"/>
    <s v=""/>
    <s v=""/>
    <x v="1"/>
    <x v="1"/>
    <x v="6"/>
    <m/>
    <m/>
  </r>
  <r>
    <x v="17"/>
    <x v="17"/>
    <x v="17"/>
    <m/>
    <x v="0"/>
    <s v=""/>
    <s v=""/>
    <x v="1"/>
    <x v="1"/>
    <x v="6"/>
    <m/>
    <m/>
  </r>
  <r>
    <x v="53"/>
    <x v="54"/>
    <x v="57"/>
    <s v="IMP02"/>
    <x v="3"/>
    <s v=""/>
    <s v=""/>
    <x v="1"/>
    <x v="1"/>
    <x v="7"/>
    <m/>
    <m/>
  </r>
  <r>
    <x v="54"/>
    <x v="55"/>
    <x v="58"/>
    <s v="IMP02"/>
    <x v="3"/>
    <s v=""/>
    <s v=""/>
    <x v="1"/>
    <x v="1"/>
    <x v="7"/>
    <m/>
    <m/>
  </r>
  <r>
    <x v="55"/>
    <x v="56"/>
    <x v="59"/>
    <s v="IMP02"/>
    <x v="3"/>
    <s v=""/>
    <s v=""/>
    <x v="1"/>
    <x v="1"/>
    <x v="7"/>
    <m/>
    <m/>
  </r>
  <r>
    <x v="56"/>
    <x v="57"/>
    <x v="60"/>
    <s v="IMP02"/>
    <x v="3"/>
    <s v=""/>
    <s v=""/>
    <x v="1"/>
    <x v="1"/>
    <x v="7"/>
    <m/>
    <m/>
  </r>
  <r>
    <x v="57"/>
    <x v="58"/>
    <x v="61"/>
    <s v="IMP02"/>
    <x v="3"/>
    <s v=""/>
    <s v=""/>
    <x v="1"/>
    <x v="1"/>
    <x v="7"/>
    <m/>
    <m/>
  </r>
  <r>
    <x v="58"/>
    <x v="59"/>
    <x v="62"/>
    <s v="IMP02"/>
    <x v="3"/>
    <s v=""/>
    <s v=""/>
    <x v="1"/>
    <x v="1"/>
    <x v="7"/>
    <m/>
    <m/>
  </r>
  <r>
    <x v="17"/>
    <x v="17"/>
    <x v="17"/>
    <m/>
    <x v="0"/>
    <s v=""/>
    <s v=""/>
    <x v="1"/>
    <x v="1"/>
    <x v="6"/>
    <m/>
    <m/>
  </r>
  <r>
    <x v="17"/>
    <x v="17"/>
    <x v="17"/>
    <m/>
    <x v="0"/>
    <s v=""/>
    <s v=""/>
    <x v="1"/>
    <x v="1"/>
    <x v="6"/>
    <m/>
    <m/>
  </r>
  <r>
    <x v="17"/>
    <x v="17"/>
    <x v="17"/>
    <m/>
    <x v="0"/>
    <s v=""/>
    <s v=""/>
    <x v="1"/>
    <x v="1"/>
    <x v="6"/>
    <m/>
    <m/>
  </r>
  <r>
    <x v="17"/>
    <x v="17"/>
    <x v="17"/>
    <m/>
    <x v="0"/>
    <s v=""/>
    <s v=""/>
    <x v="1"/>
    <x v="1"/>
    <x v="6"/>
    <m/>
    <m/>
  </r>
  <r>
    <x v="17"/>
    <x v="17"/>
    <x v="17"/>
    <s v="LPA02"/>
    <x v="2"/>
    <s v=""/>
    <s v=""/>
    <x v="1"/>
    <x v="1"/>
    <x v="5"/>
    <m/>
    <m/>
  </r>
  <r>
    <x v="17"/>
    <x v="17"/>
    <x v="17"/>
    <s v="ENG02"/>
    <x v="2"/>
    <s v=""/>
    <s v=""/>
    <x v="1"/>
    <x v="1"/>
    <x v="5"/>
    <m/>
    <m/>
  </r>
  <r>
    <x v="17"/>
    <x v="17"/>
    <x v="17"/>
    <m/>
    <x v="0"/>
    <s v=""/>
    <s v=""/>
    <x v="1"/>
    <x v="1"/>
    <x v="6"/>
    <m/>
    <m/>
  </r>
  <r>
    <x v="17"/>
    <x v="17"/>
    <x v="17"/>
    <m/>
    <x v="0"/>
    <s v=""/>
    <s v=""/>
    <x v="1"/>
    <x v="1"/>
    <x v="6"/>
    <m/>
    <m/>
  </r>
  <r>
    <x v="17"/>
    <x v="17"/>
    <x v="17"/>
    <m/>
    <x v="0"/>
    <s v=""/>
    <s v=""/>
    <x v="1"/>
    <x v="1"/>
    <x v="6"/>
    <m/>
    <m/>
  </r>
  <r>
    <x v="17"/>
    <x v="17"/>
    <x v="17"/>
    <m/>
    <x v="0"/>
    <s v=""/>
    <s v=""/>
    <x v="1"/>
    <x v="1"/>
    <x v="6"/>
    <m/>
    <m/>
  </r>
  <r>
    <x v="36"/>
    <x v="37"/>
    <x v="63"/>
    <m/>
    <x v="0"/>
    <s v=""/>
    <s v=""/>
    <x v="1"/>
    <x v="1"/>
    <x v="6"/>
    <m/>
    <m/>
  </r>
  <r>
    <x v="36"/>
    <x v="37"/>
    <x v="64"/>
    <m/>
    <x v="0"/>
    <s v=""/>
    <s v=""/>
    <x v="1"/>
    <x v="1"/>
    <x v="6"/>
    <m/>
    <m/>
  </r>
  <r>
    <x v="36"/>
    <x v="37"/>
    <x v="65"/>
    <m/>
    <x v="0"/>
    <s v=""/>
    <s v=""/>
    <x v="1"/>
    <x v="1"/>
    <x v="6"/>
    <m/>
    <m/>
  </r>
  <r>
    <x v="36"/>
    <x v="37"/>
    <x v="66"/>
    <m/>
    <x v="0"/>
    <s v=""/>
    <s v=""/>
    <x v="1"/>
    <x v="1"/>
    <x v="6"/>
    <m/>
    <m/>
  </r>
  <r>
    <x v="36"/>
    <x v="37"/>
    <x v="67"/>
    <m/>
    <x v="0"/>
    <s v=""/>
    <s v=""/>
    <x v="1"/>
    <x v="1"/>
    <x v="6"/>
    <m/>
    <m/>
  </r>
  <r>
    <x v="36"/>
    <x v="37"/>
    <x v="68"/>
    <m/>
    <x v="0"/>
    <s v=""/>
    <s v=""/>
    <x v="1"/>
    <x v="1"/>
    <x v="6"/>
    <m/>
    <m/>
  </r>
  <r>
    <x v="59"/>
    <x v="60"/>
    <x v="69"/>
    <m/>
    <x v="0"/>
    <s v=""/>
    <s v=""/>
    <x v="1"/>
    <x v="1"/>
    <x v="6"/>
    <m/>
    <m/>
  </r>
  <r>
    <x v="36"/>
    <x v="37"/>
    <x v="70"/>
    <m/>
    <x v="0"/>
    <s v=""/>
    <s v=""/>
    <x v="1"/>
    <x v="1"/>
    <x v="6"/>
    <m/>
    <m/>
  </r>
  <r>
    <x v="60"/>
    <x v="61"/>
    <x v="71"/>
    <m/>
    <x v="0"/>
    <s v=""/>
    <s v=""/>
    <x v="1"/>
    <x v="1"/>
    <x v="6"/>
    <m/>
    <m/>
  </r>
  <r>
    <x v="36"/>
    <x v="37"/>
    <x v="72"/>
    <m/>
    <x v="0"/>
    <s v=""/>
    <s v=""/>
    <x v="1"/>
    <x v="1"/>
    <x v="6"/>
    <m/>
    <m/>
  </r>
  <r>
    <x v="36"/>
    <x v="37"/>
    <x v="73"/>
    <m/>
    <x v="0"/>
    <s v=""/>
    <s v=""/>
    <x v="1"/>
    <x v="1"/>
    <x v="6"/>
    <m/>
    <m/>
  </r>
  <r>
    <x v="61"/>
    <x v="62"/>
    <x v="74"/>
    <s v="ENG02"/>
    <x v="4"/>
    <s v=""/>
    <s v=""/>
    <x v="1"/>
    <x v="1"/>
    <x v="8"/>
    <m/>
    <m/>
  </r>
  <r>
    <x v="62"/>
    <x v="63"/>
    <x v="75"/>
    <s v="ENG02"/>
    <x v="4"/>
    <s v=""/>
    <s v=""/>
    <x v="1"/>
    <x v="1"/>
    <x v="8"/>
    <m/>
    <m/>
  </r>
  <r>
    <x v="63"/>
    <x v="64"/>
    <x v="76"/>
    <s v="ENG02"/>
    <x v="4"/>
    <s v=""/>
    <s v=""/>
    <x v="1"/>
    <x v="1"/>
    <x v="8"/>
    <m/>
    <m/>
  </r>
  <r>
    <x v="64"/>
    <x v="65"/>
    <x v="77"/>
    <s v="LPA02"/>
    <x v="5"/>
    <s v=""/>
    <s v=""/>
    <x v="1"/>
    <x v="1"/>
    <x v="9"/>
    <m/>
    <m/>
  </r>
  <r>
    <x v="17"/>
    <x v="17"/>
    <x v="17"/>
    <e v="#N/A"/>
    <x v="6"/>
    <s v=""/>
    <s v=""/>
    <x v="1"/>
    <x v="1"/>
    <x v="10"/>
    <m/>
    <m/>
  </r>
  <r>
    <x v="17"/>
    <x v="17"/>
    <x v="17"/>
    <e v="#N/A"/>
    <x v="6"/>
    <s v=""/>
    <s v=""/>
    <x v="1"/>
    <x v="1"/>
    <x v="10"/>
    <m/>
    <m/>
  </r>
  <r>
    <x v="17"/>
    <x v="17"/>
    <x v="17"/>
    <e v="#N/A"/>
    <x v="6"/>
    <s v=""/>
    <s v=""/>
    <x v="1"/>
    <x v="1"/>
    <x v="10"/>
    <m/>
    <m/>
  </r>
  <r>
    <x v="23"/>
    <x v="66"/>
    <x v="78"/>
    <s v="LPA02"/>
    <x v="7"/>
    <s v=""/>
    <s v=""/>
    <x v="1"/>
    <x v="1"/>
    <x v="11"/>
    <m/>
    <m/>
  </r>
  <r>
    <x v="65"/>
    <x v="67"/>
    <x v="79"/>
    <m/>
    <x v="0"/>
    <s v=""/>
    <s v=""/>
    <x v="1"/>
    <x v="1"/>
    <x v="6"/>
    <m/>
    <m/>
  </r>
  <r>
    <x v="17"/>
    <x v="17"/>
    <x v="17"/>
    <e v="#N/A"/>
    <x v="6"/>
    <s v=""/>
    <s v=""/>
    <x v="1"/>
    <x v="1"/>
    <x v="10"/>
    <m/>
    <m/>
  </r>
  <r>
    <x v="17"/>
    <x v="17"/>
    <x v="17"/>
    <e v="#N/A"/>
    <x v="6"/>
    <s v=""/>
    <s v=""/>
    <x v="1"/>
    <x v="1"/>
    <x v="10"/>
    <m/>
    <m/>
  </r>
  <r>
    <x v="17"/>
    <x v="17"/>
    <x v="17"/>
    <e v="#N/A"/>
    <x v="6"/>
    <s v=""/>
    <s v=""/>
    <x v="1"/>
    <x v="1"/>
    <x v="10"/>
    <m/>
    <m/>
  </r>
  <r>
    <x v="17"/>
    <x v="17"/>
    <x v="17"/>
    <e v="#N/A"/>
    <x v="6"/>
    <s v=""/>
    <s v=""/>
    <x v="1"/>
    <x v="1"/>
    <x v="10"/>
    <m/>
    <m/>
  </r>
  <r>
    <x v="66"/>
    <x v="68"/>
    <x v="80"/>
    <s v="LPA02"/>
    <x v="7"/>
    <s v=""/>
    <s v=""/>
    <x v="1"/>
    <x v="1"/>
    <x v="11"/>
    <m/>
    <m/>
  </r>
  <r>
    <x v="17"/>
    <x v="17"/>
    <x v="17"/>
    <m/>
    <x v="0"/>
    <s v=""/>
    <s v=""/>
    <x v="1"/>
    <x v="1"/>
    <x v="6"/>
    <m/>
    <m/>
  </r>
  <r>
    <x v="67"/>
    <x v="30"/>
    <x v="30"/>
    <s v="LPA02"/>
    <x v="4"/>
    <s v=""/>
    <s v=""/>
    <x v="1"/>
    <x v="1"/>
    <x v="8"/>
    <m/>
    <m/>
  </r>
  <r>
    <x v="68"/>
    <x v="69"/>
    <x v="81"/>
    <s v="LPA02"/>
    <x v="4"/>
    <s v=""/>
    <s v=""/>
    <x v="1"/>
    <x v="1"/>
    <x v="8"/>
    <m/>
    <m/>
  </r>
  <r>
    <x v="69"/>
    <x v="70"/>
    <x v="82"/>
    <s v="LPA02"/>
    <x v="4"/>
    <s v=""/>
    <s v=""/>
    <x v="1"/>
    <x v="1"/>
    <x v="8"/>
    <m/>
    <m/>
  </r>
  <r>
    <x v="17"/>
    <x v="17"/>
    <x v="17"/>
    <m/>
    <x v="0"/>
    <s v=""/>
    <s v=""/>
    <x v="1"/>
    <x v="1"/>
    <x v="6"/>
    <m/>
    <m/>
  </r>
  <r>
    <x v="17"/>
    <x v="17"/>
    <x v="17"/>
    <m/>
    <x v="0"/>
    <s v=""/>
    <s v=""/>
    <x v="1"/>
    <x v="1"/>
    <x v="6"/>
    <m/>
    <m/>
  </r>
  <r>
    <x v="17"/>
    <x v="17"/>
    <x v="17"/>
    <m/>
    <x v="0"/>
    <s v=""/>
    <s v=""/>
    <x v="1"/>
    <x v="1"/>
    <x v="6"/>
    <m/>
    <m/>
  </r>
  <r>
    <x v="17"/>
    <x v="17"/>
    <x v="83"/>
    <m/>
    <x v="0"/>
    <s v=""/>
    <s v=""/>
    <x v="1"/>
    <x v="1"/>
    <x v="6"/>
    <m/>
    <m/>
  </r>
  <r>
    <x v="17"/>
    <x v="17"/>
    <x v="17"/>
    <m/>
    <x v="0"/>
    <s v=""/>
    <s v=""/>
    <x v="1"/>
    <x v="1"/>
    <x v="6"/>
    <m/>
    <m/>
  </r>
  <r>
    <x v="17"/>
    <x v="17"/>
    <x v="84"/>
    <m/>
    <x v="8"/>
    <s v=""/>
    <s v=""/>
    <x v="1"/>
    <x v="1"/>
    <x v="12"/>
    <m/>
    <m/>
  </r>
  <r>
    <x v="17"/>
    <x v="17"/>
    <x v="85"/>
    <m/>
    <x v="8"/>
    <s v=""/>
    <s v=""/>
    <x v="1"/>
    <x v="1"/>
    <x v="12"/>
    <m/>
    <m/>
  </r>
  <r>
    <x v="17"/>
    <x v="17"/>
    <x v="86"/>
    <m/>
    <x v="8"/>
    <s v=""/>
    <s v=""/>
    <x v="1"/>
    <x v="1"/>
    <x v="12"/>
    <m/>
    <m/>
  </r>
  <r>
    <x v="17"/>
    <x v="17"/>
    <x v="87"/>
    <m/>
    <x v="8"/>
    <s v=""/>
    <s v=""/>
    <x v="1"/>
    <x v="1"/>
    <x v="12"/>
    <m/>
    <m/>
  </r>
  <r>
    <x v="17"/>
    <x v="17"/>
    <x v="88"/>
    <m/>
    <x v="9"/>
    <s v=""/>
    <s v=""/>
    <x v="1"/>
    <x v="1"/>
    <x v="13"/>
    <m/>
    <m/>
  </r>
  <r>
    <x v="17"/>
    <x v="17"/>
    <x v="17"/>
    <m/>
    <x v="0"/>
    <s v=""/>
    <s v=""/>
    <x v="1"/>
    <x v="1"/>
    <x v="6"/>
    <m/>
    <m/>
  </r>
  <r>
    <x v="17"/>
    <x v="17"/>
    <x v="89"/>
    <m/>
    <x v="8"/>
    <s v=""/>
    <s v=""/>
    <x v="1"/>
    <x v="1"/>
    <x v="12"/>
    <m/>
    <m/>
  </r>
  <r>
    <x v="17"/>
    <x v="17"/>
    <x v="90"/>
    <m/>
    <x v="8"/>
    <s v=""/>
    <s v=""/>
    <x v="1"/>
    <x v="1"/>
    <x v="12"/>
    <m/>
    <m/>
  </r>
  <r>
    <x v="17"/>
    <x v="17"/>
    <x v="17"/>
    <m/>
    <x v="0"/>
    <s v=""/>
    <s v=""/>
    <x v="1"/>
    <x v="1"/>
    <x v="6"/>
    <m/>
    <m/>
  </r>
  <r>
    <x v="17"/>
    <x v="71"/>
    <x v="91"/>
    <m/>
    <x v="10"/>
    <s v=""/>
    <s v=""/>
    <x v="1"/>
    <x v="1"/>
    <x v="14"/>
    <m/>
    <m/>
  </r>
  <r>
    <x v="17"/>
    <x v="71"/>
    <x v="92"/>
    <m/>
    <x v="10"/>
    <s v=""/>
    <s v=""/>
    <x v="1"/>
    <x v="1"/>
    <x v="14"/>
    <m/>
    <m/>
  </r>
  <r>
    <x v="17"/>
    <x v="71"/>
    <x v="93"/>
    <m/>
    <x v="10"/>
    <s v=""/>
    <s v=""/>
    <x v="1"/>
    <x v="1"/>
    <x v="14"/>
    <m/>
    <m/>
  </r>
  <r>
    <x v="17"/>
    <x v="71"/>
    <x v="94"/>
    <m/>
    <x v="8"/>
    <s v=""/>
    <s v=""/>
    <x v="1"/>
    <x v="1"/>
    <x v="12"/>
    <m/>
    <m/>
  </r>
  <r>
    <x v="17"/>
    <x v="17"/>
    <x v="95"/>
    <m/>
    <x v="8"/>
    <s v=""/>
    <s v=""/>
    <x v="3"/>
    <x v="1"/>
    <x v="12"/>
    <m/>
    <m/>
  </r>
  <r>
    <x v="17"/>
    <x v="17"/>
    <x v="17"/>
    <m/>
    <x v="0"/>
    <s v=""/>
    <s v=""/>
    <x v="1"/>
    <x v="1"/>
    <x v="6"/>
    <m/>
    <m/>
  </r>
  <r>
    <x v="17"/>
    <x v="72"/>
    <x v="96"/>
    <m/>
    <x v="11"/>
    <s v=""/>
    <s v=""/>
    <x v="1"/>
    <x v="1"/>
    <x v="15"/>
    <m/>
    <m/>
  </r>
  <r>
    <x v="17"/>
    <x v="17"/>
    <x v="17"/>
    <s v="SFW05"/>
    <x v="12"/>
    <s v=""/>
    <s v=""/>
    <x v="1"/>
    <x v="1"/>
    <x v="16"/>
    <m/>
    <m/>
  </r>
  <r>
    <x v="17"/>
    <x v="17"/>
    <x v="17"/>
    <m/>
    <x v="0"/>
    <s v=""/>
    <s v=""/>
    <x v="1"/>
    <x v="1"/>
    <x v="6"/>
    <m/>
    <m/>
  </r>
  <r>
    <x v="17"/>
    <x v="17"/>
    <x v="17"/>
    <m/>
    <x v="0"/>
    <s v=""/>
    <s v=""/>
    <x v="1"/>
    <x v="1"/>
    <x v="6"/>
    <m/>
    <m/>
  </r>
  <r>
    <x v="17"/>
    <x v="17"/>
    <x v="17"/>
    <m/>
    <x v="0"/>
    <s v=""/>
    <s v=""/>
    <x v="1"/>
    <x v="1"/>
    <x v="6"/>
    <m/>
    <m/>
  </r>
  <r>
    <x v="17"/>
    <x v="17"/>
    <x v="97"/>
    <m/>
    <x v="0"/>
    <s v=""/>
    <s v=""/>
    <x v="1"/>
    <x v="1"/>
    <x v="6"/>
    <m/>
    <m/>
  </r>
  <r>
    <x v="17"/>
    <x v="17"/>
    <x v="17"/>
    <m/>
    <x v="0"/>
    <s v=""/>
    <s v=""/>
    <x v="1"/>
    <x v="1"/>
    <x v="6"/>
    <m/>
    <m/>
  </r>
  <r>
    <x v="70"/>
    <x v="73"/>
    <x v="98"/>
    <m/>
    <x v="0"/>
    <s v=""/>
    <s v=""/>
    <x v="1"/>
    <x v="1"/>
    <x v="6"/>
    <m/>
    <m/>
  </r>
  <r>
    <x v="70"/>
    <x v="73"/>
    <x v="98"/>
    <m/>
    <x v="0"/>
    <s v=""/>
    <s v=""/>
    <x v="1"/>
    <x v="1"/>
    <x v="6"/>
    <m/>
    <m/>
  </r>
  <r>
    <x v="71"/>
    <x v="74"/>
    <x v="99"/>
    <m/>
    <x v="0"/>
    <s v=""/>
    <s v=""/>
    <x v="1"/>
    <x v="1"/>
    <x v="6"/>
    <m/>
    <m/>
  </r>
  <r>
    <x v="17"/>
    <x v="17"/>
    <x v="17"/>
    <m/>
    <x v="0"/>
    <s v=""/>
    <s v=""/>
    <x v="1"/>
    <x v="1"/>
    <x v="6"/>
    <m/>
    <m/>
  </r>
  <r>
    <x v="36"/>
    <x v="37"/>
    <x v="17"/>
    <m/>
    <x v="0"/>
    <s v=""/>
    <s v=""/>
    <x v="1"/>
    <x v="1"/>
    <x v="6"/>
    <m/>
    <m/>
  </r>
  <r>
    <x v="17"/>
    <x v="17"/>
    <x v="17"/>
    <m/>
    <x v="0"/>
    <s v=""/>
    <s v=""/>
    <x v="1"/>
    <x v="1"/>
    <x v="6"/>
    <m/>
    <m/>
  </r>
  <r>
    <x v="17"/>
    <x v="17"/>
    <x v="17"/>
    <m/>
    <x v="0"/>
    <s v=""/>
    <s v=""/>
    <x v="1"/>
    <x v="1"/>
    <x v="6"/>
    <m/>
    <m/>
  </r>
  <r>
    <x v="17"/>
    <x v="17"/>
    <x v="17"/>
    <m/>
    <x v="0"/>
    <s v=""/>
    <s v=""/>
    <x v="1"/>
    <x v="1"/>
    <x v="6"/>
    <m/>
    <m/>
  </r>
  <r>
    <x v="17"/>
    <x v="17"/>
    <x v="17"/>
    <m/>
    <x v="0"/>
    <s v=""/>
    <s v=""/>
    <x v="1"/>
    <x v="1"/>
    <x v="6"/>
    <m/>
    <m/>
  </r>
  <r>
    <x v="17"/>
    <x v="17"/>
    <x v="17"/>
    <m/>
    <x v="0"/>
    <s v=""/>
    <s v=""/>
    <x v="1"/>
    <x v="1"/>
    <x v="6"/>
    <m/>
    <m/>
  </r>
  <r>
    <x v="17"/>
    <x v="17"/>
    <x v="17"/>
    <m/>
    <x v="0"/>
    <s v=""/>
    <s v=""/>
    <x v="1"/>
    <x v="1"/>
    <x v="6"/>
    <m/>
    <m/>
  </r>
  <r>
    <x v="17"/>
    <x v="75"/>
    <x v="100"/>
    <s v="IDS01"/>
    <x v="13"/>
    <s v=""/>
    <s v=""/>
    <x v="1"/>
    <x v="1"/>
    <x v="17"/>
    <m/>
    <m/>
  </r>
  <r>
    <x v="17"/>
    <x v="76"/>
    <x v="101"/>
    <s v="IDS01"/>
    <x v="14"/>
    <s v=""/>
    <s v=""/>
    <x v="1"/>
    <x v="1"/>
    <x v="18"/>
    <m/>
    <m/>
  </r>
  <r>
    <x v="17"/>
    <x v="76"/>
    <x v="102"/>
    <s v="IDS01"/>
    <x v="14"/>
    <s v=""/>
    <s v=""/>
    <x v="1"/>
    <x v="1"/>
    <x v="18"/>
    <m/>
    <m/>
  </r>
  <r>
    <x v="17"/>
    <x v="17"/>
    <x v="17"/>
    <m/>
    <x v="0"/>
    <s v=""/>
    <s v=""/>
    <x v="1"/>
    <x v="1"/>
    <x v="6"/>
    <m/>
    <m/>
  </r>
  <r>
    <x v="17"/>
    <x v="17"/>
    <x v="17"/>
    <m/>
    <x v="0"/>
    <s v=""/>
    <s v=""/>
    <x v="1"/>
    <x v="1"/>
    <x v="6"/>
    <m/>
    <m/>
  </r>
  <r>
    <x v="17"/>
    <x v="75"/>
    <x v="103"/>
    <s v="IDS01"/>
    <x v="13"/>
    <s v=""/>
    <s v=""/>
    <x v="1"/>
    <x v="1"/>
    <x v="17"/>
    <m/>
    <m/>
  </r>
  <r>
    <x v="17"/>
    <x v="75"/>
    <x v="104"/>
    <s v="IDS01"/>
    <x v="13"/>
    <s v=""/>
    <s v=""/>
    <x v="1"/>
    <x v="1"/>
    <x v="17"/>
    <m/>
    <m/>
  </r>
  <r>
    <x v="17"/>
    <x v="75"/>
    <x v="105"/>
    <s v="IDS01"/>
    <x v="13"/>
    <s v=""/>
    <s v=""/>
    <x v="1"/>
    <x v="1"/>
    <x v="17"/>
    <m/>
    <m/>
  </r>
  <r>
    <x v="17"/>
    <x v="75"/>
    <x v="106"/>
    <s v="IDS01"/>
    <x v="13"/>
    <s v=""/>
    <s v=""/>
    <x v="1"/>
    <x v="1"/>
    <x v="17"/>
    <m/>
    <m/>
  </r>
  <r>
    <x v="0"/>
    <x v="0"/>
    <x v="0"/>
    <m/>
    <x v="0"/>
    <m/>
    <m/>
    <x v="2"/>
    <x v="0"/>
    <x v="6"/>
    <m/>
    <m/>
  </r>
  <r>
    <x v="17"/>
    <x v="17"/>
    <x v="17"/>
    <m/>
    <x v="0"/>
    <m/>
    <m/>
    <x v="1"/>
    <x v="1"/>
    <x v="6"/>
    <m/>
    <m/>
  </r>
  <r>
    <x v="17"/>
    <x v="17"/>
    <x v="17"/>
    <m/>
    <x v="0"/>
    <s v=""/>
    <s v=""/>
    <x v="1"/>
    <x v="1"/>
    <x v="6"/>
    <m/>
    <m/>
  </r>
  <r>
    <x v="17"/>
    <x v="77"/>
    <x v="107"/>
    <s v="IDS01"/>
    <x v="15"/>
    <s v=""/>
    <s v=""/>
    <x v="1"/>
    <x v="1"/>
    <x v="19"/>
    <m/>
    <m/>
  </r>
  <r>
    <x v="17"/>
    <x v="76"/>
    <x v="108"/>
    <s v="IDS01"/>
    <x v="14"/>
    <s v=""/>
    <s v=""/>
    <x v="1"/>
    <x v="1"/>
    <x v="18"/>
    <m/>
    <m/>
  </r>
  <r>
    <x v="17"/>
    <x v="78"/>
    <x v="109"/>
    <s v="IDS01"/>
    <x v="15"/>
    <s v=""/>
    <s v=""/>
    <x v="1"/>
    <x v="1"/>
    <x v="19"/>
    <m/>
    <m/>
  </r>
  <r>
    <x v="17"/>
    <x v="76"/>
    <x v="101"/>
    <s v="IDS01"/>
    <x v="14"/>
    <s v=""/>
    <s v=""/>
    <x v="1"/>
    <x v="1"/>
    <x v="18"/>
    <m/>
    <m/>
  </r>
  <r>
    <x v="17"/>
    <x v="76"/>
    <x v="110"/>
    <s v="IDS01"/>
    <x v="14"/>
    <s v=""/>
    <s v=""/>
    <x v="1"/>
    <x v="1"/>
    <x v="18"/>
    <m/>
    <m/>
  </r>
  <r>
    <x v="17"/>
    <x v="17"/>
    <x v="17"/>
    <m/>
    <x v="0"/>
    <s v=""/>
    <s v=""/>
    <x v="1"/>
    <x v="1"/>
    <x v="6"/>
    <m/>
    <m/>
  </r>
  <r>
    <x v="17"/>
    <x v="17"/>
    <x v="17"/>
    <m/>
    <x v="0"/>
    <s v=""/>
    <s v=""/>
    <x v="1"/>
    <x v="1"/>
    <x v="6"/>
    <m/>
    <m/>
  </r>
  <r>
    <x v="17"/>
    <x v="77"/>
    <x v="103"/>
    <s v="IDS01"/>
    <x v="15"/>
    <s v=""/>
    <s v=""/>
    <x v="1"/>
    <x v="1"/>
    <x v="19"/>
    <m/>
    <m/>
  </r>
  <r>
    <x v="17"/>
    <x v="77"/>
    <x v="111"/>
    <s v="IDS01"/>
    <x v="15"/>
    <s v=""/>
    <s v=""/>
    <x v="1"/>
    <x v="1"/>
    <x v="19"/>
    <m/>
    <m/>
  </r>
  <r>
    <x v="17"/>
    <x v="77"/>
    <x v="111"/>
    <s v="IDS01"/>
    <x v="15"/>
    <s v=""/>
    <s v=""/>
    <x v="1"/>
    <x v="1"/>
    <x v="19"/>
    <m/>
    <m/>
  </r>
  <r>
    <x v="17"/>
    <x v="77"/>
    <x v="111"/>
    <s v="IDS01"/>
    <x v="15"/>
    <s v=""/>
    <s v=""/>
    <x v="1"/>
    <x v="1"/>
    <x v="19"/>
    <m/>
    <m/>
  </r>
  <r>
    <x v="17"/>
    <x v="77"/>
    <x v="111"/>
    <s v="IDS01"/>
    <x v="15"/>
    <s v=""/>
    <s v=""/>
    <x v="1"/>
    <x v="1"/>
    <x v="19"/>
    <m/>
    <m/>
  </r>
  <r>
    <x v="17"/>
    <x v="77"/>
    <x v="111"/>
    <s v="IDS01"/>
    <x v="15"/>
    <s v=""/>
    <s v=""/>
    <x v="1"/>
    <x v="1"/>
    <x v="19"/>
    <m/>
    <m/>
  </r>
  <r>
    <x v="17"/>
    <x v="77"/>
    <x v="111"/>
    <s v="IDS01"/>
    <x v="15"/>
    <s v=""/>
    <s v=""/>
    <x v="1"/>
    <x v="1"/>
    <x v="19"/>
    <m/>
    <m/>
  </r>
  <r>
    <x v="17"/>
    <x v="77"/>
    <x v="111"/>
    <s v="IDS01"/>
    <x v="15"/>
    <s v=""/>
    <s v=""/>
    <x v="1"/>
    <x v="1"/>
    <x v="19"/>
    <m/>
    <m/>
  </r>
  <r>
    <x v="17"/>
    <x v="77"/>
    <x v="111"/>
    <s v="IDS01"/>
    <x v="15"/>
    <s v=""/>
    <s v=""/>
    <x v="1"/>
    <x v="1"/>
    <x v="19"/>
    <m/>
    <m/>
  </r>
  <r>
    <x v="17"/>
    <x v="77"/>
    <x v="111"/>
    <s v="IDS01"/>
    <x v="15"/>
    <s v=""/>
    <s v=""/>
    <x v="1"/>
    <x v="1"/>
    <x v="19"/>
    <m/>
    <m/>
  </r>
  <r>
    <x v="17"/>
    <x v="77"/>
    <x v="111"/>
    <s v="IDS01"/>
    <x v="15"/>
    <s v=""/>
    <s v=""/>
    <x v="1"/>
    <x v="1"/>
    <x v="19"/>
    <m/>
    <m/>
  </r>
  <r>
    <x v="17"/>
    <x v="77"/>
    <x v="105"/>
    <s v="IDS01"/>
    <x v="15"/>
    <s v=""/>
    <s v=""/>
    <x v="1"/>
    <x v="1"/>
    <x v="19"/>
    <m/>
    <m/>
  </r>
  <r>
    <x v="17"/>
    <x v="77"/>
    <x v="112"/>
    <s v="IDS01"/>
    <x v="15"/>
    <s v=""/>
    <s v=""/>
    <x v="1"/>
    <x v="1"/>
    <x v="19"/>
    <m/>
    <m/>
  </r>
  <r>
    <x v="17"/>
    <x v="77"/>
    <x v="106"/>
    <s v="IDS01"/>
    <x v="15"/>
    <s v=""/>
    <s v=""/>
    <x v="1"/>
    <x v="1"/>
    <x v="19"/>
    <m/>
    <m/>
  </r>
  <r>
    <x v="0"/>
    <x v="0"/>
    <x v="0"/>
    <m/>
    <x v="0"/>
    <m/>
    <m/>
    <x v="2"/>
    <x v="0"/>
    <x v="6"/>
    <m/>
    <m/>
  </r>
  <r>
    <x v="17"/>
    <x v="17"/>
    <x v="17"/>
    <m/>
    <x v="0"/>
    <s v=""/>
    <s v=""/>
    <x v="1"/>
    <x v="1"/>
    <x v="6"/>
    <m/>
    <m/>
  </r>
  <r>
    <x v="17"/>
    <x v="17"/>
    <x v="17"/>
    <m/>
    <x v="0"/>
    <s v=""/>
    <s v=""/>
    <x v="1"/>
    <x v="1"/>
    <x v="6"/>
    <m/>
    <m/>
  </r>
  <r>
    <x v="72"/>
    <x v="79"/>
    <x v="113"/>
    <s v="ENG02"/>
    <x v="2"/>
    <s v=""/>
    <s v=""/>
    <x v="1"/>
    <x v="1"/>
    <x v="5"/>
    <m/>
    <m/>
  </r>
  <r>
    <x v="73"/>
    <x v="80"/>
    <x v="114"/>
    <s v="ENG02"/>
    <x v="2"/>
    <s v=""/>
    <s v=""/>
    <x v="1"/>
    <x v="1"/>
    <x v="5"/>
    <m/>
    <m/>
  </r>
  <r>
    <x v="74"/>
    <x v="81"/>
    <x v="115"/>
    <s v="DCD02"/>
    <x v="2"/>
    <s v=""/>
    <s v=""/>
    <x v="1"/>
    <x v="1"/>
    <x v="5"/>
    <m/>
    <m/>
  </r>
  <r>
    <x v="75"/>
    <x v="82"/>
    <x v="116"/>
    <s v="DCD02"/>
    <x v="2"/>
    <s v=""/>
    <s v=""/>
    <x v="1"/>
    <x v="1"/>
    <x v="5"/>
    <m/>
    <m/>
  </r>
  <r>
    <x v="76"/>
    <x v="83"/>
    <x v="117"/>
    <s v="DCD02"/>
    <x v="2"/>
    <s v=""/>
    <s v=""/>
    <x v="1"/>
    <x v="1"/>
    <x v="5"/>
    <m/>
    <m/>
  </r>
  <r>
    <x v="17"/>
    <x v="17"/>
    <x v="17"/>
    <m/>
    <x v="0"/>
    <s v=""/>
    <s v=""/>
    <x v="1"/>
    <x v="1"/>
    <x v="6"/>
    <m/>
    <m/>
  </r>
  <r>
    <x v="17"/>
    <x v="17"/>
    <x v="17"/>
    <m/>
    <x v="0"/>
    <s v=""/>
    <s v=""/>
    <x v="1"/>
    <x v="1"/>
    <x v="6"/>
    <m/>
    <m/>
  </r>
  <r>
    <x v="77"/>
    <x v="84"/>
    <x v="118"/>
    <s v="DCD02"/>
    <x v="2"/>
    <s v=""/>
    <s v=""/>
    <x v="1"/>
    <x v="1"/>
    <x v="5"/>
    <m/>
    <m/>
  </r>
  <r>
    <x v="78"/>
    <x v="85"/>
    <x v="119"/>
    <s v="DCD02"/>
    <x v="2"/>
    <s v=""/>
    <s v=""/>
    <x v="1"/>
    <x v="1"/>
    <x v="5"/>
    <m/>
    <m/>
  </r>
  <r>
    <x v="79"/>
    <x v="86"/>
    <x v="120"/>
    <s v="DCD02"/>
    <x v="2"/>
    <s v=""/>
    <s v=""/>
    <x v="1"/>
    <x v="1"/>
    <x v="5"/>
    <m/>
    <m/>
  </r>
  <r>
    <x v="79"/>
    <x v="86"/>
    <x v="121"/>
    <s v="DCD02"/>
    <x v="2"/>
    <s v=""/>
    <s v=""/>
    <x v="1"/>
    <x v="1"/>
    <x v="5"/>
    <m/>
    <m/>
  </r>
  <r>
    <x v="80"/>
    <x v="87"/>
    <x v="122"/>
    <s v="DCD02"/>
    <x v="2"/>
    <s v=""/>
    <s v=""/>
    <x v="1"/>
    <x v="1"/>
    <x v="5"/>
    <m/>
    <m/>
  </r>
  <r>
    <x v="81"/>
    <x v="88"/>
    <x v="123"/>
    <s v="DCD02"/>
    <x v="2"/>
    <s v=""/>
    <s v=""/>
    <x v="1"/>
    <x v="1"/>
    <x v="5"/>
    <m/>
    <m/>
  </r>
  <r>
    <x v="0"/>
    <x v="0"/>
    <x v="0"/>
    <m/>
    <x v="0"/>
    <m/>
    <m/>
    <x v="2"/>
    <x v="0"/>
    <x v="6"/>
    <m/>
    <m/>
  </r>
  <r>
    <x v="30"/>
    <x v="31"/>
    <x v="32"/>
    <s v="PST02"/>
    <x v="2"/>
    <s v=""/>
    <s v=""/>
    <x v="1"/>
    <x v="1"/>
    <x v="5"/>
    <m/>
    <m/>
  </r>
  <r>
    <x v="31"/>
    <x v="32"/>
    <x v="33"/>
    <s v="PST02"/>
    <x v="2"/>
    <s v=""/>
    <s v=""/>
    <x v="1"/>
    <x v="1"/>
    <x v="5"/>
    <m/>
    <m/>
  </r>
  <r>
    <x v="32"/>
    <x v="33"/>
    <x v="34"/>
    <s v="ENG02"/>
    <x v="2"/>
    <s v=""/>
    <s v=""/>
    <x v="1"/>
    <x v="1"/>
    <x v="5"/>
    <m/>
    <m/>
  </r>
  <r>
    <x v="33"/>
    <x v="34"/>
    <x v="35"/>
    <s v="ENG02"/>
    <x v="2"/>
    <s v=""/>
    <s v=""/>
    <x v="1"/>
    <x v="1"/>
    <x v="5"/>
    <m/>
    <m/>
  </r>
  <r>
    <x v="17"/>
    <x v="17"/>
    <x v="17"/>
    <e v="#N/A"/>
    <x v="6"/>
    <s v=""/>
    <s v=""/>
    <x v="1"/>
    <x v="1"/>
    <x v="10"/>
    <m/>
    <m/>
  </r>
  <r>
    <x v="23"/>
    <x v="89"/>
    <x v="124"/>
    <s v="DCD02"/>
    <x v="2"/>
    <s v=""/>
    <s v=""/>
    <x v="1"/>
    <x v="1"/>
    <x v="5"/>
    <m/>
    <m/>
  </r>
  <r>
    <x v="82"/>
    <x v="90"/>
    <x v="125"/>
    <s v="DCD02"/>
    <x v="2"/>
    <s v=""/>
    <s v=""/>
    <x v="1"/>
    <x v="1"/>
    <x v="5"/>
    <m/>
    <m/>
  </r>
  <r>
    <x v="17"/>
    <x v="17"/>
    <x v="17"/>
    <m/>
    <x v="0"/>
    <s v=""/>
    <s v=""/>
    <x v="1"/>
    <x v="1"/>
    <x v="6"/>
    <m/>
    <m/>
  </r>
  <r>
    <x v="17"/>
    <x v="17"/>
    <x v="17"/>
    <m/>
    <x v="0"/>
    <s v=""/>
    <s v=""/>
    <x v="1"/>
    <x v="1"/>
    <x v="6"/>
    <m/>
    <m/>
  </r>
  <r>
    <x v="72"/>
    <x v="79"/>
    <x v="113"/>
    <s v="ENG02"/>
    <x v="2"/>
    <s v=""/>
    <s v=""/>
    <x v="1"/>
    <x v="1"/>
    <x v="5"/>
    <m/>
    <m/>
  </r>
  <r>
    <x v="73"/>
    <x v="80"/>
    <x v="114"/>
    <s v="ENG02"/>
    <x v="2"/>
    <s v=""/>
    <s v=""/>
    <x v="1"/>
    <x v="1"/>
    <x v="5"/>
    <m/>
    <m/>
  </r>
  <r>
    <x v="74"/>
    <x v="81"/>
    <x v="115"/>
    <s v="ENG02"/>
    <x v="2"/>
    <s v=""/>
    <s v=""/>
    <x v="1"/>
    <x v="1"/>
    <x v="5"/>
    <m/>
    <m/>
  </r>
  <r>
    <x v="83"/>
    <x v="91"/>
    <x v="126"/>
    <s v="ENG02"/>
    <x v="4"/>
    <s v=""/>
    <s v=""/>
    <x v="1"/>
    <x v="1"/>
    <x v="8"/>
    <m/>
    <m/>
  </r>
  <r>
    <x v="75"/>
    <x v="82"/>
    <x v="116"/>
    <s v="DCD02"/>
    <x v="2"/>
    <s v=""/>
    <s v=""/>
    <x v="1"/>
    <x v="1"/>
    <x v="5"/>
    <m/>
    <m/>
  </r>
  <r>
    <x v="84"/>
    <x v="92"/>
    <x v="127"/>
    <s v="SAP01"/>
    <x v="16"/>
    <s v=""/>
    <s v=""/>
    <x v="1"/>
    <x v="1"/>
    <x v="20"/>
    <m/>
    <m/>
  </r>
  <r>
    <x v="23"/>
    <x v="93"/>
    <x v="128"/>
    <s v="SFW05"/>
    <x v="15"/>
    <s v=""/>
    <s v=""/>
    <x v="1"/>
    <x v="1"/>
    <x v="19"/>
    <m/>
    <m/>
  </r>
  <r>
    <x v="17"/>
    <x v="17"/>
    <x v="17"/>
    <m/>
    <x v="0"/>
    <s v=""/>
    <m/>
    <x v="1"/>
    <x v="1"/>
    <x v="6"/>
    <m/>
    <m/>
  </r>
  <r>
    <x v="17"/>
    <x v="17"/>
    <x v="17"/>
    <m/>
    <x v="0"/>
    <s v=""/>
    <m/>
    <x v="1"/>
    <x v="1"/>
    <x v="6"/>
    <m/>
    <m/>
  </r>
  <r>
    <x v="17"/>
    <x v="17"/>
    <x v="17"/>
    <m/>
    <x v="0"/>
    <s v=""/>
    <m/>
    <x v="1"/>
    <x v="1"/>
    <x v="6"/>
    <m/>
    <m/>
  </r>
  <r>
    <x v="17"/>
    <x v="17"/>
    <x v="17"/>
    <m/>
    <x v="0"/>
    <s v=""/>
    <m/>
    <x v="1"/>
    <x v="1"/>
    <x v="6"/>
    <m/>
    <m/>
  </r>
  <r>
    <x v="17"/>
    <x v="17"/>
    <x v="17"/>
    <m/>
    <x v="0"/>
    <s v=""/>
    <m/>
    <x v="1"/>
    <x v="1"/>
    <x v="6"/>
    <m/>
    <m/>
  </r>
  <r>
    <x v="17"/>
    <x v="17"/>
    <x v="17"/>
    <m/>
    <x v="0"/>
    <s v=""/>
    <m/>
    <x v="1"/>
    <x v="1"/>
    <x v="6"/>
    <m/>
    <m/>
  </r>
  <r>
    <x v="17"/>
    <x v="17"/>
    <x v="17"/>
    <m/>
    <x v="0"/>
    <s v=""/>
    <m/>
    <x v="1"/>
    <x v="1"/>
    <x v="6"/>
    <m/>
    <m/>
  </r>
  <r>
    <x v="0"/>
    <x v="0"/>
    <x v="0"/>
    <m/>
    <x v="0"/>
    <m/>
    <m/>
    <x v="2"/>
    <x v="0"/>
    <x v="6"/>
    <m/>
    <m/>
  </r>
  <r>
    <x v="0"/>
    <x v="17"/>
    <x v="17"/>
    <m/>
    <x v="17"/>
    <s v=""/>
    <s v=""/>
    <x v="1"/>
    <x v="1"/>
    <x v="6"/>
    <m/>
    <m/>
  </r>
  <r>
    <x v="0"/>
    <x v="17"/>
    <x v="17"/>
    <m/>
    <x v="17"/>
    <s v=""/>
    <s v=""/>
    <x v="1"/>
    <x v="1"/>
    <x v="6"/>
    <m/>
    <m/>
  </r>
  <r>
    <x v="0"/>
    <x v="17"/>
    <x v="17"/>
    <m/>
    <x v="17"/>
    <s v=""/>
    <s v=""/>
    <x v="1"/>
    <x v="1"/>
    <x v="6"/>
    <m/>
    <m/>
  </r>
  <r>
    <x v="0"/>
    <x v="17"/>
    <x v="17"/>
    <m/>
    <x v="17"/>
    <s v=""/>
    <s v=""/>
    <x v="1"/>
    <x v="1"/>
    <x v="6"/>
    <m/>
    <m/>
  </r>
  <r>
    <x v="0"/>
    <x v="17"/>
    <x v="17"/>
    <m/>
    <x v="17"/>
    <s v=""/>
    <s v=""/>
    <x v="1"/>
    <x v="1"/>
    <x v="6"/>
    <m/>
    <m/>
  </r>
  <r>
    <x v="0"/>
    <x v="17"/>
    <x v="17"/>
    <m/>
    <x v="17"/>
    <s v=""/>
    <s v=""/>
    <x v="1"/>
    <x v="1"/>
    <x v="6"/>
    <m/>
    <m/>
  </r>
  <r>
    <x v="0"/>
    <x v="17"/>
    <x v="17"/>
    <m/>
    <x v="17"/>
    <s v=""/>
    <s v=""/>
    <x v="1"/>
    <x v="1"/>
    <x v="6"/>
    <m/>
    <m/>
  </r>
  <r>
    <x v="0"/>
    <x v="17"/>
    <x v="17"/>
    <m/>
    <x v="17"/>
    <s v=""/>
    <s v=""/>
    <x v="1"/>
    <x v="1"/>
    <x v="6"/>
    <m/>
    <m/>
  </r>
  <r>
    <x v="0"/>
    <x v="17"/>
    <x v="17"/>
    <m/>
    <x v="17"/>
    <s v=""/>
    <s v=""/>
    <x v="1"/>
    <x v="1"/>
    <x v="6"/>
    <m/>
    <m/>
  </r>
  <r>
    <x v="0"/>
    <x v="17"/>
    <x v="17"/>
    <m/>
    <x v="17"/>
    <s v=""/>
    <s v=""/>
    <x v="1"/>
    <x v="1"/>
    <x v="6"/>
    <m/>
    <m/>
  </r>
  <r>
    <x v="0"/>
    <x v="17"/>
    <x v="17"/>
    <m/>
    <x v="17"/>
    <s v=""/>
    <s v=""/>
    <x v="1"/>
    <x v="1"/>
    <x v="6"/>
    <m/>
    <m/>
  </r>
  <r>
    <x v="0"/>
    <x v="17"/>
    <x v="17"/>
    <m/>
    <x v="17"/>
    <s v=""/>
    <s v=""/>
    <x v="1"/>
    <x v="1"/>
    <x v="6"/>
    <m/>
    <m/>
  </r>
  <r>
    <x v="0"/>
    <x v="17"/>
    <x v="17"/>
    <m/>
    <x v="17"/>
    <s v=""/>
    <s v=""/>
    <x v="1"/>
    <x v="1"/>
    <x v="6"/>
    <m/>
    <m/>
  </r>
  <r>
    <x v="0"/>
    <x v="17"/>
    <x v="17"/>
    <m/>
    <x v="17"/>
    <s v=""/>
    <s v=""/>
    <x v="1"/>
    <x v="1"/>
    <x v="6"/>
    <m/>
    <m/>
  </r>
  <r>
    <x v="0"/>
    <x v="17"/>
    <x v="17"/>
    <m/>
    <x v="17"/>
    <s v=""/>
    <s v=""/>
    <x v="1"/>
    <x v="1"/>
    <x v="6"/>
    <m/>
    <m/>
  </r>
  <r>
    <x v="0"/>
    <x v="17"/>
    <x v="17"/>
    <m/>
    <x v="17"/>
    <s v=""/>
    <s v=""/>
    <x v="1"/>
    <x v="1"/>
    <x v="6"/>
    <m/>
    <m/>
  </r>
  <r>
    <x v="0"/>
    <x v="17"/>
    <x v="17"/>
    <m/>
    <x v="17"/>
    <s v=""/>
    <s v=""/>
    <x v="1"/>
    <x v="1"/>
    <x v="6"/>
    <m/>
    <m/>
  </r>
  <r>
    <x v="0"/>
    <x v="17"/>
    <x v="17"/>
    <m/>
    <x v="17"/>
    <s v=""/>
    <s v=""/>
    <x v="1"/>
    <x v="1"/>
    <x v="6"/>
    <m/>
    <m/>
  </r>
  <r>
    <x v="0"/>
    <x v="17"/>
    <x v="17"/>
    <m/>
    <x v="17"/>
    <s v=""/>
    <s v=""/>
    <x v="1"/>
    <x v="1"/>
    <x v="6"/>
    <m/>
    <m/>
  </r>
  <r>
    <x v="0"/>
    <x v="0"/>
    <x v="0"/>
    <m/>
    <x v="0"/>
    <m/>
    <m/>
    <x v="2"/>
    <x v="0"/>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1" applyNumberFormats="0" applyBorderFormats="0" applyFontFormats="0" applyPatternFormats="0" applyAlignmentFormats="0" applyWidthHeightFormats="1" dataCaption="Values" showError="1" updatedVersion="6" minRefreshableVersion="3" itemPrintTitles="1" createdVersion="6" indent="0" compact="0" compactData="0" multipleFieldFilters="0">
  <location ref="C18:H21" firstHeaderRow="0" firstDataRow="1" firstDataCol="4" rowPageCount="2" colPageCount="1"/>
  <pivotFields count="12">
    <pivotField axis="axisRow" compact="0" outline="0" showAll="0" defaultSubtotal="0">
      <items count="92">
        <item x="23"/>
        <item m="1" x="91"/>
        <item m="1" x="85"/>
        <item x="50"/>
        <item m="1" x="86"/>
        <item m="1" x="87"/>
        <item m="1" x="88"/>
        <item m="1" x="89"/>
        <item m="1" x="90"/>
        <item x="34"/>
        <item x="31"/>
        <item x="30"/>
        <item x="35"/>
        <item x="72"/>
        <item x="73"/>
        <item x="15"/>
        <item x="52"/>
        <item x="14"/>
        <item x="49"/>
        <item x="8"/>
        <item x="77"/>
        <item x="17"/>
        <item x="32"/>
        <item x="33"/>
        <item x="10"/>
        <item x="64"/>
        <item x="16"/>
        <item x="81"/>
        <item x="80"/>
        <item x="1"/>
        <item x="67"/>
        <item x="51"/>
        <item x="19"/>
        <item x="25"/>
        <item x="59"/>
        <item x="12"/>
        <item x="68"/>
        <item x="7"/>
        <item x="20"/>
        <item x="11"/>
        <item x="26"/>
        <item x="22"/>
        <item x="27"/>
        <item x="24"/>
        <item x="9"/>
        <item x="62"/>
        <item x="76"/>
        <item x="75"/>
        <item x="6"/>
        <item x="29"/>
        <item x="5"/>
        <item x="84"/>
        <item x="70"/>
        <item x="83"/>
        <item x="63"/>
        <item x="66"/>
        <item x="60"/>
        <item x="13"/>
        <item x="69"/>
        <item x="37"/>
        <item x="38"/>
        <item x="41"/>
        <item x="40"/>
        <item x="39"/>
        <item x="71"/>
        <item x="4"/>
        <item x="61"/>
        <item x="36"/>
        <item x="0"/>
        <item x="21"/>
        <item x="65"/>
        <item x="18"/>
        <item x="2"/>
        <item x="3"/>
        <item x="28"/>
        <item x="42"/>
        <item x="43"/>
        <item x="44"/>
        <item x="45"/>
        <item x="46"/>
        <item x="47"/>
        <item x="48"/>
        <item x="53"/>
        <item x="54"/>
        <item x="55"/>
        <item x="56"/>
        <item x="57"/>
        <item x="58"/>
        <item x="78"/>
        <item x="79"/>
        <item x="82"/>
        <item x="74"/>
      </items>
    </pivotField>
    <pivotField axis="axisRow" compact="0" outline="0" showAll="0" sortType="descending" defaultSubtotal="0">
      <items count="99">
        <item x="23"/>
        <item x="87"/>
        <item x="84"/>
        <item x="88"/>
        <item x="89"/>
        <item x="36"/>
        <item x="31"/>
        <item x="35"/>
        <item x="77"/>
        <item x="75"/>
        <item x="78"/>
        <item x="79"/>
        <item m="1" x="96"/>
        <item x="10"/>
        <item x="80"/>
        <item x="62"/>
        <item x="64"/>
        <item x="63"/>
        <item x="33"/>
        <item x="34"/>
        <item x="45"/>
        <item x="55"/>
        <item x="57"/>
        <item x="56"/>
        <item x="58"/>
        <item x="48"/>
        <item x="59"/>
        <item x="74"/>
        <item x="1"/>
        <item x="19"/>
        <item x="25"/>
        <item x="28"/>
        <item x="30"/>
        <item x="61"/>
        <item x="12"/>
        <item x="11"/>
        <item x="7"/>
        <item x="6"/>
        <item x="20"/>
        <item x="4"/>
        <item x="27"/>
        <item x="38"/>
        <item x="39"/>
        <item x="40"/>
        <item x="41"/>
        <item x="42"/>
        <item x="60"/>
        <item x="68"/>
        <item x="69"/>
        <item x="8"/>
        <item x="22"/>
        <item x="5"/>
        <item x="26"/>
        <item x="29"/>
        <item x="13"/>
        <item x="70"/>
        <item x="72"/>
        <item x="17"/>
        <item x="92"/>
        <item x="53"/>
        <item x="50"/>
        <item x="83"/>
        <item x="82"/>
        <item x="32"/>
        <item x="93"/>
        <item x="9"/>
        <item x="14"/>
        <item x="15"/>
        <item x="91"/>
        <item x="66"/>
        <item x="16"/>
        <item x="46"/>
        <item x="47"/>
        <item x="43"/>
        <item x="44"/>
        <item x="54"/>
        <item x="51"/>
        <item x="73"/>
        <item x="24"/>
        <item x="52"/>
        <item x="65"/>
        <item x="37"/>
        <item x="0"/>
        <item x="71"/>
        <item m="1" x="94"/>
        <item m="1" x="95"/>
        <item x="21"/>
        <item x="67"/>
        <item x="18"/>
        <item x="49"/>
        <item x="76"/>
        <item x="85"/>
        <item x="86"/>
        <item m="1" x="97"/>
        <item m="1" x="98"/>
        <item x="90"/>
        <item x="2"/>
        <item x="3"/>
        <item x="81"/>
      </items>
      <autoSortScope>
        <pivotArea dataOnly="0" outline="0" fieldPosition="0">
          <references count="1">
            <reference field="4294967294" count="1" selected="0">
              <x v="1"/>
            </reference>
          </references>
        </pivotArea>
      </autoSortScope>
    </pivotField>
    <pivotField axis="axisRow" compact="0" outline="0" showAll="0" defaultSubtotal="0">
      <items count="137">
        <item x="17"/>
        <item x="33"/>
        <item x="49"/>
        <item x="50"/>
        <item x="46"/>
        <item x="47"/>
        <item x="91"/>
        <item x="81"/>
        <item x="16"/>
        <item x="4"/>
        <item x="24"/>
        <item x="27"/>
        <item x="78"/>
        <item x="10"/>
        <item m="1" x="134"/>
        <item x="20"/>
        <item x="35"/>
        <item x="34"/>
        <item x="122"/>
        <item x="123"/>
        <item x="37"/>
        <item x="39"/>
        <item x="84"/>
        <item m="1" x="133"/>
        <item x="56"/>
        <item x="6"/>
        <item x="7"/>
        <item x="117"/>
        <item x="116"/>
        <item x="1"/>
        <item x="107"/>
        <item x="108"/>
        <item x="96"/>
        <item x="100"/>
        <item x="22"/>
        <item x="26"/>
        <item x="29"/>
        <item x="77"/>
        <item x="63"/>
        <item x="64"/>
        <item x="42"/>
        <item x="69"/>
        <item x="41"/>
        <item x="111"/>
        <item x="104"/>
        <item x="103"/>
        <item x="70"/>
        <item x="76"/>
        <item x="11"/>
        <item x="55"/>
        <item x="13"/>
        <item x="110"/>
        <item x="102"/>
        <item x="106"/>
        <item x="124"/>
        <item x="14"/>
        <item x="15"/>
        <item x="98"/>
        <item x="38"/>
        <item x="40"/>
        <item x="75"/>
        <item x="45"/>
        <item x="8"/>
        <item m="1" x="129"/>
        <item x="5"/>
        <item x="65"/>
        <item x="66"/>
        <item x="68"/>
        <item x="67"/>
        <item x="71"/>
        <item x="80"/>
        <item x="73"/>
        <item x="48"/>
        <item x="51"/>
        <item x="90"/>
        <item x="89"/>
        <item x="85"/>
        <item m="1" x="131"/>
        <item x="54"/>
        <item x="74"/>
        <item x="83"/>
        <item x="23"/>
        <item x="9"/>
        <item x="53"/>
        <item x="43"/>
        <item x="94"/>
        <item x="44"/>
        <item x="36"/>
        <item x="88"/>
        <item x="32"/>
        <item x="99"/>
        <item x="127"/>
        <item x="82"/>
        <item x="112"/>
        <item x="105"/>
        <item x="126"/>
        <item x="30"/>
        <item x="19"/>
        <item x="25"/>
        <item x="28"/>
        <item x="72"/>
        <item x="12"/>
        <item x="101"/>
        <item x="109"/>
        <item m="1" x="132"/>
        <item x="121"/>
        <item x="120"/>
        <item x="61"/>
        <item x="59"/>
        <item x="60"/>
        <item x="62"/>
        <item x="57"/>
        <item x="58"/>
        <item x="0"/>
        <item x="128"/>
        <item x="95"/>
        <item x="2"/>
        <item x="3"/>
        <item x="21"/>
        <item x="79"/>
        <item x="92"/>
        <item x="93"/>
        <item m="1" x="135"/>
        <item x="97"/>
        <item x="18"/>
        <item x="87"/>
        <item x="52"/>
        <item x="86"/>
        <item x="118"/>
        <item x="119"/>
        <item x="125"/>
        <item m="1" x="136"/>
        <item m="1" x="130"/>
        <item x="31"/>
        <item x="113"/>
        <item x="114"/>
        <item x="115"/>
      </items>
    </pivotField>
    <pivotField compact="0" outline="0" showAll="0"/>
    <pivotField axis="axisPage" compact="0" outline="0" multipleItemSelectionAllowed="1" showAll="0" defaultSubtotal="0">
      <items count="18">
        <item x="1"/>
        <item x="2"/>
        <item x="4"/>
        <item x="16"/>
        <item x="5"/>
        <item x="15"/>
        <item x="13"/>
        <item x="12"/>
        <item x="3"/>
        <item x="7"/>
        <item x="6"/>
        <item x="8"/>
        <item x="9"/>
        <item x="10"/>
        <item x="11"/>
        <item x="17"/>
        <item x="0"/>
        <item x="14"/>
      </items>
    </pivotField>
    <pivotField compact="0" outline="0" showAll="0"/>
    <pivotField dataField="1" compact="0" outline="0" showAll="0"/>
    <pivotField dataField="1" compact="0" outline="0" showAll="0">
      <items count="10">
        <item x="3"/>
        <item x="1"/>
        <item m="1" x="6"/>
        <item h="1" x="0"/>
        <item x="2"/>
        <item h="1" m="1" x="4"/>
        <item h="1" m="1" x="7"/>
        <item h="1" m="1" x="8"/>
        <item h="1" m="1" x="5"/>
        <item t="default"/>
      </items>
    </pivotField>
    <pivotField axis="axisPage" compact="0" outline="0" multipleItemSelectionAllowed="1" showAll="0">
      <items count="4">
        <item h="1" x="1"/>
        <item m="1" x="2"/>
        <item x="0"/>
        <item t="default"/>
      </items>
    </pivotField>
    <pivotField axis="axisRow" compact="0" outline="0" showAll="0">
      <items count="22">
        <item x="2"/>
        <item h="1" x="0"/>
        <item x="1"/>
        <item x="3"/>
        <item x="8"/>
        <item x="5"/>
        <item x="7"/>
        <item x="9"/>
        <item x="10"/>
        <item x="11"/>
        <item x="20"/>
        <item x="17"/>
        <item x="19"/>
        <item x="12"/>
        <item x="13"/>
        <item x="14"/>
        <item x="15"/>
        <item x="16"/>
        <item x="6"/>
        <item x="4"/>
        <item x="18"/>
        <item t="default"/>
      </items>
    </pivotField>
    <pivotField compact="0" outline="0" showAll="0"/>
    <pivotField compact="0" outline="0" showAll="0"/>
  </pivotFields>
  <rowFields count="4">
    <field x="9"/>
    <field x="1"/>
    <field x="0"/>
    <field x="2"/>
  </rowFields>
  <rowItems count="3">
    <i>
      <x v="18"/>
      <x v="82"/>
      <x v="68"/>
      <x v="113"/>
    </i>
    <i t="default">
      <x v="18"/>
    </i>
    <i t="grand">
      <x/>
    </i>
  </rowItems>
  <colFields count="1">
    <field x="-2"/>
  </colFields>
  <colItems count="2">
    <i>
      <x/>
    </i>
    <i i="1">
      <x v="1"/>
    </i>
  </colItems>
  <pageFields count="2">
    <pageField fld="8" hier="-1"/>
    <pageField fld="4" hier="-1"/>
  </pageFields>
  <dataFields count="2">
    <dataField name="Quantity Required." fld="7" baseField="2" baseItem="62"/>
    <dataField name="Sum of Nett Disc" fld="6" baseField="2" baseItem="62" numFmtId="3"/>
  </dataFields>
  <formats count="114">
    <format dxfId="115">
      <pivotArea dataOnly="0" labelOnly="1" outline="0" fieldPosition="0">
        <references count="1">
          <reference field="8" count="1">
            <x v="1"/>
          </reference>
        </references>
      </pivotArea>
    </format>
    <format dxfId="114">
      <pivotArea field="0" type="button" dataOnly="0" labelOnly="1" outline="0" axis="axisRow" fieldPosition="2"/>
    </format>
    <format dxfId="113">
      <pivotArea field="1" type="button" dataOnly="0" labelOnly="1" outline="0" axis="axisRow" fieldPosition="1"/>
    </format>
    <format dxfId="112">
      <pivotArea dataOnly="0" labelOnly="1" outline="0" fieldPosition="0">
        <references count="1">
          <reference field="0" count="0"/>
        </references>
      </pivotArea>
    </format>
    <format dxfId="111">
      <pivotArea dataOnly="0" labelOnly="1" outline="0" fieldPosition="0">
        <references count="1">
          <reference field="1" count="0"/>
        </references>
      </pivotArea>
    </format>
    <format dxfId="110">
      <pivotArea dataOnly="0" labelOnly="1" outline="0" fieldPosition="0">
        <references count="1">
          <reference field="2" count="0"/>
        </references>
      </pivotArea>
    </format>
    <format dxfId="109">
      <pivotArea dataOnly="0" labelOnly="1" outline="0" fieldPosition="0">
        <references count="1">
          <reference field="2" count="0"/>
        </references>
      </pivotArea>
    </format>
    <format dxfId="108">
      <pivotArea dataOnly="0" labelOnly="1" outline="0" fieldPosition="0">
        <references count="1">
          <reference field="2" count="0"/>
        </references>
      </pivotArea>
    </format>
    <format dxfId="107">
      <pivotArea dataOnly="0" labelOnly="1" outline="0" fieldPosition="0">
        <references count="1">
          <reference field="2" count="0"/>
        </references>
      </pivotArea>
    </format>
    <format dxfId="106">
      <pivotArea field="7" type="button" dataOnly="0" labelOnly="1" outline="0"/>
    </format>
    <format dxfId="105">
      <pivotArea dataOnly="0" labelOnly="1" grandRow="1" outline="0" fieldPosition="0"/>
    </format>
    <format dxfId="104">
      <pivotArea dataOnly="0" labelOnly="1" outline="0" fieldPosition="0">
        <references count="3">
          <reference field="0" count="1" selected="0">
            <x v="24"/>
          </reference>
          <reference field="1" count="1">
            <x v="13"/>
          </reference>
          <reference field="4" count="1" selected="0">
            <x v="0"/>
          </reference>
        </references>
      </pivotArea>
    </format>
    <format dxfId="103">
      <pivotArea field="1" type="button" dataOnly="0" labelOnly="1" outline="0" axis="axisRow" fieldPosition="1"/>
    </format>
    <format dxfId="102">
      <pivotArea field="1" type="button" dataOnly="0" labelOnly="1" outline="0" axis="axisRow" fieldPosition="1"/>
    </format>
    <format dxfId="101">
      <pivotArea field="1" type="button" dataOnly="0" labelOnly="1" outline="0" axis="axisRow" fieldPosition="1"/>
    </format>
    <format dxfId="100">
      <pivotArea field="1" type="button" dataOnly="0" labelOnly="1" outline="0" axis="axisRow" fieldPosition="1"/>
    </format>
    <format dxfId="99">
      <pivotArea field="4" type="button" dataOnly="0" labelOnly="1" outline="0" axis="axisPage" fieldPosition="1"/>
    </format>
    <format dxfId="98">
      <pivotArea field="0" type="button" dataOnly="0" labelOnly="1" outline="0" axis="axisRow" fieldPosition="2"/>
    </format>
    <format dxfId="97">
      <pivotArea field="1" type="button" dataOnly="0" labelOnly="1" outline="0" axis="axisRow" fieldPosition="1"/>
    </format>
    <format dxfId="96">
      <pivotArea field="2" type="button" dataOnly="0" labelOnly="1" outline="0" axis="axisRow" fieldPosition="3"/>
    </format>
    <format dxfId="95">
      <pivotArea field="7" type="button" dataOnly="0" labelOnly="1" outline="0"/>
    </format>
    <format dxfId="94">
      <pivotArea field="7" type="button" dataOnly="0" labelOnly="1" outline="0"/>
    </format>
    <format dxfId="93">
      <pivotArea dataOnly="0" labelOnly="1" grandRow="1" outline="0" fieldPosition="0"/>
    </format>
    <format dxfId="92">
      <pivotArea field="7" type="button" dataOnly="0" labelOnly="1" outline="0"/>
    </format>
    <format dxfId="91">
      <pivotArea dataOnly="0" labelOnly="1" grandRow="1" outline="0" fieldPosition="0"/>
    </format>
    <format dxfId="90">
      <pivotArea field="7" type="button" dataOnly="0" labelOnly="1" outline="0"/>
    </format>
    <format dxfId="89">
      <pivotArea dataOnly="0" labelOnly="1" grandRow="1" outline="0" fieldPosition="0"/>
    </format>
    <format dxfId="88">
      <pivotArea field="7" type="button" dataOnly="0" labelOnly="1" outline="0"/>
    </format>
    <format dxfId="87">
      <pivotArea dataOnly="0" labelOnly="1" grandRow="1" outline="0" fieldPosition="0"/>
    </format>
    <format dxfId="86">
      <pivotArea outline="0" collapsedLevelsAreSubtotals="1" fieldPosition="0"/>
    </format>
    <format dxfId="85">
      <pivotArea dataOnly="0" labelOnly="1" outline="0" axis="axisValues" fieldPosition="0"/>
    </format>
    <format dxfId="84">
      <pivotArea dataOnly="0" labelOnly="1" outline="0" axis="axisValues" fieldPosition="0"/>
    </format>
    <format dxfId="83">
      <pivotArea outline="0" collapsedLevelsAreSubtotals="1" fieldPosition="0"/>
    </format>
    <format dxfId="82">
      <pivotArea dataOnly="0" labelOnly="1" outline="0" axis="axisValues" fieldPosition="0"/>
    </format>
    <format dxfId="81">
      <pivotArea dataOnly="0" labelOnly="1" outline="0" axis="axisValues" fieldPosition="0"/>
    </format>
    <format dxfId="80">
      <pivotArea dataOnly="0" labelOnly="1" outline="0" fieldPosition="0">
        <references count="3">
          <reference field="0" count="1" selected="0">
            <x v="24"/>
          </reference>
          <reference field="1" count="1">
            <x v="13"/>
          </reference>
          <reference field="4" count="1" selected="0">
            <x v="0"/>
          </reference>
        </references>
      </pivotArea>
    </format>
    <format dxfId="79">
      <pivotArea field="4" type="button" dataOnly="0" labelOnly="1" outline="0" axis="axisPage" fieldPosition="1"/>
    </format>
    <format dxfId="78">
      <pivotArea field="0" type="button" dataOnly="0" labelOnly="1" outline="0" axis="axisRow" fieldPosition="2"/>
    </format>
    <format dxfId="77">
      <pivotArea field="1" type="button" dataOnly="0" labelOnly="1" outline="0" axis="axisRow" fieldPosition="1"/>
    </format>
    <format dxfId="76">
      <pivotArea field="2" type="button" dataOnly="0" labelOnly="1" outline="0" axis="axisRow" fieldPosition="3"/>
    </format>
    <format dxfId="75">
      <pivotArea dataOnly="0" labelOnly="1" outline="0" axis="axisValues" fieldPosition="0"/>
    </format>
    <format dxfId="74">
      <pivotArea dataOnly="0" labelOnly="1" outline="0" axis="axisValues" fieldPosition="0"/>
    </format>
    <format dxfId="73">
      <pivotArea field="4" type="button" dataOnly="0" labelOnly="1" outline="0" axis="axisPage" fieldPosition="1"/>
    </format>
    <format dxfId="72">
      <pivotArea field="0" type="button" dataOnly="0" labelOnly="1" outline="0" axis="axisRow" fieldPosition="2"/>
    </format>
    <format dxfId="71">
      <pivotArea field="1" type="button" dataOnly="0" labelOnly="1" outline="0" axis="axisRow" fieldPosition="1"/>
    </format>
    <format dxfId="70">
      <pivotArea field="2" type="button" dataOnly="0" labelOnly="1" outline="0" axis="axisRow" fieldPosition="3"/>
    </format>
    <format dxfId="69">
      <pivotArea dataOnly="0" labelOnly="1" outline="0" axis="axisValues" fieldPosition="0"/>
    </format>
    <format dxfId="68">
      <pivotArea dataOnly="0" labelOnly="1" outline="0" axis="axisValues" fieldPosition="0"/>
    </format>
    <format dxfId="67">
      <pivotArea dataOnly="0" labelOnly="1" outline="0" fieldPosition="0">
        <references count="1">
          <reference field="4" count="1">
            <x v="15"/>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0"/>
          </reference>
        </references>
      </pivotArea>
    </format>
    <format dxfId="64">
      <pivotArea dataOnly="0" labelOnly="1" outline="0" fieldPosition="0">
        <references count="1">
          <reference field="4294967294" count="1">
            <x v="0"/>
          </reference>
        </references>
      </pivotArea>
    </format>
    <format dxfId="63">
      <pivotArea outline="0" collapsedLevelsAreSubtotals="1" fieldPosition="0">
        <references count="1">
          <reference field="4294967294" count="1" selected="0">
            <x v="0"/>
          </reference>
        </references>
      </pivotArea>
    </format>
    <format dxfId="62">
      <pivotArea field="4" type="button" dataOnly="0" labelOnly="1" outline="0" axis="axisPage" fieldPosition="1"/>
    </format>
    <format dxfId="61">
      <pivotArea field="1" type="button" dataOnly="0" labelOnly="1" outline="0" axis="axisRow" fieldPosition="1"/>
    </format>
    <format dxfId="60">
      <pivotArea field="0" type="button" dataOnly="0" labelOnly="1" outline="0" axis="axisRow" fieldPosition="2"/>
    </format>
    <format dxfId="59">
      <pivotArea field="2" type="button" dataOnly="0" labelOnly="1" outline="0" axis="axisRow" fieldPosition="3"/>
    </format>
    <format dxfId="58">
      <pivotArea dataOnly="0" labelOnly="1" outline="0" fieldPosition="0">
        <references count="1">
          <reference field="4" count="7">
            <x v="0"/>
            <x v="2"/>
            <x v="5"/>
            <x v="6"/>
            <x v="11"/>
            <x v="12"/>
            <x v="16"/>
          </reference>
        </references>
      </pivotArea>
    </format>
    <format dxfId="57">
      <pivotArea dataOnly="0" labelOnly="1" grandRow="1" outline="0" fieldPosition="0"/>
    </format>
    <format dxfId="56">
      <pivotArea dataOnly="0" labelOnly="1" outline="0" fieldPosition="0">
        <references count="2">
          <reference field="1" count="10">
            <x v="13"/>
            <x v="28"/>
            <x v="34"/>
            <x v="36"/>
            <x v="39"/>
            <x v="51"/>
            <x v="54"/>
            <x v="66"/>
            <x v="67"/>
            <x v="70"/>
          </reference>
          <reference field="4" count="1" selected="0">
            <x v="0"/>
          </reference>
        </references>
      </pivotArea>
    </format>
    <format dxfId="55">
      <pivotArea dataOnly="0" labelOnly="1" outline="0" fieldPosition="0">
        <references count="2">
          <reference field="1" count="2">
            <x v="49"/>
            <x v="65"/>
          </reference>
          <reference field="4" count="1" selected="0">
            <x v="2"/>
          </reference>
        </references>
      </pivotArea>
    </format>
    <format dxfId="54">
      <pivotArea dataOnly="0" labelOnly="1" outline="0" fieldPosition="0">
        <references count="2">
          <reference field="1" count="1">
            <x v="10"/>
          </reference>
          <reference field="4" count="1" selected="0">
            <x v="5"/>
          </reference>
        </references>
      </pivotArea>
    </format>
    <format dxfId="53">
      <pivotArea dataOnly="0" labelOnly="1" outline="0" fieldPosition="0">
        <references count="2">
          <reference field="1" count="1">
            <x v="57"/>
          </reference>
          <reference field="4" count="1" selected="0">
            <x v="11"/>
          </reference>
        </references>
      </pivotArea>
    </format>
    <format dxfId="52">
      <pivotArea dataOnly="0" labelOnly="1" outline="0" fieldPosition="0">
        <references count="2">
          <reference field="1" count="1">
            <x v="82"/>
          </reference>
          <reference field="4" count="1" selected="0">
            <x v="16"/>
          </reference>
        </references>
      </pivotArea>
    </format>
    <format dxfId="51">
      <pivotArea dataOnly="0" labelOnly="1" outline="0" fieldPosition="0">
        <references count="3">
          <reference field="0" count="1">
            <x v="57"/>
          </reference>
          <reference field="1" count="1" selected="0">
            <x v="54"/>
          </reference>
          <reference field="4" count="1" selected="0">
            <x v="0"/>
          </reference>
        </references>
      </pivotArea>
    </format>
    <format dxfId="50">
      <pivotArea dataOnly="0" labelOnly="1" outline="0" fieldPosition="0">
        <references count="3">
          <reference field="0" count="1">
            <x v="24"/>
          </reference>
          <reference field="1" count="1" selected="0">
            <x v="13"/>
          </reference>
          <reference field="4" count="1" selected="0">
            <x v="0"/>
          </reference>
        </references>
      </pivotArea>
    </format>
    <format dxfId="49">
      <pivotArea dataOnly="0" labelOnly="1" outline="0" fieldPosition="0">
        <references count="3">
          <reference field="0" count="1">
            <x v="15"/>
          </reference>
          <reference field="1" count="1" selected="0">
            <x v="67"/>
          </reference>
          <reference field="4" count="1" selected="0">
            <x v="0"/>
          </reference>
        </references>
      </pivotArea>
    </format>
    <format dxfId="48">
      <pivotArea dataOnly="0" labelOnly="1" outline="0" fieldPosition="0">
        <references count="3">
          <reference field="0" count="1">
            <x v="29"/>
          </reference>
          <reference field="1" count="1" selected="0">
            <x v="28"/>
          </reference>
          <reference field="4" count="1" selected="0">
            <x v="0"/>
          </reference>
        </references>
      </pivotArea>
    </format>
    <format dxfId="47">
      <pivotArea dataOnly="0" labelOnly="1" outline="0" fieldPosition="0">
        <references count="3">
          <reference field="0" count="1">
            <x v="50"/>
          </reference>
          <reference field="1" count="1" selected="0">
            <x v="51"/>
          </reference>
          <reference field="4" count="1" selected="0">
            <x v="0"/>
          </reference>
        </references>
      </pivotArea>
    </format>
    <format dxfId="46">
      <pivotArea dataOnly="0" labelOnly="1" outline="0" fieldPosition="0">
        <references count="3">
          <reference field="0" count="1">
            <x v="35"/>
          </reference>
          <reference field="1" count="1" selected="0">
            <x v="34"/>
          </reference>
          <reference field="4" count="1" selected="0">
            <x v="0"/>
          </reference>
        </references>
      </pivotArea>
    </format>
    <format dxfId="45">
      <pivotArea dataOnly="0" labelOnly="1" outline="0" fieldPosition="0">
        <references count="3">
          <reference field="0" count="1">
            <x v="17"/>
          </reference>
          <reference field="1" count="1" selected="0">
            <x v="66"/>
          </reference>
          <reference field="4" count="1" selected="0">
            <x v="0"/>
          </reference>
        </references>
      </pivotArea>
    </format>
    <format dxfId="44">
      <pivotArea dataOnly="0" labelOnly="1" outline="0" fieldPosition="0">
        <references count="3">
          <reference field="0" count="1">
            <x v="37"/>
          </reference>
          <reference field="1" count="1" selected="0">
            <x v="36"/>
          </reference>
          <reference field="4" count="1" selected="0">
            <x v="0"/>
          </reference>
        </references>
      </pivotArea>
    </format>
    <format dxfId="43">
      <pivotArea dataOnly="0" labelOnly="1" outline="0" fieldPosition="0">
        <references count="3">
          <reference field="0" count="1">
            <x v="26"/>
          </reference>
          <reference field="1" count="1" selected="0">
            <x v="70"/>
          </reference>
          <reference field="4" count="1" selected="0">
            <x v="0"/>
          </reference>
        </references>
      </pivotArea>
    </format>
    <format dxfId="42">
      <pivotArea dataOnly="0" labelOnly="1" outline="0" fieldPosition="0">
        <references count="3">
          <reference field="0" count="1">
            <x v="65"/>
          </reference>
          <reference field="1" count="1" selected="0">
            <x v="39"/>
          </reference>
          <reference field="4" count="1" selected="0">
            <x v="0"/>
          </reference>
        </references>
      </pivotArea>
    </format>
    <format dxfId="41">
      <pivotArea dataOnly="0" labelOnly="1" outline="0" fieldPosition="0">
        <references count="3">
          <reference field="0" count="1">
            <x v="19"/>
          </reference>
          <reference field="1" count="1" selected="0">
            <x v="49"/>
          </reference>
          <reference field="4" count="1" selected="0">
            <x v="2"/>
          </reference>
        </references>
      </pivotArea>
    </format>
    <format dxfId="40">
      <pivotArea dataOnly="0" labelOnly="1" outline="0" fieldPosition="0">
        <references count="3">
          <reference field="0" count="1">
            <x v="44"/>
          </reference>
          <reference field="1" count="1" selected="0">
            <x v="65"/>
          </reference>
          <reference field="4" count="1" selected="0">
            <x v="2"/>
          </reference>
        </references>
      </pivotArea>
    </format>
    <format dxfId="39">
      <pivotArea dataOnly="0" labelOnly="1" outline="0" fieldPosition="0">
        <references count="3">
          <reference field="0" count="1">
            <x v="21"/>
          </reference>
          <reference field="1" count="1" selected="0">
            <x v="10"/>
          </reference>
          <reference field="4" count="1" selected="0">
            <x v="5"/>
          </reference>
        </references>
      </pivotArea>
    </format>
    <format dxfId="38">
      <pivotArea dataOnly="0" labelOnly="1" outline="0" fieldPosition="0">
        <references count="3">
          <reference field="0" count="1">
            <x v="68"/>
          </reference>
          <reference field="1" count="1" selected="0">
            <x v="82"/>
          </reference>
          <reference field="4" count="1" selected="0">
            <x v="16"/>
          </reference>
        </references>
      </pivotArea>
    </format>
    <format dxfId="37">
      <pivotArea dataOnly="0" labelOnly="1" outline="0" fieldPosition="0">
        <references count="4">
          <reference field="0" count="1" selected="0">
            <x v="57"/>
          </reference>
          <reference field="1" count="1" selected="0">
            <x v="54"/>
          </reference>
          <reference field="2" count="1">
            <x v="50"/>
          </reference>
          <reference field="4" count="1" selected="0">
            <x v="0"/>
          </reference>
        </references>
      </pivotArea>
    </format>
    <format dxfId="36">
      <pivotArea dataOnly="0" labelOnly="1" outline="0" fieldPosition="0">
        <references count="4">
          <reference field="0" count="1" selected="0">
            <x v="24"/>
          </reference>
          <reference field="1" count="1" selected="0">
            <x v="13"/>
          </reference>
          <reference field="2" count="1">
            <x v="13"/>
          </reference>
          <reference field="4" count="1" selected="0">
            <x v="0"/>
          </reference>
        </references>
      </pivotArea>
    </format>
    <format dxfId="35">
      <pivotArea dataOnly="0" labelOnly="1" outline="0" fieldPosition="0">
        <references count="4">
          <reference field="0" count="1" selected="0">
            <x v="15"/>
          </reference>
          <reference field="1" count="1" selected="0">
            <x v="67"/>
          </reference>
          <reference field="2" count="1">
            <x v="56"/>
          </reference>
          <reference field="4" count="1" selected="0">
            <x v="0"/>
          </reference>
        </references>
      </pivotArea>
    </format>
    <format dxfId="34">
      <pivotArea dataOnly="0" labelOnly="1" outline="0" fieldPosition="0">
        <references count="4">
          <reference field="0" count="1" selected="0">
            <x v="29"/>
          </reference>
          <reference field="1" count="1" selected="0">
            <x v="28"/>
          </reference>
          <reference field="2" count="1">
            <x v="29"/>
          </reference>
          <reference field="4" count="1" selected="0">
            <x v="0"/>
          </reference>
        </references>
      </pivotArea>
    </format>
    <format dxfId="33">
      <pivotArea dataOnly="0" labelOnly="1" outline="0" fieldPosition="0">
        <references count="4">
          <reference field="0" count="1" selected="0">
            <x v="50"/>
          </reference>
          <reference field="1" count="1" selected="0">
            <x v="51"/>
          </reference>
          <reference field="2" count="1">
            <x v="64"/>
          </reference>
          <reference field="4" count="1" selected="0">
            <x v="0"/>
          </reference>
        </references>
      </pivotArea>
    </format>
    <format dxfId="32">
      <pivotArea dataOnly="0" labelOnly="1" outline="0" fieldPosition="0">
        <references count="4">
          <reference field="0" count="1" selected="0">
            <x v="35"/>
          </reference>
          <reference field="1" count="1" selected="0">
            <x v="34"/>
          </reference>
          <reference field="2" count="1">
            <x v="101"/>
          </reference>
          <reference field="4" count="1" selected="0">
            <x v="0"/>
          </reference>
        </references>
      </pivotArea>
    </format>
    <format dxfId="31">
      <pivotArea dataOnly="0" labelOnly="1" outline="0" fieldPosition="0">
        <references count="4">
          <reference field="0" count="1" selected="0">
            <x v="17"/>
          </reference>
          <reference field="1" count="1" selected="0">
            <x v="66"/>
          </reference>
          <reference field="2" count="1">
            <x v="55"/>
          </reference>
          <reference field="4" count="1" selected="0">
            <x v="0"/>
          </reference>
        </references>
      </pivotArea>
    </format>
    <format dxfId="30">
      <pivotArea dataOnly="0" labelOnly="1" outline="0" fieldPosition="0">
        <references count="4">
          <reference field="0" count="1" selected="0">
            <x v="37"/>
          </reference>
          <reference field="1" count="1" selected="0">
            <x v="36"/>
          </reference>
          <reference field="2" count="1">
            <x v="26"/>
          </reference>
          <reference field="4" count="1" selected="0">
            <x v="0"/>
          </reference>
        </references>
      </pivotArea>
    </format>
    <format dxfId="29">
      <pivotArea dataOnly="0" labelOnly="1" outline="0" fieldPosition="0">
        <references count="4">
          <reference field="0" count="1" selected="0">
            <x v="26"/>
          </reference>
          <reference field="1" count="1" selected="0">
            <x v="70"/>
          </reference>
          <reference field="2" count="1">
            <x v="8"/>
          </reference>
          <reference field="4" count="1" selected="0">
            <x v="0"/>
          </reference>
        </references>
      </pivotArea>
    </format>
    <format dxfId="28">
      <pivotArea dataOnly="0" labelOnly="1" outline="0" fieldPosition="0">
        <references count="4">
          <reference field="0" count="1" selected="0">
            <x v="65"/>
          </reference>
          <reference field="1" count="1" selected="0">
            <x v="39"/>
          </reference>
          <reference field="2" count="1">
            <x v="9"/>
          </reference>
          <reference field="4" count="1" selected="0">
            <x v="0"/>
          </reference>
        </references>
      </pivotArea>
    </format>
    <format dxfId="27">
      <pivotArea dataOnly="0" labelOnly="1" outline="0" fieldPosition="0">
        <references count="4">
          <reference field="0" count="1" selected="0">
            <x v="19"/>
          </reference>
          <reference field="1" count="1" selected="0">
            <x v="49"/>
          </reference>
          <reference field="2" count="1">
            <x v="62"/>
          </reference>
          <reference field="4" count="1" selected="0">
            <x v="2"/>
          </reference>
        </references>
      </pivotArea>
    </format>
    <format dxfId="26">
      <pivotArea dataOnly="0" labelOnly="1" outline="0" fieldPosition="0">
        <references count="4">
          <reference field="0" count="1" selected="0">
            <x v="44"/>
          </reference>
          <reference field="1" count="1" selected="0">
            <x v="65"/>
          </reference>
          <reference field="2" count="1">
            <x v="82"/>
          </reference>
          <reference field="4" count="1" selected="0">
            <x v="2"/>
          </reference>
        </references>
      </pivotArea>
    </format>
    <format dxfId="25">
      <pivotArea dataOnly="0" labelOnly="1" outline="0" fieldPosition="0">
        <references count="4">
          <reference field="0" count="1" selected="0">
            <x v="21"/>
          </reference>
          <reference field="1" count="1" selected="0">
            <x v="10"/>
          </reference>
          <reference field="2" count="1">
            <x v="102"/>
          </reference>
          <reference field="4" count="1" selected="0">
            <x v="5"/>
          </reference>
        </references>
      </pivotArea>
    </format>
    <format dxfId="24">
      <pivotArea dataOnly="0" labelOnly="1" outline="0" fieldPosition="0">
        <references count="4">
          <reference field="0" count="1" selected="0">
            <x v="21"/>
          </reference>
          <reference field="1" count="1" selected="0">
            <x v="10"/>
          </reference>
          <reference field="2" count="1">
            <x v="102"/>
          </reference>
          <reference field="4" count="1" selected="0">
            <x v="6"/>
          </reference>
        </references>
      </pivotArea>
    </format>
    <format dxfId="23">
      <pivotArea dataOnly="0" labelOnly="1" outline="0" fieldPosition="0">
        <references count="4">
          <reference field="0" count="1" selected="0">
            <x v="21"/>
          </reference>
          <reference field="1" count="1" selected="0">
            <x v="57"/>
          </reference>
          <reference field="2" count="2">
            <x v="14"/>
            <x v="22"/>
          </reference>
          <reference field="4" count="1" selected="0">
            <x v="11"/>
          </reference>
        </references>
      </pivotArea>
    </format>
    <format dxfId="22">
      <pivotArea dataOnly="0" labelOnly="1" outline="0" fieldPosition="0">
        <references count="4">
          <reference field="0" count="1" selected="0">
            <x v="21"/>
          </reference>
          <reference field="1" count="1" selected="0">
            <x v="57"/>
          </reference>
          <reference field="2" count="1">
            <x v="88"/>
          </reference>
          <reference field="4" count="1" selected="0">
            <x v="12"/>
          </reference>
        </references>
      </pivotArea>
    </format>
    <format dxfId="21">
      <pivotArea dataOnly="0" labelOnly="1" outline="0" fieldPosition="0">
        <references count="4">
          <reference field="0" count="1" selected="0">
            <x v="68"/>
          </reference>
          <reference field="1" count="1" selected="0">
            <x v="82"/>
          </reference>
          <reference field="2" count="1">
            <x v="113"/>
          </reference>
          <reference field="4" count="1" selected="0">
            <x v="16"/>
          </reference>
        </references>
      </pivotArea>
    </format>
    <format dxfId="20">
      <pivotArea dataOnly="0" labelOnly="1" outline="0" fieldPosition="0">
        <references count="1">
          <reference field="4294967294" count="1">
            <x v="0"/>
          </reference>
        </references>
      </pivotArea>
    </format>
    <format dxfId="19">
      <pivotArea field="4" type="button" dataOnly="0" labelOnly="1" outline="0" axis="axisPage" fieldPosition="1"/>
    </format>
    <format dxfId="18">
      <pivotArea field="1" type="button" dataOnly="0" labelOnly="1" outline="0" axis="axisRow" fieldPosition="1"/>
    </format>
    <format dxfId="17">
      <pivotArea field="0" type="button" dataOnly="0" labelOnly="1" outline="0" axis="axisRow" fieldPosition="2"/>
    </format>
    <format dxfId="16">
      <pivotArea field="2" type="button" dataOnly="0" labelOnly="1" outline="0" axis="axisRow" fieldPosition="3"/>
    </format>
    <format dxfId="15">
      <pivotArea dataOnly="0" labelOnly="1" outline="0" fieldPosition="0">
        <references count="1">
          <reference field="4294967294" count="2">
            <x v="0"/>
            <x v="1"/>
          </reference>
        </references>
      </pivotArea>
    </format>
    <format dxfId="14">
      <pivotArea field="1" type="button" dataOnly="0" labelOnly="1" outline="0" axis="axisRow" fieldPosition="1"/>
    </format>
    <format dxfId="13">
      <pivotArea field="0" type="button" dataOnly="0" labelOnly="1" outline="0" axis="axisRow" fieldPosition="2"/>
    </format>
    <format dxfId="12">
      <pivotArea field="0" type="button" dataOnly="0" labelOnly="1" outline="0" axis="axisRow" fieldPosition="2"/>
    </format>
    <format dxfId="11">
      <pivotArea field="8" dataOnly="0" grandRow="1" outline="0" axis="axisPage" fieldPosition="0">
        <references count="1">
          <reference field="8" count="1" selected="0">
            <x v="1"/>
          </reference>
        </references>
      </pivotArea>
    </format>
    <format dxfId="10">
      <pivotArea field="9" grandRow="1" outline="0" collapsedLevelsAreSubtotals="1" axis="axisRow" fieldPosition="0">
        <references count="1">
          <reference field="4294967294" count="1" selected="0">
            <x v="0"/>
          </reference>
        </references>
      </pivotArea>
    </format>
    <format dxfId="9">
      <pivotArea field="9" type="button" dataOnly="0" labelOnly="1" outline="0" axis="axisRow" fieldPosition="0"/>
    </format>
    <format dxfId="8">
      <pivotArea field="1" type="button" dataOnly="0" labelOnly="1" outline="0" axis="axisRow" fieldPosition="1"/>
    </format>
    <format dxfId="7">
      <pivotArea field="0" type="button" dataOnly="0" labelOnly="1" outline="0" axis="axisRow" fieldPosition="2"/>
    </format>
    <format dxfId="6">
      <pivotArea field="9" type="button" dataOnly="0" labelOnly="1" outline="0" axis="axisRow" fieldPosition="0"/>
    </format>
    <format dxfId="5">
      <pivotArea field="1" type="button" dataOnly="0" labelOnly="1" outline="0" axis="axisRow" fieldPosition="1"/>
    </format>
    <format dxfId="4">
      <pivotArea field="0" type="button" dataOnly="0" labelOnly="1" outline="0" axis="axisRow" fieldPosition="2"/>
    </format>
    <format dxfId="3">
      <pivotArea field="2" type="button" dataOnly="0" labelOnly="1" outline="0" axis="axisRow" fieldPosition="3"/>
    </format>
    <format dxfId="2">
      <pivotArea dataOnly="0" labelOnly="1" outline="0" fieldPosition="0">
        <references count="1">
          <reference field="4294967294" count="1">
            <x v="0"/>
          </reference>
        </references>
      </pivotArea>
    </format>
  </formats>
  <pivotTableStyleInfo name="PivotStyleLight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39997558519241921"/>
  </sheetPr>
  <dimension ref="B3:N32"/>
  <sheetViews>
    <sheetView showGridLines="0" showRowColHeaders="0" zoomScaleNormal="100" workbookViewId="0">
      <pane ySplit="37" topLeftCell="A38" activePane="bottomLeft" state="frozen"/>
      <selection pane="bottomLeft" activeCell="D27" sqref="D27:J27"/>
    </sheetView>
  </sheetViews>
  <sheetFormatPr defaultColWidth="9.28515625" defaultRowHeight="12.75" x14ac:dyDescent="0.2"/>
  <cols>
    <col min="1" max="1" width="8" style="39" customWidth="1"/>
    <col min="2" max="16384" width="9.28515625" style="39"/>
  </cols>
  <sheetData>
    <row r="3" spans="2:14" x14ac:dyDescent="0.2">
      <c r="B3" s="44"/>
      <c r="C3" s="44"/>
      <c r="D3" s="44"/>
      <c r="E3" s="44"/>
      <c r="F3" s="44"/>
      <c r="G3" s="44"/>
      <c r="H3" s="44"/>
      <c r="I3" s="44"/>
      <c r="J3" s="44"/>
      <c r="K3" s="44"/>
      <c r="L3" s="44"/>
      <c r="M3" s="44"/>
      <c r="N3" s="44"/>
    </row>
    <row r="4" spans="2:14" x14ac:dyDescent="0.2">
      <c r="B4" s="44"/>
      <c r="C4" s="44"/>
      <c r="D4" s="44"/>
      <c r="E4" s="44"/>
      <c r="F4" s="44"/>
      <c r="G4" s="44"/>
      <c r="H4" s="44"/>
      <c r="I4" s="44"/>
      <c r="J4" s="44"/>
      <c r="K4" s="44"/>
      <c r="L4" s="44"/>
      <c r="M4" s="44"/>
      <c r="N4" s="44"/>
    </row>
    <row r="5" spans="2:14" ht="26.25" x14ac:dyDescent="0.4">
      <c r="B5" s="44"/>
      <c r="C5" s="74"/>
      <c r="D5" s="74"/>
      <c r="E5" s="74"/>
      <c r="F5" s="74"/>
      <c r="G5" s="74"/>
      <c r="H5" s="75" t="s">
        <v>459</v>
      </c>
      <c r="I5" s="74"/>
      <c r="J5" s="74"/>
      <c r="K5" s="74"/>
      <c r="L5" s="74"/>
      <c r="M5" s="74"/>
      <c r="N5" s="74"/>
    </row>
    <row r="6" spans="2:14" x14ac:dyDescent="0.2">
      <c r="B6" s="44"/>
      <c r="C6" s="44"/>
      <c r="D6" s="44"/>
      <c r="E6" s="44"/>
      <c r="F6" s="44"/>
      <c r="G6" s="44"/>
      <c r="H6" s="44"/>
      <c r="I6" s="44"/>
      <c r="J6" s="44"/>
      <c r="K6" s="44"/>
      <c r="L6" s="44"/>
      <c r="M6" s="44"/>
      <c r="N6" s="44"/>
    </row>
    <row r="7" spans="2:14" x14ac:dyDescent="0.2">
      <c r="B7" s="44"/>
      <c r="C7" s="44"/>
      <c r="D7" s="44"/>
      <c r="E7" s="44"/>
      <c r="F7" s="44"/>
      <c r="G7" s="44"/>
      <c r="H7" s="44"/>
      <c r="I7" s="44"/>
      <c r="J7" s="44"/>
      <c r="K7" s="44"/>
      <c r="L7" s="44"/>
      <c r="M7" s="44"/>
      <c r="N7" s="44"/>
    </row>
    <row r="8" spans="2:14" x14ac:dyDescent="0.2">
      <c r="B8" s="44"/>
      <c r="C8" s="44"/>
      <c r="D8" s="44"/>
      <c r="E8" s="44"/>
      <c r="F8" s="44"/>
      <c r="G8" s="44"/>
      <c r="H8" s="44"/>
      <c r="I8" s="44"/>
      <c r="J8" s="44"/>
      <c r="K8" s="44"/>
      <c r="L8" s="44"/>
      <c r="M8" s="44"/>
      <c r="N8" s="44"/>
    </row>
    <row r="9" spans="2:14" x14ac:dyDescent="0.2">
      <c r="B9" s="44"/>
      <c r="C9" s="805"/>
      <c r="D9" s="115"/>
      <c r="E9" s="74"/>
      <c r="F9" s="74"/>
      <c r="G9" s="74"/>
      <c r="H9" s="74"/>
      <c r="I9" s="806"/>
      <c r="J9" s="807"/>
      <c r="K9" s="74"/>
      <c r="L9" s="74"/>
      <c r="M9" s="74"/>
      <c r="N9" s="44"/>
    </row>
    <row r="10" spans="2:14" x14ac:dyDescent="0.2">
      <c r="B10" s="44"/>
      <c r="C10" s="44"/>
      <c r="D10" s="44"/>
      <c r="E10" s="44"/>
      <c r="F10" s="44"/>
      <c r="G10" s="44"/>
      <c r="H10" s="44"/>
      <c r="I10" s="44"/>
      <c r="J10" s="44"/>
      <c r="K10" s="44"/>
      <c r="L10" s="44"/>
      <c r="M10" s="44"/>
      <c r="N10" s="44"/>
    </row>
    <row r="11" spans="2:14" x14ac:dyDescent="0.2">
      <c r="B11" s="44"/>
      <c r="C11" s="44"/>
      <c r="D11" s="44"/>
      <c r="E11" s="44"/>
      <c r="F11" s="44"/>
      <c r="G11" s="44"/>
      <c r="H11" s="44"/>
      <c r="I11" s="44"/>
      <c r="J11" s="44"/>
      <c r="K11" s="44"/>
      <c r="L11" s="44"/>
      <c r="M11" s="44"/>
      <c r="N11" s="44"/>
    </row>
    <row r="12" spans="2:14" x14ac:dyDescent="0.2">
      <c r="B12" s="44"/>
      <c r="C12" s="44"/>
      <c r="D12" s="44"/>
      <c r="E12" s="44"/>
      <c r="F12" s="44"/>
      <c r="G12" s="44"/>
      <c r="H12" s="44"/>
      <c r="I12" s="44"/>
      <c r="J12" s="44"/>
      <c r="K12" s="44"/>
      <c r="L12" s="44"/>
      <c r="M12" s="44"/>
      <c r="N12" s="44"/>
    </row>
    <row r="13" spans="2:14" x14ac:dyDescent="0.2">
      <c r="B13" s="44"/>
      <c r="C13" s="44"/>
      <c r="D13" s="44"/>
      <c r="E13" s="44"/>
      <c r="F13" s="44"/>
      <c r="G13" s="44"/>
      <c r="H13" s="44"/>
      <c r="I13" s="44"/>
      <c r="J13" s="44"/>
      <c r="K13" s="44"/>
      <c r="L13" s="44"/>
      <c r="M13" s="44"/>
      <c r="N13" s="44"/>
    </row>
    <row r="14" spans="2:14" x14ac:dyDescent="0.2">
      <c r="B14" s="44"/>
      <c r="C14" s="44"/>
      <c r="D14" s="44"/>
      <c r="E14" s="44"/>
      <c r="F14" s="44"/>
      <c r="G14" s="44"/>
      <c r="H14" s="44"/>
      <c r="I14" s="44"/>
      <c r="J14" s="44"/>
      <c r="K14" s="44"/>
      <c r="L14" s="44"/>
      <c r="M14" s="44"/>
      <c r="N14" s="44"/>
    </row>
    <row r="15" spans="2:14" x14ac:dyDescent="0.2">
      <c r="B15" s="44"/>
      <c r="C15" s="44"/>
      <c r="D15" s="44"/>
      <c r="E15" s="44"/>
      <c r="F15" s="44"/>
      <c r="G15" s="44"/>
      <c r="H15" s="44"/>
      <c r="I15" s="44"/>
      <c r="J15" s="44"/>
      <c r="K15" s="44"/>
      <c r="L15" s="44"/>
      <c r="M15" s="44"/>
      <c r="N15" s="44"/>
    </row>
    <row r="16" spans="2:14" x14ac:dyDescent="0.2">
      <c r="B16" s="44"/>
      <c r="C16" s="44"/>
      <c r="D16" s="44"/>
      <c r="E16" s="44"/>
      <c r="F16" s="44"/>
      <c r="G16" s="44"/>
      <c r="H16" s="44"/>
      <c r="I16" s="44"/>
      <c r="J16" s="44"/>
      <c r="K16" s="44"/>
      <c r="L16" s="44"/>
      <c r="M16" s="44"/>
      <c r="N16" s="44"/>
    </row>
    <row r="17" spans="2:14" x14ac:dyDescent="0.2">
      <c r="B17" s="44"/>
      <c r="C17" s="44"/>
      <c r="D17" s="44"/>
      <c r="E17" s="44"/>
      <c r="F17" s="44"/>
      <c r="G17" s="44"/>
      <c r="H17" s="44"/>
      <c r="I17" s="44"/>
      <c r="J17" s="44"/>
      <c r="K17" s="44"/>
      <c r="L17" s="44"/>
      <c r="M17" s="44"/>
      <c r="N17" s="44"/>
    </row>
    <row r="18" spans="2:14" x14ac:dyDescent="0.2">
      <c r="B18" s="44"/>
      <c r="C18" s="44"/>
      <c r="D18" s="44"/>
      <c r="E18" s="44"/>
      <c r="F18" s="44"/>
      <c r="G18" s="44"/>
      <c r="H18" s="44"/>
      <c r="I18" s="44"/>
      <c r="J18" s="44"/>
      <c r="K18" s="44"/>
      <c r="L18" s="44"/>
      <c r="M18" s="44"/>
      <c r="N18" s="44"/>
    </row>
    <row r="19" spans="2:14" x14ac:dyDescent="0.2">
      <c r="B19" s="44"/>
      <c r="C19" s="44"/>
      <c r="D19" s="44"/>
      <c r="E19" s="44"/>
      <c r="F19" s="44"/>
      <c r="G19" s="44"/>
      <c r="H19" s="44"/>
      <c r="I19" s="44"/>
      <c r="J19" s="44"/>
      <c r="K19" s="44"/>
      <c r="L19" s="44"/>
      <c r="M19" s="44"/>
      <c r="N19" s="44"/>
    </row>
    <row r="20" spans="2:14" x14ac:dyDescent="0.2">
      <c r="B20" s="44"/>
      <c r="C20" s="44"/>
      <c r="D20" s="44"/>
      <c r="E20" s="44"/>
      <c r="F20" s="44"/>
      <c r="G20" s="44"/>
      <c r="H20" s="44"/>
      <c r="I20" s="44"/>
      <c r="J20" s="44"/>
      <c r="K20" s="44"/>
      <c r="L20" s="44"/>
      <c r="M20" s="44"/>
      <c r="N20" s="44"/>
    </row>
    <row r="21" spans="2:14" x14ac:dyDescent="0.2">
      <c r="B21" s="44"/>
      <c r="C21" s="44"/>
      <c r="D21" s="44"/>
      <c r="E21" s="44"/>
      <c r="F21" s="44"/>
      <c r="G21" s="44"/>
      <c r="H21" s="44"/>
      <c r="I21" s="44"/>
      <c r="J21" s="44"/>
      <c r="K21" s="44"/>
      <c r="L21" s="44"/>
      <c r="M21" s="44"/>
      <c r="N21" s="44"/>
    </row>
    <row r="22" spans="2:14" x14ac:dyDescent="0.2">
      <c r="B22" s="44"/>
      <c r="C22" s="44"/>
      <c r="D22" s="44"/>
      <c r="E22" s="44"/>
      <c r="F22" s="44"/>
      <c r="G22" s="44"/>
      <c r="H22" s="44"/>
      <c r="I22" s="44"/>
      <c r="J22" s="44"/>
      <c r="K22" s="44"/>
      <c r="L22" s="44"/>
      <c r="M22" s="44"/>
      <c r="N22" s="44"/>
    </row>
    <row r="23" spans="2:14" x14ac:dyDescent="0.2">
      <c r="B23" s="44"/>
      <c r="C23" s="44"/>
      <c r="D23" s="44"/>
      <c r="E23" s="44"/>
      <c r="F23" s="44"/>
      <c r="G23" s="44"/>
      <c r="H23" s="44"/>
      <c r="I23" s="44"/>
      <c r="J23" s="44"/>
      <c r="K23" s="44"/>
      <c r="L23" s="44"/>
      <c r="M23" s="44"/>
      <c r="N23" s="44"/>
    </row>
    <row r="24" spans="2:14" x14ac:dyDescent="0.2">
      <c r="B24" s="44"/>
      <c r="C24" s="44"/>
      <c r="D24" s="44"/>
      <c r="E24" s="44"/>
      <c r="F24" s="44"/>
      <c r="G24" s="44"/>
      <c r="H24" s="44"/>
      <c r="I24" s="44"/>
      <c r="J24" s="44"/>
      <c r="K24" s="44"/>
      <c r="L24" s="44"/>
      <c r="M24" s="44"/>
      <c r="N24" s="44"/>
    </row>
    <row r="25" spans="2:14" x14ac:dyDescent="0.2">
      <c r="B25" s="44"/>
      <c r="C25" s="44"/>
      <c r="D25" s="44"/>
      <c r="E25" s="44"/>
      <c r="F25" s="44"/>
      <c r="G25" s="44"/>
      <c r="H25" s="44"/>
      <c r="I25" s="44"/>
      <c r="J25" s="44"/>
      <c r="K25" s="44"/>
      <c r="L25" s="44"/>
      <c r="M25" s="44"/>
      <c r="N25" s="44"/>
    </row>
    <row r="26" spans="2:14" x14ac:dyDescent="0.2">
      <c r="B26" s="44"/>
      <c r="C26" s="44"/>
      <c r="D26" s="44"/>
      <c r="E26" s="44"/>
      <c r="F26" s="44"/>
      <c r="G26" s="44"/>
      <c r="H26" s="44"/>
      <c r="I26" s="44"/>
      <c r="J26" s="44"/>
      <c r="K26" s="44"/>
      <c r="L26" s="44"/>
      <c r="M26" s="44"/>
      <c r="N26" s="44"/>
    </row>
    <row r="27" spans="2:14" x14ac:dyDescent="0.2">
      <c r="B27" s="44"/>
      <c r="C27" s="44"/>
      <c r="D27" s="1005" t="s">
        <v>1466</v>
      </c>
      <c r="E27" s="1005"/>
      <c r="F27" s="1005"/>
      <c r="G27" s="1005"/>
      <c r="H27" s="1005"/>
      <c r="I27" s="1005"/>
      <c r="J27" s="1005"/>
      <c r="K27" s="44"/>
      <c r="L27" s="44"/>
      <c r="M27" s="44"/>
      <c r="N27" s="44"/>
    </row>
    <row r="28" spans="2:14" ht="13.5" thickBot="1" x14ac:dyDescent="0.25">
      <c r="B28" s="44"/>
      <c r="C28" s="44"/>
      <c r="D28" s="44"/>
      <c r="E28" s="44"/>
      <c r="F28" s="44"/>
      <c r="G28" s="44"/>
      <c r="H28" s="44"/>
      <c r="I28" s="44"/>
      <c r="J28" s="44"/>
      <c r="K28" s="44"/>
      <c r="L28" s="44"/>
      <c r="M28" s="44"/>
      <c r="N28" s="44"/>
    </row>
    <row r="29" spans="2:14" ht="13.5" thickBot="1" x14ac:dyDescent="0.25">
      <c r="B29" s="44"/>
      <c r="C29" s="44"/>
      <c r="D29" s="467" t="s">
        <v>544</v>
      </c>
      <c r="E29" s="44"/>
      <c r="F29" s="44"/>
      <c r="G29" s="1003" t="s">
        <v>1465</v>
      </c>
      <c r="H29" s="1004"/>
      <c r="I29" s="44"/>
      <c r="J29" s="44"/>
      <c r="K29" s="44"/>
      <c r="L29" s="44"/>
      <c r="M29" s="44"/>
      <c r="N29" s="44"/>
    </row>
    <row r="30" spans="2:14" x14ac:dyDescent="0.2">
      <c r="B30" s="44"/>
      <c r="C30" s="44"/>
      <c r="D30" s="44"/>
      <c r="E30" s="44"/>
      <c r="F30" s="44"/>
      <c r="G30" s="44"/>
      <c r="H30" s="44"/>
      <c r="I30" s="44"/>
      <c r="J30" s="44"/>
      <c r="K30" s="44"/>
      <c r="L30" s="44"/>
      <c r="M30" s="44"/>
      <c r="N30" s="44"/>
    </row>
    <row r="31" spans="2:14" x14ac:dyDescent="0.2">
      <c r="B31" s="44"/>
      <c r="C31" s="44"/>
      <c r="D31" s="44"/>
      <c r="E31" s="44"/>
      <c r="F31" s="44"/>
      <c r="G31" s="44"/>
      <c r="H31" s="44"/>
      <c r="I31" s="44"/>
      <c r="J31" s="44"/>
      <c r="K31" s="44"/>
      <c r="L31" s="44"/>
      <c r="M31" s="44"/>
      <c r="N31" s="44"/>
    </row>
    <row r="32" spans="2:14" x14ac:dyDescent="0.2">
      <c r="B32" s="44"/>
      <c r="C32" s="44"/>
      <c r="D32" s="44"/>
      <c r="E32" s="44"/>
      <c r="F32" s="44"/>
      <c r="G32" s="44"/>
      <c r="H32" s="44"/>
      <c r="I32" s="44"/>
      <c r="J32" s="44"/>
      <c r="K32" s="44"/>
      <c r="L32" s="44"/>
      <c r="M32" s="44"/>
      <c r="N32" s="44"/>
    </row>
  </sheetData>
  <sheetProtection password="C583" sheet="1" objects="1" scenarios="1" selectLockedCells="1"/>
  <mergeCells count="2">
    <mergeCell ref="G29:H29"/>
    <mergeCell ref="D27:J27"/>
  </mergeCells>
  <conditionalFormatting sqref="G29:H29">
    <cfRule type="cellIs" dxfId="163" priority="2" operator="equal">
      <formula>"DM160211.02"</formula>
    </cfRule>
  </conditionalFormatting>
  <conditionalFormatting sqref="D27:J27">
    <cfRule type="cellIs" dxfId="162" priority="1" operator="equal">
      <formula>"General Mills Australia Pty Ltd (MOUNT WAVERLEY) | DM160211.02 | LPA - Label Printer Applicator"</formula>
    </cfRule>
  </conditionalFormatting>
  <pageMargins left="0.7" right="0.7" top="0.75" bottom="0.75" header="0.3" footer="0.3"/>
  <pageSetup paperSize="9" scale="4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theme="6" tint="0.39997558519241921"/>
  </sheetPr>
  <dimension ref="B4:AO361"/>
  <sheetViews>
    <sheetView showGridLines="0" showRowColHeaders="0" tabSelected="1" topLeftCell="A49" zoomScale="115" zoomScaleNormal="115" zoomScaleSheetLayoutView="115" workbookViewId="0">
      <selection activeCell="K22" sqref="K22"/>
    </sheetView>
  </sheetViews>
  <sheetFormatPr defaultColWidth="9.28515625" defaultRowHeight="12.75" x14ac:dyDescent="0.2"/>
  <cols>
    <col min="1" max="1" width="9.28515625" style="39"/>
    <col min="2" max="2" width="6.5703125" style="39" customWidth="1"/>
    <col min="3" max="4" width="9.28515625" style="39"/>
    <col min="5" max="25" width="4.28515625" style="39" customWidth="1"/>
    <col min="26" max="26" width="8.28515625" style="39" customWidth="1"/>
    <col min="27" max="16384" width="9.28515625" style="39"/>
  </cols>
  <sheetData>
    <row r="4" spans="2:27" x14ac:dyDescent="0.2">
      <c r="B4" s="139"/>
      <c r="C4" s="139"/>
      <c r="D4" s="139"/>
      <c r="E4" s="139"/>
      <c r="F4" s="139"/>
      <c r="G4" s="139"/>
      <c r="H4" s="139"/>
      <c r="I4" s="139"/>
      <c r="J4" s="139"/>
      <c r="K4" s="139"/>
      <c r="L4" s="139"/>
      <c r="M4" s="139"/>
      <c r="N4" s="139"/>
      <c r="O4" s="139"/>
      <c r="P4" s="139"/>
      <c r="Q4" s="139"/>
      <c r="R4" s="139"/>
      <c r="S4" s="139"/>
      <c r="T4" s="139"/>
      <c r="U4" s="139"/>
      <c r="V4" s="139"/>
      <c r="W4" s="139"/>
      <c r="X4" s="139"/>
      <c r="Y4" s="139"/>
      <c r="Z4" s="139"/>
      <c r="AA4" s="139"/>
    </row>
    <row r="5" spans="2:27" ht="26.25" x14ac:dyDescent="0.4">
      <c r="B5" s="139"/>
      <c r="C5" s="138" t="s">
        <v>76</v>
      </c>
      <c r="D5" s="138"/>
      <c r="E5" s="139"/>
      <c r="F5" s="139"/>
      <c r="G5" s="139"/>
      <c r="H5" s="139"/>
      <c r="I5" s="139"/>
      <c r="J5" s="139"/>
      <c r="K5" s="139"/>
      <c r="L5" s="139"/>
      <c r="M5" s="139"/>
      <c r="N5" s="139"/>
      <c r="O5" s="139"/>
      <c r="P5" s="139"/>
      <c r="Q5" s="139"/>
      <c r="R5" s="139"/>
      <c r="S5" s="139"/>
      <c r="T5" s="139"/>
      <c r="U5" s="139"/>
      <c r="V5" s="139"/>
      <c r="W5" s="139"/>
      <c r="X5" s="139"/>
      <c r="Y5" s="139"/>
      <c r="Z5" s="139"/>
      <c r="AA5" s="139"/>
    </row>
    <row r="6" spans="2:27" x14ac:dyDescent="0.2">
      <c r="B6" s="139"/>
      <c r="C6" s="140" t="s">
        <v>1056</v>
      </c>
      <c r="D6" s="139"/>
      <c r="E6" s="139"/>
      <c r="F6" s="139"/>
      <c r="G6" s="139"/>
      <c r="H6" s="139"/>
      <c r="I6" s="139"/>
      <c r="J6" s="139"/>
      <c r="K6" s="139"/>
      <c r="L6" s="139"/>
      <c r="M6" s="139"/>
      <c r="N6" s="139"/>
      <c r="O6" s="139"/>
      <c r="P6" s="139"/>
      <c r="Q6" s="139"/>
      <c r="R6" s="139"/>
      <c r="S6" s="139"/>
      <c r="T6" s="139"/>
      <c r="U6" s="139"/>
      <c r="V6" s="139"/>
      <c r="W6" s="139"/>
      <c r="X6" s="139"/>
      <c r="Y6" s="139"/>
      <c r="Z6" s="139"/>
      <c r="AA6" s="139"/>
    </row>
    <row r="7" spans="2:27" x14ac:dyDescent="0.2">
      <c r="B7" s="139"/>
      <c r="C7" s="139"/>
      <c r="D7" s="141"/>
      <c r="E7" s="139"/>
      <c r="F7" s="139"/>
      <c r="G7" s="139"/>
      <c r="H7" s="139"/>
      <c r="I7" s="139"/>
      <c r="J7" s="139"/>
      <c r="K7" s="139"/>
      <c r="L7" s="139"/>
      <c r="M7" s="139"/>
      <c r="N7" s="139"/>
      <c r="O7" s="139"/>
      <c r="P7" s="139"/>
      <c r="Q7" s="139"/>
      <c r="R7" s="139"/>
      <c r="S7" s="139"/>
      <c r="T7" s="139"/>
      <c r="U7" s="139"/>
      <c r="V7" s="139"/>
      <c r="W7" s="139"/>
      <c r="X7" s="139"/>
      <c r="Y7" s="139"/>
      <c r="Z7" s="139"/>
      <c r="AA7" s="139"/>
    </row>
    <row r="8" spans="2:27" x14ac:dyDescent="0.2">
      <c r="B8" s="139"/>
      <c r="C8" s="139"/>
      <c r="D8" s="141"/>
      <c r="E8" s="139"/>
      <c r="F8" s="139"/>
      <c r="G8" s="139"/>
      <c r="H8" s="139"/>
      <c r="I8" s="139"/>
      <c r="J8" s="139"/>
      <c r="K8" s="139"/>
      <c r="L8" s="139"/>
      <c r="M8" s="139"/>
      <c r="N8" s="139"/>
      <c r="O8" s="139"/>
      <c r="P8" s="139"/>
      <c r="Q8" s="139"/>
      <c r="R8" s="139"/>
      <c r="S8" s="139"/>
      <c r="T8" s="139"/>
      <c r="U8" s="139"/>
      <c r="V8" s="139"/>
      <c r="W8" s="139"/>
      <c r="X8" s="139"/>
      <c r="Y8" s="139"/>
      <c r="Z8" s="139"/>
      <c r="AA8" s="139"/>
    </row>
    <row r="9" spans="2:27" ht="15.75" x14ac:dyDescent="0.2">
      <c r="B9" s="139"/>
      <c r="C9" s="139"/>
      <c r="D9" s="478" t="s">
        <v>1075</v>
      </c>
      <c r="E9" s="478"/>
      <c r="F9" s="478"/>
      <c r="G9" s="478"/>
      <c r="H9" s="478"/>
      <c r="I9" s="478"/>
      <c r="J9" s="478"/>
      <c r="K9" s="478"/>
      <c r="L9" s="478"/>
      <c r="M9" s="478"/>
      <c r="N9" s="478"/>
      <c r="O9" s="478"/>
      <c r="P9" s="478"/>
      <c r="Q9" s="478"/>
      <c r="R9" s="478"/>
      <c r="S9" s="478"/>
      <c r="T9" s="478"/>
      <c r="U9" s="478"/>
      <c r="V9" s="478"/>
      <c r="W9" s="478"/>
      <c r="X9" s="478"/>
      <c r="Y9" s="478"/>
      <c r="Z9" s="478"/>
      <c r="AA9" s="139"/>
    </row>
    <row r="10" spans="2:27" x14ac:dyDescent="0.2">
      <c r="B10" s="139"/>
      <c r="C10" s="139"/>
      <c r="D10" s="141"/>
      <c r="E10" s="139"/>
      <c r="F10" s="139"/>
      <c r="G10" s="139"/>
      <c r="H10" s="139"/>
      <c r="I10" s="139"/>
      <c r="J10" s="139"/>
      <c r="K10" s="139"/>
      <c r="L10" s="139"/>
      <c r="M10" s="139"/>
      <c r="N10" s="139"/>
      <c r="O10" s="139"/>
      <c r="P10" s="139"/>
      <c r="Q10" s="139"/>
      <c r="R10" s="139"/>
      <c r="S10" s="139"/>
      <c r="T10" s="139"/>
      <c r="U10" s="139"/>
      <c r="V10" s="139"/>
      <c r="W10" s="139"/>
      <c r="X10" s="139"/>
      <c r="Y10" s="139"/>
      <c r="Z10" s="139"/>
      <c r="AA10" s="139"/>
    </row>
    <row r="11" spans="2:27" x14ac:dyDescent="0.2">
      <c r="B11" s="139"/>
      <c r="C11" s="139"/>
      <c r="D11" s="849" t="s">
        <v>1086</v>
      </c>
      <c r="E11" s="139"/>
      <c r="F11" s="139"/>
      <c r="G11" s="139"/>
      <c r="H11" s="139"/>
      <c r="I11" s="139"/>
      <c r="J11" s="139"/>
      <c r="K11" s="139"/>
      <c r="L11" s="139"/>
      <c r="M11" s="139"/>
      <c r="N11" s="139"/>
      <c r="O11" s="139"/>
      <c r="P11" s="139"/>
      <c r="Q11" s="139"/>
      <c r="R11" s="139"/>
      <c r="S11" s="139"/>
      <c r="T11" s="139"/>
      <c r="U11" s="139"/>
      <c r="V11" s="139"/>
      <c r="W11" s="139"/>
      <c r="X11" s="139"/>
      <c r="Y11" s="139"/>
      <c r="Z11" s="139"/>
      <c r="AA11" s="139"/>
    </row>
    <row r="12" spans="2:27" x14ac:dyDescent="0.2">
      <c r="B12" s="139"/>
      <c r="C12" s="139"/>
      <c r="D12" s="141"/>
      <c r="E12" s="139"/>
      <c r="F12" s="139"/>
      <c r="G12" s="139"/>
      <c r="H12" s="139"/>
      <c r="I12" s="139"/>
      <c r="J12" s="139"/>
      <c r="K12" s="139"/>
      <c r="L12" s="139"/>
      <c r="M12" s="139"/>
      <c r="N12" s="139"/>
      <c r="O12" s="139"/>
      <c r="P12" s="139"/>
      <c r="Q12" s="139"/>
      <c r="R12" s="139"/>
      <c r="S12" s="139"/>
      <c r="T12" s="139"/>
      <c r="U12" s="139"/>
      <c r="V12" s="139"/>
      <c r="W12" s="139"/>
      <c r="X12" s="139"/>
      <c r="Y12" s="139"/>
      <c r="Z12" s="139"/>
      <c r="AA12" s="139"/>
    </row>
    <row r="13" spans="2:27" x14ac:dyDescent="0.2">
      <c r="B13" s="139"/>
      <c r="C13" s="139"/>
      <c r="D13" s="142" t="s">
        <v>1074</v>
      </c>
      <c r="E13" s="139"/>
      <c r="F13" s="139"/>
      <c r="G13" s="139"/>
      <c r="H13" s="139"/>
      <c r="I13" s="139"/>
      <c r="J13" s="139"/>
      <c r="K13" s="139"/>
      <c r="L13" s="139"/>
      <c r="M13" s="139"/>
      <c r="N13" s="139"/>
      <c r="O13" s="139"/>
      <c r="P13" s="139"/>
      <c r="Q13" s="139"/>
      <c r="R13" s="139"/>
      <c r="S13" s="139"/>
      <c r="T13" s="139"/>
      <c r="U13" s="139"/>
      <c r="V13" s="139"/>
      <c r="W13" s="139"/>
      <c r="X13" s="139"/>
      <c r="Y13" s="139"/>
      <c r="Z13" s="139"/>
      <c r="AA13" s="139"/>
    </row>
    <row r="14" spans="2:27" x14ac:dyDescent="0.2">
      <c r="B14" s="139"/>
      <c r="C14" s="139"/>
      <c r="D14" s="141"/>
      <c r="E14" s="139"/>
      <c r="F14" s="139"/>
      <c r="G14" s="139"/>
      <c r="H14" s="139"/>
      <c r="I14" s="139"/>
      <c r="J14" s="139"/>
      <c r="K14" s="139"/>
      <c r="L14" s="139"/>
      <c r="M14" s="139"/>
      <c r="N14" s="139"/>
      <c r="O14" s="139"/>
      <c r="P14" s="139"/>
      <c r="Q14" s="139"/>
      <c r="R14" s="139"/>
      <c r="S14" s="139"/>
      <c r="T14" s="139"/>
      <c r="U14" s="139"/>
      <c r="V14" s="139"/>
      <c r="W14" s="139"/>
      <c r="X14" s="139"/>
      <c r="Y14" s="139"/>
      <c r="Z14" s="139"/>
      <c r="AA14" s="139"/>
    </row>
    <row r="15" spans="2:27" x14ac:dyDescent="0.2">
      <c r="B15" s="139"/>
      <c r="C15" s="139"/>
      <c r="D15" s="796" t="s">
        <v>1076</v>
      </c>
      <c r="E15" s="139"/>
      <c r="F15" s="139"/>
      <c r="G15" s="139"/>
      <c r="H15" s="139"/>
      <c r="I15" s="139"/>
      <c r="J15" s="139"/>
      <c r="K15" s="139"/>
      <c r="L15" s="139"/>
      <c r="M15" s="139"/>
      <c r="N15" s="139"/>
      <c r="O15" s="139"/>
      <c r="P15" s="139"/>
      <c r="Q15" s="139"/>
      <c r="R15" s="139"/>
      <c r="S15" s="139"/>
      <c r="T15" s="139"/>
      <c r="U15" s="139"/>
      <c r="V15" s="139"/>
      <c r="W15" s="139"/>
      <c r="X15" s="139"/>
      <c r="Y15" s="139"/>
      <c r="Z15" s="141"/>
      <c r="AA15" s="139"/>
    </row>
    <row r="16" spans="2:27" x14ac:dyDescent="0.2">
      <c r="B16" s="139"/>
      <c r="C16" s="139"/>
      <c r="D16" s="141"/>
      <c r="E16" s="141"/>
      <c r="F16" s="141"/>
      <c r="G16" s="141"/>
      <c r="H16" s="141"/>
      <c r="I16" s="141"/>
      <c r="J16" s="141"/>
      <c r="K16" s="141"/>
      <c r="L16" s="141"/>
      <c r="M16" s="141"/>
      <c r="N16" s="141"/>
      <c r="O16" s="141"/>
      <c r="P16" s="141"/>
      <c r="Q16" s="141"/>
      <c r="R16" s="141"/>
      <c r="S16" s="141"/>
      <c r="T16" s="141"/>
      <c r="U16" s="141"/>
      <c r="V16" s="141"/>
      <c r="W16" s="141"/>
      <c r="X16" s="141"/>
      <c r="Y16" s="141"/>
      <c r="Z16" s="141"/>
      <c r="AA16" s="139"/>
    </row>
    <row r="17" spans="2:27" x14ac:dyDescent="0.2">
      <c r="B17" s="139"/>
      <c r="C17" s="139"/>
      <c r="D17" s="796" t="s">
        <v>1073</v>
      </c>
      <c r="E17" s="139"/>
      <c r="F17" s="139"/>
      <c r="G17" s="139"/>
      <c r="H17" s="139"/>
      <c r="I17" s="139"/>
      <c r="J17" s="139"/>
      <c r="K17" s="139"/>
      <c r="L17" s="139"/>
      <c r="M17" s="139"/>
      <c r="N17" s="139"/>
      <c r="O17" s="139"/>
      <c r="P17" s="139"/>
      <c r="Q17" s="139"/>
      <c r="R17" s="139"/>
      <c r="S17" s="139"/>
      <c r="T17" s="139"/>
      <c r="U17" s="139"/>
      <c r="V17" s="139"/>
      <c r="W17" s="139"/>
      <c r="X17" s="139"/>
      <c r="Y17" s="139"/>
      <c r="Z17" s="141"/>
      <c r="AA17" s="139"/>
    </row>
    <row r="18" spans="2:27" x14ac:dyDescent="0.2">
      <c r="B18" s="139"/>
      <c r="C18" s="139"/>
      <c r="D18" s="141"/>
      <c r="E18" s="141"/>
      <c r="F18" s="141"/>
      <c r="G18" s="141"/>
      <c r="H18" s="141"/>
      <c r="I18" s="141"/>
      <c r="J18" s="141"/>
      <c r="K18" s="141"/>
      <c r="L18" s="141"/>
      <c r="M18" s="141"/>
      <c r="N18" s="141"/>
      <c r="O18" s="141"/>
      <c r="P18" s="141"/>
      <c r="Q18" s="141"/>
      <c r="R18" s="141"/>
      <c r="S18" s="141"/>
      <c r="T18" s="141"/>
      <c r="U18" s="141"/>
      <c r="V18" s="141"/>
      <c r="W18" s="141"/>
      <c r="X18" s="141"/>
      <c r="Y18" s="141"/>
      <c r="Z18" s="141"/>
      <c r="AA18" s="139"/>
    </row>
    <row r="19" spans="2:27" x14ac:dyDescent="0.2">
      <c r="B19" s="139"/>
      <c r="C19" s="139"/>
      <c r="D19" s="796" t="s">
        <v>1078</v>
      </c>
      <c r="E19" s="141"/>
      <c r="F19" s="141"/>
      <c r="G19" s="141"/>
      <c r="H19" s="141"/>
      <c r="I19" s="141"/>
      <c r="J19" s="141"/>
      <c r="K19" s="141"/>
      <c r="L19" s="141"/>
      <c r="M19" s="141"/>
      <c r="N19" s="141"/>
      <c r="O19" s="141"/>
      <c r="P19" s="141"/>
      <c r="Q19" s="141"/>
      <c r="R19" s="141"/>
      <c r="S19" s="141"/>
      <c r="T19" s="141"/>
      <c r="U19" s="141"/>
      <c r="V19" s="141"/>
      <c r="W19" s="141"/>
      <c r="X19" s="141"/>
      <c r="Y19" s="141"/>
      <c r="Z19" s="141"/>
      <c r="AA19" s="139"/>
    </row>
    <row r="20" spans="2:27" x14ac:dyDescent="0.2">
      <c r="B20" s="139"/>
      <c r="C20" s="139"/>
      <c r="D20" s="796"/>
      <c r="E20" s="141"/>
      <c r="F20" s="141"/>
      <c r="G20" s="141"/>
      <c r="H20" s="141"/>
      <c r="I20" s="141"/>
      <c r="J20" s="141"/>
      <c r="K20" s="141"/>
      <c r="L20" s="141"/>
      <c r="M20" s="141"/>
      <c r="N20" s="141"/>
      <c r="O20" s="141"/>
      <c r="P20" s="141"/>
      <c r="Q20" s="141"/>
      <c r="R20" s="141"/>
      <c r="S20" s="141"/>
      <c r="T20" s="141"/>
      <c r="U20" s="141"/>
      <c r="V20" s="141"/>
      <c r="W20" s="141"/>
      <c r="X20" s="141"/>
      <c r="Y20" s="141"/>
      <c r="Z20" s="141"/>
      <c r="AA20" s="139"/>
    </row>
    <row r="21" spans="2:27" x14ac:dyDescent="0.2">
      <c r="B21" s="139"/>
      <c r="C21" s="139"/>
      <c r="D21" s="141"/>
      <c r="E21" s="139"/>
      <c r="F21" s="139"/>
      <c r="G21" s="139"/>
      <c r="H21" s="139"/>
      <c r="I21" s="139"/>
      <c r="J21" s="139"/>
      <c r="K21" s="139"/>
      <c r="L21" s="139"/>
      <c r="M21" s="139"/>
      <c r="N21" s="139"/>
      <c r="O21" s="139"/>
      <c r="P21" s="139"/>
      <c r="Q21" s="139"/>
      <c r="R21" s="139"/>
      <c r="S21" s="139"/>
      <c r="T21" s="139"/>
      <c r="U21" s="139"/>
      <c r="V21" s="139"/>
      <c r="W21" s="139"/>
      <c r="X21" s="139"/>
      <c r="Y21" s="139"/>
      <c r="Z21" s="139"/>
      <c r="AA21" s="139"/>
    </row>
    <row r="22" spans="2:27" ht="15" x14ac:dyDescent="0.25">
      <c r="B22" s="139"/>
      <c r="C22" s="139"/>
      <c r="D22" s="813" t="s">
        <v>1058</v>
      </c>
      <c r="E22" s="811"/>
      <c r="F22" s="811"/>
      <c r="G22" s="811"/>
      <c r="H22" s="811"/>
      <c r="I22" s="811"/>
      <c r="J22" s="811"/>
      <c r="K22" s="811"/>
      <c r="L22" s="811"/>
      <c r="M22" s="811"/>
      <c r="N22" s="811"/>
      <c r="O22" s="811"/>
      <c r="P22" s="811"/>
      <c r="Q22" s="811"/>
      <c r="R22" s="811"/>
      <c r="S22" s="811"/>
      <c r="T22" s="811"/>
      <c r="U22" s="811"/>
      <c r="V22" s="811"/>
      <c r="W22" s="811"/>
      <c r="X22" s="811"/>
      <c r="Y22" s="139"/>
      <c r="Z22" s="139"/>
      <c r="AA22" s="139"/>
    </row>
    <row r="23" spans="2:27" x14ac:dyDescent="0.2">
      <c r="B23" s="139"/>
      <c r="C23" s="139"/>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139"/>
    </row>
    <row r="24" spans="2:27" x14ac:dyDescent="0.2">
      <c r="B24" s="139"/>
      <c r="C24" s="139"/>
      <c r="D24" s="828" t="s">
        <v>1070</v>
      </c>
      <c r="E24" s="139"/>
      <c r="F24" s="139"/>
      <c r="G24" s="139"/>
      <c r="H24" s="139"/>
      <c r="I24" s="139"/>
      <c r="J24" s="139"/>
      <c r="K24" s="139"/>
      <c r="L24" s="139"/>
      <c r="M24" s="139"/>
      <c r="N24" s="139"/>
      <c r="O24" s="139"/>
      <c r="P24" s="139"/>
      <c r="Q24" s="139"/>
      <c r="R24" s="139"/>
      <c r="S24" s="139"/>
      <c r="T24" s="139"/>
      <c r="U24" s="139"/>
      <c r="V24" s="139"/>
      <c r="W24" s="139"/>
      <c r="X24" s="139"/>
      <c r="Y24" s="139"/>
      <c r="Z24" s="139"/>
      <c r="AA24" s="139"/>
    </row>
    <row r="25" spans="2:27" x14ac:dyDescent="0.2">
      <c r="B25" s="139"/>
      <c r="C25" s="139"/>
      <c r="D25" s="828"/>
      <c r="E25" s="139"/>
      <c r="F25" s="139"/>
      <c r="G25" s="139"/>
      <c r="H25" s="139"/>
      <c r="I25" s="139"/>
      <c r="J25" s="139"/>
      <c r="K25" s="139"/>
      <c r="L25" s="139"/>
      <c r="M25" s="139"/>
      <c r="N25" s="139"/>
      <c r="O25" s="139"/>
      <c r="P25" s="139"/>
      <c r="Q25" s="139"/>
      <c r="R25" s="139"/>
      <c r="S25" s="139"/>
      <c r="T25" s="139"/>
      <c r="U25" s="139"/>
      <c r="V25" s="139"/>
      <c r="W25" s="139"/>
      <c r="X25" s="139"/>
      <c r="Y25" s="139"/>
      <c r="Z25" s="139"/>
      <c r="AA25" s="139"/>
    </row>
    <row r="26" spans="2:27" x14ac:dyDescent="0.2">
      <c r="B26" s="139"/>
      <c r="C26" s="139"/>
      <c r="D26" s="828"/>
      <c r="E26" s="139"/>
      <c r="F26" s="139"/>
      <c r="G26" s="139"/>
      <c r="H26" s="139"/>
      <c r="I26" s="139"/>
      <c r="J26" s="139"/>
      <c r="K26" s="139"/>
      <c r="L26" s="139"/>
      <c r="M26" s="139"/>
      <c r="N26" s="139"/>
      <c r="O26" s="139"/>
      <c r="P26" s="139"/>
      <c r="Q26" s="139"/>
      <c r="R26" s="139"/>
      <c r="S26" s="139"/>
      <c r="T26" s="139"/>
      <c r="U26" s="139"/>
      <c r="V26" s="139"/>
      <c r="W26" s="139"/>
      <c r="X26" s="139"/>
      <c r="Y26" s="139"/>
      <c r="Z26" s="139"/>
      <c r="AA26" s="139"/>
    </row>
    <row r="27" spans="2:27" x14ac:dyDescent="0.2">
      <c r="B27" s="139"/>
      <c r="C27" s="139"/>
      <c r="D27" s="828"/>
      <c r="E27" s="139"/>
      <c r="F27" s="139"/>
      <c r="G27" s="139"/>
      <c r="H27" s="139"/>
      <c r="I27" s="139"/>
      <c r="J27" s="139"/>
      <c r="K27" s="139"/>
      <c r="L27" s="139"/>
      <c r="M27" s="139"/>
      <c r="N27" s="139"/>
      <c r="O27" s="139"/>
      <c r="P27" s="139"/>
      <c r="Q27" s="139"/>
      <c r="R27" s="139"/>
      <c r="S27" s="139"/>
      <c r="T27" s="139"/>
      <c r="U27" s="139"/>
      <c r="V27" s="139"/>
      <c r="W27" s="139"/>
      <c r="X27" s="139"/>
      <c r="Y27" s="139"/>
      <c r="Z27" s="139"/>
      <c r="AA27" s="139"/>
    </row>
    <row r="28" spans="2:27" x14ac:dyDescent="0.2">
      <c r="B28" s="139"/>
      <c r="C28" s="139"/>
      <c r="D28" s="828"/>
      <c r="E28" s="139"/>
      <c r="F28" s="139"/>
      <c r="G28" s="139"/>
      <c r="H28" s="139"/>
      <c r="I28" s="139"/>
      <c r="J28" s="139"/>
      <c r="K28" s="139"/>
      <c r="L28" s="139"/>
      <c r="M28" s="139"/>
      <c r="N28" s="139"/>
      <c r="O28" s="139"/>
      <c r="P28" s="139"/>
      <c r="Q28" s="139"/>
      <c r="R28" s="139"/>
      <c r="S28" s="139"/>
      <c r="T28" s="139"/>
      <c r="U28" s="139"/>
      <c r="V28" s="139"/>
      <c r="W28" s="139"/>
      <c r="X28" s="139"/>
      <c r="Y28" s="139"/>
      <c r="Z28" s="139"/>
      <c r="AA28" s="139"/>
    </row>
    <row r="29" spans="2:27" x14ac:dyDescent="0.2">
      <c r="B29" s="139"/>
      <c r="C29" s="139"/>
      <c r="D29" s="828"/>
      <c r="E29" s="139"/>
      <c r="F29" s="139"/>
      <c r="G29" s="139"/>
      <c r="H29" s="139"/>
      <c r="I29" s="139"/>
      <c r="J29" s="139"/>
      <c r="K29" s="139"/>
      <c r="L29" s="139"/>
      <c r="M29" s="139"/>
      <c r="N29" s="139"/>
      <c r="O29" s="139"/>
      <c r="P29" s="139"/>
      <c r="Q29" s="139"/>
      <c r="R29" s="139"/>
      <c r="S29" s="139"/>
      <c r="T29" s="139"/>
      <c r="U29" s="139"/>
      <c r="V29" s="139"/>
      <c r="W29" s="139"/>
      <c r="X29" s="139"/>
      <c r="Y29" s="139"/>
      <c r="Z29" s="139"/>
      <c r="AA29" s="139"/>
    </row>
    <row r="30" spans="2:27" x14ac:dyDescent="0.2">
      <c r="B30" s="139"/>
      <c r="C30" s="139"/>
      <c r="D30" s="828"/>
      <c r="E30" s="139"/>
      <c r="F30" s="139"/>
      <c r="G30" s="139"/>
      <c r="H30" s="139"/>
      <c r="I30" s="139"/>
      <c r="J30" s="139"/>
      <c r="K30" s="139"/>
      <c r="L30" s="139"/>
      <c r="M30" s="139"/>
      <c r="N30" s="139"/>
      <c r="O30" s="139"/>
      <c r="P30" s="139"/>
      <c r="Q30" s="139"/>
      <c r="R30" s="139"/>
      <c r="S30" s="139"/>
      <c r="T30" s="139"/>
      <c r="U30" s="139"/>
      <c r="V30" s="139"/>
      <c r="W30" s="139"/>
      <c r="X30" s="139"/>
      <c r="Y30" s="139"/>
      <c r="Z30" s="139"/>
      <c r="AA30" s="139"/>
    </row>
    <row r="31" spans="2:27" x14ac:dyDescent="0.2">
      <c r="B31" s="139"/>
      <c r="C31" s="139"/>
      <c r="D31" s="828"/>
      <c r="E31" s="139"/>
      <c r="F31" s="139"/>
      <c r="G31" s="139"/>
      <c r="H31" s="139"/>
      <c r="I31" s="1022"/>
      <c r="J31" s="1022"/>
      <c r="K31" s="1022"/>
      <c r="L31" s="1022"/>
      <c r="M31" s="1022"/>
      <c r="N31" s="1022"/>
      <c r="O31" s="139"/>
      <c r="P31" s="139"/>
      <c r="Q31" s="139"/>
      <c r="R31" s="139"/>
      <c r="S31" s="139"/>
      <c r="T31" s="139"/>
      <c r="U31" s="139"/>
      <c r="V31" s="139"/>
      <c r="W31" s="139"/>
      <c r="X31" s="139"/>
      <c r="Y31" s="139"/>
      <c r="Z31" s="139"/>
      <c r="AA31" s="139"/>
    </row>
    <row r="32" spans="2:27" x14ac:dyDescent="0.2">
      <c r="B32" s="139"/>
      <c r="C32" s="139"/>
      <c r="D32" s="828"/>
      <c r="E32" s="139"/>
      <c r="F32" s="139"/>
      <c r="G32" s="139"/>
      <c r="H32" s="139"/>
      <c r="I32" s="139"/>
      <c r="J32" s="139"/>
      <c r="K32" s="139"/>
      <c r="L32" s="139"/>
      <c r="M32" s="139"/>
      <c r="N32" s="139"/>
      <c r="O32" s="139"/>
      <c r="P32" s="139"/>
      <c r="Q32" s="139"/>
      <c r="R32" s="139"/>
      <c r="S32" s="139"/>
      <c r="T32" s="139"/>
      <c r="U32" s="139"/>
      <c r="V32" s="139"/>
      <c r="W32" s="139"/>
      <c r="X32" s="139"/>
      <c r="Y32" s="139"/>
      <c r="Z32" s="139"/>
      <c r="AA32" s="139"/>
    </row>
    <row r="33" spans="2:27" x14ac:dyDescent="0.2">
      <c r="B33" s="139"/>
      <c r="C33" s="139"/>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139"/>
    </row>
    <row r="34" spans="2:27" x14ac:dyDescent="0.2">
      <c r="B34" s="139"/>
      <c r="C34" s="139"/>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139"/>
    </row>
    <row r="35" spans="2:27" x14ac:dyDescent="0.2">
      <c r="B35" s="139"/>
      <c r="C35" s="139"/>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139"/>
    </row>
    <row r="36" spans="2:27" x14ac:dyDescent="0.2">
      <c r="B36" s="139"/>
      <c r="C36" s="139"/>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139"/>
    </row>
    <row r="37" spans="2:27" x14ac:dyDescent="0.2">
      <c r="B37" s="139"/>
      <c r="C37" s="139"/>
      <c r="D37" s="828" t="s">
        <v>1058</v>
      </c>
      <c r="E37" s="139"/>
      <c r="F37" s="139"/>
      <c r="G37" s="139"/>
      <c r="H37" s="139"/>
      <c r="I37" s="139"/>
      <c r="J37" s="139"/>
      <c r="K37" s="139"/>
      <c r="L37" s="139"/>
      <c r="M37" s="139"/>
      <c r="N37" s="139"/>
      <c r="O37" s="139"/>
      <c r="P37" s="139"/>
      <c r="Q37" s="139"/>
      <c r="R37" s="139"/>
      <c r="S37" s="139"/>
      <c r="T37" s="139"/>
      <c r="U37" s="139"/>
      <c r="V37" s="139"/>
      <c r="W37" s="139"/>
      <c r="X37" s="139"/>
      <c r="Y37" s="139"/>
      <c r="Z37" s="139"/>
      <c r="AA37" s="139"/>
    </row>
    <row r="38" spans="2:27" x14ac:dyDescent="0.2">
      <c r="B38" s="139"/>
      <c r="C38" s="139"/>
      <c r="D38" s="141"/>
      <c r="E38" s="139"/>
      <c r="F38" s="139"/>
      <c r="G38" s="141" t="s">
        <v>1119</v>
      </c>
      <c r="H38" s="139"/>
      <c r="I38" s="139"/>
      <c r="J38" s="139"/>
      <c r="K38" s="1027"/>
      <c r="L38" s="1028"/>
      <c r="M38" s="1028"/>
      <c r="N38" s="1028"/>
      <c r="O38" s="1029"/>
      <c r="P38" s="139"/>
      <c r="Q38" s="139"/>
      <c r="R38" s="139"/>
      <c r="S38" s="139"/>
      <c r="T38" s="139"/>
      <c r="U38" s="139"/>
      <c r="V38" s="139"/>
      <c r="W38" s="139"/>
      <c r="X38" s="139"/>
      <c r="Y38" s="139"/>
      <c r="Z38" s="139"/>
      <c r="AA38" s="139"/>
    </row>
    <row r="39" spans="2:27" ht="6.6" customHeight="1" x14ac:dyDescent="0.2">
      <c r="B39" s="139"/>
      <c r="C39" s="139"/>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139"/>
    </row>
    <row r="40" spans="2:27" x14ac:dyDescent="0.2">
      <c r="B40" s="139"/>
      <c r="C40" s="139"/>
      <c r="D40" s="139"/>
      <c r="E40" s="139"/>
      <c r="F40" s="139"/>
      <c r="G40" s="141" t="s">
        <v>1094</v>
      </c>
      <c r="H40" s="139"/>
      <c r="I40" s="139"/>
      <c r="J40" s="139"/>
      <c r="K40" s="1023"/>
      <c r="L40" s="1023"/>
      <c r="M40" s="1023"/>
      <c r="N40" s="1023"/>
      <c r="O40" s="1023"/>
      <c r="P40" s="139"/>
      <c r="Q40" s="139"/>
      <c r="R40" s="139"/>
      <c r="S40" s="139"/>
      <c r="T40" s="139"/>
      <c r="U40" s="139"/>
      <c r="V40" s="139"/>
      <c r="W40" s="139"/>
      <c r="X40" s="139"/>
      <c r="Y40" s="139"/>
      <c r="Z40" s="139"/>
      <c r="AA40" s="139"/>
    </row>
    <row r="41" spans="2:27" ht="8.65" customHeight="1" x14ac:dyDescent="0.2">
      <c r="B41" s="139"/>
      <c r="C41" s="139"/>
      <c r="D41" s="139"/>
      <c r="E41" s="139"/>
      <c r="F41" s="139"/>
      <c r="G41" s="141"/>
      <c r="H41" s="139"/>
      <c r="I41" s="139"/>
      <c r="J41" s="139"/>
      <c r="K41" s="139"/>
      <c r="L41" s="863"/>
      <c r="M41" s="863"/>
      <c r="N41" s="863"/>
      <c r="O41" s="863"/>
      <c r="P41" s="139"/>
      <c r="Q41" s="139"/>
      <c r="R41" s="139"/>
      <c r="S41" s="139"/>
      <c r="T41" s="139"/>
      <c r="U41" s="139"/>
      <c r="V41" s="139"/>
      <c r="W41" s="139"/>
      <c r="X41" s="139"/>
      <c r="Y41" s="139"/>
      <c r="Z41" s="139"/>
      <c r="AA41" s="139"/>
    </row>
    <row r="42" spans="2:27" x14ac:dyDescent="0.2">
      <c r="B42" s="139"/>
      <c r="C42" s="139"/>
      <c r="D42" s="139"/>
      <c r="E42" s="139"/>
      <c r="F42" s="139"/>
      <c r="G42" s="141" t="s">
        <v>1120</v>
      </c>
      <c r="H42" s="139"/>
      <c r="I42" s="139"/>
      <c r="J42" s="139"/>
      <c r="K42" s="1023"/>
      <c r="L42" s="1023"/>
      <c r="M42" s="1023"/>
      <c r="N42" s="1023"/>
      <c r="O42" s="1023"/>
      <c r="P42" s="139"/>
      <c r="Q42" s="139"/>
      <c r="R42" s="139"/>
      <c r="S42" s="139"/>
      <c r="T42" s="139"/>
      <c r="U42" s="139"/>
      <c r="V42" s="139"/>
      <c r="W42" s="139"/>
      <c r="X42" s="139"/>
      <c r="Y42" s="139"/>
      <c r="Z42" s="139"/>
      <c r="AA42" s="139"/>
    </row>
    <row r="43" spans="2:27" x14ac:dyDescent="0.2">
      <c r="B43" s="139"/>
      <c r="C43" s="139"/>
      <c r="D43" s="139"/>
      <c r="E43" s="139"/>
      <c r="F43" s="139"/>
      <c r="G43" s="139"/>
      <c r="H43" s="139"/>
      <c r="I43" s="139"/>
      <c r="J43" s="139"/>
      <c r="K43" s="139"/>
      <c r="L43" s="139"/>
      <c r="M43" s="139"/>
      <c r="N43" s="139"/>
      <c r="O43" s="139"/>
      <c r="P43" s="139"/>
      <c r="Q43" s="139"/>
      <c r="R43" s="139"/>
      <c r="S43" s="139"/>
      <c r="T43" s="139"/>
      <c r="U43" s="139"/>
      <c r="V43" s="139"/>
      <c r="W43" s="139"/>
      <c r="X43" s="139"/>
      <c r="Y43" s="139"/>
      <c r="Z43" s="139"/>
      <c r="AA43" s="139"/>
    </row>
    <row r="44" spans="2:27" x14ac:dyDescent="0.2">
      <c r="B44" s="139"/>
      <c r="C44" s="139"/>
      <c r="D44" s="828" t="s">
        <v>1085</v>
      </c>
      <c r="E44" s="139"/>
      <c r="F44" s="139"/>
      <c r="G44" s="139"/>
      <c r="H44" s="139"/>
      <c r="I44" s="139"/>
      <c r="J44" s="139"/>
      <c r="K44" s="139"/>
      <c r="L44" s="139"/>
      <c r="M44" s="139"/>
      <c r="N44" s="139"/>
      <c r="O44" s="139"/>
      <c r="P44" s="139"/>
      <c r="Q44" s="139"/>
      <c r="R44" s="139"/>
      <c r="S44" s="139"/>
      <c r="T44" s="139"/>
      <c r="U44" s="139"/>
      <c r="V44" s="139"/>
      <c r="W44" s="139"/>
      <c r="X44" s="139"/>
      <c r="Y44" s="139"/>
      <c r="Z44" s="139"/>
      <c r="AA44" s="139"/>
    </row>
    <row r="45" spans="2:27" x14ac:dyDescent="0.2">
      <c r="B45" s="139"/>
      <c r="C45" s="139"/>
      <c r="D45" s="139"/>
      <c r="E45" s="139"/>
      <c r="F45" s="139"/>
      <c r="G45" s="139"/>
      <c r="H45" s="139"/>
      <c r="I45" s="139"/>
      <c r="J45" s="139"/>
      <c r="K45" s="1025" t="s">
        <v>1059</v>
      </c>
      <c r="L45" s="1025"/>
      <c r="M45" s="1025"/>
      <c r="N45" s="1025"/>
      <c r="O45" s="1025"/>
      <c r="P45" s="139"/>
      <c r="Q45" s="1025" t="s">
        <v>1060</v>
      </c>
      <c r="R45" s="1025"/>
      <c r="S45" s="1025"/>
      <c r="T45" s="1025"/>
      <c r="U45" s="1025"/>
      <c r="V45" s="139"/>
      <c r="W45" s="139"/>
      <c r="X45" s="139"/>
      <c r="Y45" s="139"/>
      <c r="Z45" s="139"/>
      <c r="AA45" s="139"/>
    </row>
    <row r="46" spans="2:27" ht="3.6" customHeight="1" x14ac:dyDescent="0.2">
      <c r="B46" s="139"/>
      <c r="C46" s="139"/>
      <c r="D46" s="139"/>
      <c r="E46" s="139"/>
      <c r="F46" s="139"/>
      <c r="G46" s="139"/>
      <c r="H46" s="139"/>
      <c r="I46" s="139"/>
      <c r="J46" s="139"/>
      <c r="K46" s="139"/>
      <c r="L46" s="139"/>
      <c r="M46" s="139"/>
      <c r="N46" s="139"/>
      <c r="O46" s="139"/>
      <c r="P46" s="139"/>
      <c r="Q46" s="139"/>
      <c r="R46" s="139"/>
      <c r="S46" s="139"/>
      <c r="T46" s="139"/>
      <c r="U46" s="139"/>
      <c r="V46" s="139"/>
      <c r="W46" s="139"/>
      <c r="X46" s="139"/>
      <c r="Y46" s="139"/>
      <c r="Z46" s="139"/>
      <c r="AA46" s="139"/>
    </row>
    <row r="47" spans="2:27" x14ac:dyDescent="0.2">
      <c r="B47" s="139"/>
      <c r="C47" s="139"/>
      <c r="D47" s="1032" t="s">
        <v>207</v>
      </c>
      <c r="E47" s="1032"/>
      <c r="F47" s="139"/>
      <c r="G47" s="812" t="s">
        <v>226</v>
      </c>
      <c r="H47" s="139"/>
      <c r="I47" s="139"/>
      <c r="J47" s="139"/>
      <c r="K47" s="1026"/>
      <c r="L47" s="1026"/>
      <c r="M47" s="1026"/>
      <c r="N47" s="1026"/>
      <c r="O47" s="1026"/>
      <c r="P47" s="139"/>
      <c r="Q47" s="1024" t="str">
        <f>IF(K47=0,"",K47)</f>
        <v/>
      </c>
      <c r="R47" s="1024"/>
      <c r="S47" s="1024"/>
      <c r="T47" s="1024"/>
      <c r="U47" s="1024"/>
      <c r="V47" s="139"/>
      <c r="W47" s="139"/>
      <c r="X47" s="139"/>
      <c r="Y47" s="139"/>
      <c r="Z47" s="139"/>
      <c r="AA47" s="139"/>
    </row>
    <row r="48" spans="2:27" ht="7.5" customHeight="1" x14ac:dyDescent="0.2">
      <c r="B48" s="139"/>
      <c r="C48" s="139"/>
      <c r="D48" s="1032"/>
      <c r="E48" s="1032"/>
      <c r="F48" s="139"/>
      <c r="G48" s="812"/>
      <c r="H48" s="139"/>
      <c r="I48" s="139"/>
      <c r="J48" s="139"/>
      <c r="K48" s="1030" t="str">
        <f>IFERROR(VLOOKUP(K47,$D$299:$H$330,4,FALSE),"")</f>
        <v/>
      </c>
      <c r="L48" s="1030"/>
      <c r="M48" s="1030"/>
      <c r="N48" s="1030"/>
      <c r="O48" s="1030"/>
      <c r="P48" s="812"/>
      <c r="Q48" s="1030" t="str">
        <f>IFERROR(VLOOKUP(Q47,$D$299:$H$330,4,FALSE),"")</f>
        <v/>
      </c>
      <c r="R48" s="1030"/>
      <c r="S48" s="1030"/>
      <c r="T48" s="1030"/>
      <c r="U48" s="1030"/>
      <c r="V48" s="139"/>
      <c r="W48" s="139"/>
      <c r="X48" s="139"/>
      <c r="Y48" s="139"/>
      <c r="Z48" s="139"/>
      <c r="AA48" s="139"/>
    </row>
    <row r="49" spans="2:27" x14ac:dyDescent="0.2">
      <c r="B49" s="139"/>
      <c r="C49" s="139"/>
      <c r="D49" s="1032"/>
      <c r="E49" s="1032"/>
      <c r="F49" s="139"/>
      <c r="G49" s="812" t="s">
        <v>227</v>
      </c>
      <c r="H49" s="139"/>
      <c r="I49" s="139"/>
      <c r="J49" s="139"/>
      <c r="K49" s="1026"/>
      <c r="L49" s="1026"/>
      <c r="M49" s="1026"/>
      <c r="N49" s="1026"/>
      <c r="O49" s="1026"/>
      <c r="P49" s="139"/>
      <c r="Q49" s="1024" t="str">
        <f>IF(K49=0,"", K49)</f>
        <v/>
      </c>
      <c r="R49" s="1024"/>
      <c r="S49" s="1024"/>
      <c r="T49" s="1024"/>
      <c r="U49" s="1024"/>
      <c r="V49" s="139"/>
      <c r="W49" s="139"/>
      <c r="X49" s="139"/>
      <c r="Y49" s="139"/>
      <c r="Z49" s="139"/>
      <c r="AA49" s="139"/>
    </row>
    <row r="50" spans="2:27" x14ac:dyDescent="0.2">
      <c r="B50" s="139"/>
      <c r="C50" s="139"/>
      <c r="D50" s="139"/>
      <c r="E50" s="139"/>
      <c r="F50" s="139"/>
      <c r="G50" s="139"/>
      <c r="H50" s="139"/>
      <c r="I50" s="139"/>
      <c r="J50" s="139"/>
      <c r="K50" s="139"/>
      <c r="L50" s="139"/>
      <c r="M50" s="139"/>
      <c r="N50" s="139"/>
      <c r="O50" s="139"/>
      <c r="P50" s="139"/>
      <c r="Q50" s="139"/>
      <c r="R50" s="139"/>
      <c r="S50" s="139"/>
      <c r="T50" s="139"/>
      <c r="U50" s="139"/>
      <c r="V50" s="139"/>
      <c r="W50" s="139"/>
      <c r="X50" s="139"/>
      <c r="Y50" s="139"/>
      <c r="Z50" s="139"/>
      <c r="AA50" s="139"/>
    </row>
    <row r="51" spans="2:27" x14ac:dyDescent="0.2">
      <c r="B51" s="139"/>
      <c r="C51" s="139"/>
      <c r="D51" s="139"/>
      <c r="E51" s="139"/>
      <c r="F51" s="139"/>
      <c r="G51" s="139"/>
      <c r="H51" s="139"/>
      <c r="I51" s="139"/>
      <c r="J51" s="139"/>
      <c r="K51" s="1025" t="s">
        <v>1059</v>
      </c>
      <c r="L51" s="1025"/>
      <c r="M51" s="1025"/>
      <c r="N51" s="1025"/>
      <c r="O51" s="1025"/>
      <c r="P51" s="139"/>
      <c r="Q51" s="1025" t="s">
        <v>1060</v>
      </c>
      <c r="R51" s="1025"/>
      <c r="S51" s="1025"/>
      <c r="T51" s="1025"/>
      <c r="U51" s="1025"/>
      <c r="V51" s="139"/>
      <c r="W51" s="139"/>
      <c r="X51" s="139"/>
      <c r="Y51" s="139"/>
      <c r="Z51" s="139"/>
      <c r="AA51" s="139"/>
    </row>
    <row r="52" spans="2:27" ht="3.6" customHeight="1" x14ac:dyDescent="0.2">
      <c r="B52" s="139"/>
      <c r="C52" s="139"/>
      <c r="D52" s="139"/>
      <c r="E52" s="139"/>
      <c r="F52" s="139"/>
      <c r="G52" s="139"/>
      <c r="H52" s="139"/>
      <c r="I52" s="139"/>
      <c r="J52" s="139"/>
      <c r="K52" s="139"/>
      <c r="L52" s="139"/>
      <c r="M52" s="139"/>
      <c r="N52" s="139"/>
      <c r="O52" s="139"/>
      <c r="P52" s="139"/>
      <c r="Q52" s="139"/>
      <c r="R52" s="139"/>
      <c r="S52" s="139"/>
      <c r="T52" s="139"/>
      <c r="U52" s="139"/>
      <c r="V52" s="139"/>
      <c r="W52" s="139"/>
      <c r="X52" s="139"/>
      <c r="Y52" s="139"/>
      <c r="Z52" s="139"/>
      <c r="AA52" s="139"/>
    </row>
    <row r="53" spans="2:27" x14ac:dyDescent="0.2">
      <c r="B53" s="139"/>
      <c r="C53" s="139"/>
      <c r="D53" s="1032" t="s">
        <v>208</v>
      </c>
      <c r="E53" s="1032"/>
      <c r="F53" s="139"/>
      <c r="G53" s="812" t="s">
        <v>226</v>
      </c>
      <c r="H53" s="139"/>
      <c r="I53" s="139"/>
      <c r="J53" s="139"/>
      <c r="K53" s="1026"/>
      <c r="L53" s="1026"/>
      <c r="M53" s="1026"/>
      <c r="N53" s="1026"/>
      <c r="O53" s="1026"/>
      <c r="P53" s="139"/>
      <c r="Q53" s="1024" t="str">
        <f>IF(K53=0,"",K53)</f>
        <v/>
      </c>
      <c r="R53" s="1024"/>
      <c r="S53" s="1024"/>
      <c r="T53" s="1024"/>
      <c r="U53" s="1024"/>
      <c r="V53" s="139"/>
      <c r="W53" s="139"/>
      <c r="X53" s="139"/>
      <c r="Y53" s="139"/>
      <c r="Z53" s="139"/>
      <c r="AA53" s="139"/>
    </row>
    <row r="54" spans="2:27" x14ac:dyDescent="0.2">
      <c r="B54" s="139"/>
      <c r="C54" s="139"/>
      <c r="D54" s="1032"/>
      <c r="E54" s="1032"/>
      <c r="F54" s="139"/>
      <c r="G54" s="812"/>
      <c r="H54" s="139"/>
      <c r="I54" s="139"/>
      <c r="J54" s="139"/>
      <c r="K54" s="1030" t="str">
        <f>IFERROR(VLOOKUP(K53,$D$299:$H$330,4,FALSE),"")</f>
        <v/>
      </c>
      <c r="L54" s="1030"/>
      <c r="M54" s="1030"/>
      <c r="N54" s="1030"/>
      <c r="O54" s="1030"/>
      <c r="P54" s="812"/>
      <c r="Q54" s="1030" t="str">
        <f>IFERROR(VLOOKUP(Q53,$D$299:$H$330,4,FALSE),"")</f>
        <v/>
      </c>
      <c r="R54" s="1030"/>
      <c r="S54" s="1030"/>
      <c r="T54" s="1030"/>
      <c r="U54" s="1030"/>
      <c r="V54" s="139"/>
      <c r="W54" s="139"/>
      <c r="X54" s="139"/>
      <c r="Y54" s="139"/>
      <c r="Z54" s="139"/>
      <c r="AA54" s="139"/>
    </row>
    <row r="55" spans="2:27" x14ac:dyDescent="0.2">
      <c r="B55" s="139"/>
      <c r="C55" s="139"/>
      <c r="D55" s="1032"/>
      <c r="E55" s="1032"/>
      <c r="F55" s="139"/>
      <c r="G55" s="812" t="s">
        <v>227</v>
      </c>
      <c r="H55" s="139"/>
      <c r="I55" s="139"/>
      <c r="J55" s="139"/>
      <c r="K55" s="1026"/>
      <c r="L55" s="1026"/>
      <c r="M55" s="1026"/>
      <c r="N55" s="1026"/>
      <c r="O55" s="1026"/>
      <c r="P55" s="139"/>
      <c r="Q55" s="1024" t="str">
        <f>IF(K55=0,"", K55)</f>
        <v/>
      </c>
      <c r="R55" s="1024"/>
      <c r="S55" s="1024"/>
      <c r="T55" s="1024"/>
      <c r="U55" s="1024"/>
      <c r="V55" s="139"/>
      <c r="W55" s="139"/>
      <c r="X55" s="139"/>
      <c r="Y55" s="139"/>
      <c r="Z55" s="139"/>
      <c r="AA55" s="139"/>
    </row>
    <row r="56" spans="2:27" x14ac:dyDescent="0.2">
      <c r="B56" s="139"/>
      <c r="C56" s="139"/>
      <c r="D56" s="139"/>
      <c r="E56" s="139"/>
      <c r="F56" s="139"/>
      <c r="G56" s="139"/>
      <c r="H56" s="139"/>
      <c r="I56" s="139"/>
      <c r="J56" s="139"/>
      <c r="K56" s="139"/>
      <c r="L56" s="139"/>
      <c r="M56" s="139"/>
      <c r="N56" s="139"/>
      <c r="O56" s="139"/>
      <c r="P56" s="139"/>
      <c r="Q56" s="139"/>
      <c r="R56" s="139"/>
      <c r="S56" s="139"/>
      <c r="T56" s="139"/>
      <c r="U56" s="139"/>
      <c r="V56" s="139"/>
      <c r="W56" s="139"/>
      <c r="X56" s="139"/>
      <c r="Y56" s="139"/>
      <c r="Z56" s="139"/>
      <c r="AA56" s="139"/>
    </row>
    <row r="57" spans="2:27" x14ac:dyDescent="0.2">
      <c r="B57" s="139"/>
      <c r="C57" s="139"/>
      <c r="D57" s="141" t="s">
        <v>1118</v>
      </c>
      <c r="E57" s="139"/>
      <c r="F57" s="139"/>
      <c r="G57" s="139"/>
      <c r="H57" s="473"/>
      <c r="I57" s="473"/>
      <c r="J57" s="473"/>
      <c r="K57" s="1021"/>
      <c r="L57" s="1021"/>
      <c r="M57" s="1021"/>
      <c r="N57" s="1021"/>
      <c r="O57" s="1021"/>
      <c r="P57" s="139"/>
      <c r="Q57" s="1021" t="str">
        <f>IF(K57=0,"", K57)</f>
        <v/>
      </c>
      <c r="R57" s="1021"/>
      <c r="S57" s="1021"/>
      <c r="T57" s="1021"/>
      <c r="U57" s="1021"/>
      <c r="V57" s="139"/>
      <c r="W57" s="139"/>
      <c r="X57" s="139"/>
      <c r="Y57" s="139"/>
      <c r="Z57" s="139"/>
      <c r="AA57" s="139"/>
    </row>
    <row r="58" spans="2:27" x14ac:dyDescent="0.2">
      <c r="B58" s="139"/>
      <c r="C58" s="139"/>
      <c r="D58" s="141"/>
      <c r="E58" s="139"/>
      <c r="F58" s="139"/>
      <c r="G58" s="139"/>
      <c r="H58" s="139"/>
      <c r="I58" s="139"/>
      <c r="J58" s="139"/>
      <c r="K58" s="139"/>
      <c r="L58" s="139"/>
      <c r="M58" s="139"/>
      <c r="N58" s="139"/>
      <c r="O58" s="139"/>
      <c r="P58" s="473"/>
      <c r="Q58" s="473"/>
      <c r="R58" s="473"/>
      <c r="S58" s="139"/>
      <c r="T58" s="139"/>
      <c r="U58" s="139"/>
      <c r="V58" s="139"/>
      <c r="W58" s="139"/>
      <c r="X58" s="139"/>
      <c r="Y58" s="139"/>
      <c r="Z58" s="139"/>
      <c r="AA58" s="139"/>
    </row>
    <row r="59" spans="2:27" x14ac:dyDescent="0.2">
      <c r="B59" s="139"/>
      <c r="C59" s="139"/>
      <c r="D59" s="796"/>
      <c r="E59" s="796"/>
      <c r="F59" s="796"/>
      <c r="G59" s="796"/>
      <c r="H59" s="139"/>
      <c r="I59" s="139"/>
      <c r="J59" s="139"/>
      <c r="K59" s="139"/>
      <c r="L59" s="139"/>
      <c r="M59" s="139"/>
      <c r="N59" s="139"/>
      <c r="O59" s="139"/>
      <c r="P59" s="139"/>
      <c r="Q59" s="139"/>
      <c r="R59" s="139"/>
      <c r="S59" s="139"/>
      <c r="T59" s="139"/>
      <c r="U59" s="139"/>
      <c r="V59" s="139"/>
      <c r="W59" s="139"/>
      <c r="X59" s="139"/>
      <c r="Y59" s="139"/>
      <c r="Z59" s="139"/>
      <c r="AA59" s="139"/>
    </row>
    <row r="60" spans="2:27" x14ac:dyDescent="0.2">
      <c r="B60" s="139"/>
      <c r="C60" s="139"/>
      <c r="D60" s="139"/>
      <c r="E60" s="139"/>
      <c r="F60" s="139"/>
      <c r="G60" s="139"/>
      <c r="H60" s="139"/>
      <c r="I60" s="139"/>
      <c r="J60" s="139"/>
      <c r="K60" s="139"/>
      <c r="L60" s="139"/>
      <c r="M60" s="139"/>
      <c r="N60" s="139"/>
      <c r="O60" s="139"/>
      <c r="P60" s="139"/>
      <c r="Q60" s="139"/>
      <c r="R60" s="139"/>
      <c r="S60" s="139"/>
      <c r="T60" s="139"/>
      <c r="U60" s="139"/>
      <c r="V60" s="139"/>
      <c r="W60" s="139"/>
      <c r="X60" s="139"/>
      <c r="Y60" s="139"/>
      <c r="Z60" s="139"/>
      <c r="AA60" s="139"/>
    </row>
    <row r="61" spans="2:27" x14ac:dyDescent="0.2">
      <c r="B61" s="139"/>
      <c r="C61" s="139"/>
      <c r="D61" s="139"/>
      <c r="E61" s="139"/>
      <c r="F61" s="139"/>
      <c r="G61" s="139"/>
      <c r="H61" s="139"/>
      <c r="I61" s="139"/>
      <c r="J61" s="139"/>
      <c r="K61" s="139"/>
      <c r="L61" s="139"/>
      <c r="M61" s="139"/>
      <c r="N61" s="139"/>
      <c r="O61" s="139"/>
      <c r="P61" s="139"/>
      <c r="Q61" s="139"/>
      <c r="R61" s="139"/>
      <c r="S61" s="139"/>
      <c r="T61" s="139"/>
      <c r="U61" s="139"/>
      <c r="V61" s="139"/>
      <c r="W61" s="139"/>
      <c r="X61" s="139"/>
      <c r="Y61" s="139"/>
      <c r="Z61" s="139"/>
      <c r="AA61" s="139"/>
    </row>
    <row r="62" spans="2:27" ht="15" x14ac:dyDescent="0.25">
      <c r="B62" s="139"/>
      <c r="C62" s="139"/>
      <c r="D62" s="813" t="s">
        <v>1071</v>
      </c>
      <c r="E62" s="811"/>
      <c r="F62" s="811"/>
      <c r="G62" s="811"/>
      <c r="H62" s="811"/>
      <c r="I62" s="811"/>
      <c r="J62" s="811"/>
      <c r="K62" s="811"/>
      <c r="L62" s="811"/>
      <c r="M62" s="811"/>
      <c r="N62" s="811"/>
      <c r="O62" s="811"/>
      <c r="P62" s="811"/>
      <c r="Q62" s="811"/>
      <c r="R62" s="811"/>
      <c r="S62" s="811"/>
      <c r="T62" s="811"/>
      <c r="U62" s="811"/>
      <c r="V62" s="811"/>
      <c r="W62" s="811"/>
      <c r="X62" s="811"/>
      <c r="Y62" s="139"/>
      <c r="Z62" s="139"/>
      <c r="AA62" s="139"/>
    </row>
    <row r="63" spans="2:27" x14ac:dyDescent="0.2">
      <c r="B63" s="139"/>
      <c r="C63" s="139"/>
      <c r="D63" s="139"/>
      <c r="E63" s="139"/>
      <c r="F63" s="139"/>
      <c r="G63" s="139"/>
      <c r="H63" s="139"/>
      <c r="I63" s="139"/>
      <c r="J63" s="139"/>
      <c r="K63" s="139"/>
      <c r="L63" s="139"/>
      <c r="M63" s="139"/>
      <c r="N63" s="139"/>
      <c r="O63" s="139"/>
      <c r="P63" s="139"/>
      <c r="Q63" s="139"/>
      <c r="R63" s="139"/>
      <c r="S63" s="139"/>
      <c r="T63" s="139"/>
      <c r="U63" s="139"/>
      <c r="V63" s="139"/>
      <c r="W63" s="139"/>
      <c r="X63" s="139"/>
      <c r="Y63" s="139"/>
      <c r="Z63" s="139"/>
      <c r="AA63" s="139"/>
    </row>
    <row r="64" spans="2:27" x14ac:dyDescent="0.2">
      <c r="B64" s="139"/>
      <c r="C64" s="139"/>
      <c r="D64" s="828" t="s">
        <v>1088</v>
      </c>
      <c r="E64" s="468"/>
      <c r="F64" s="468"/>
      <c r="G64" s="468"/>
      <c r="H64" s="139"/>
      <c r="I64" s="139"/>
      <c r="J64" s="1017"/>
      <c r="K64" s="1017"/>
      <c r="L64" s="1017"/>
      <c r="M64" s="829" t="s">
        <v>1276</v>
      </c>
      <c r="N64" s="472"/>
      <c r="O64" s="657"/>
      <c r="P64" s="278"/>
      <c r="Q64" s="278"/>
      <c r="R64" s="139"/>
      <c r="S64" s="139"/>
      <c r="T64" s="139"/>
      <c r="U64" s="139"/>
      <c r="V64" s="139"/>
      <c r="W64" s="139"/>
      <c r="X64" s="139"/>
      <c r="Y64" s="139"/>
      <c r="Z64" s="139"/>
      <c r="AA64" s="139"/>
    </row>
    <row r="65" spans="2:27" x14ac:dyDescent="0.2">
      <c r="B65" s="139"/>
      <c r="C65" s="139"/>
      <c r="D65" s="468"/>
      <c r="E65" s="468"/>
      <c r="F65" s="468"/>
      <c r="G65" s="468"/>
      <c r="H65" s="468"/>
      <c r="I65" s="469"/>
      <c r="J65" s="468"/>
      <c r="K65" s="139"/>
      <c r="L65" s="139"/>
      <c r="M65" s="139"/>
      <c r="N65" s="472"/>
      <c r="O65" s="471"/>
      <c r="P65" s="473"/>
      <c r="Q65" s="470"/>
      <c r="R65" s="473"/>
      <c r="S65" s="472"/>
      <c r="T65" s="472"/>
      <c r="U65" s="472"/>
      <c r="V65" s="472"/>
      <c r="W65" s="278"/>
      <c r="X65" s="278"/>
      <c r="Y65" s="278"/>
      <c r="Z65" s="139"/>
      <c r="AA65" s="139"/>
    </row>
    <row r="66" spans="2:27" x14ac:dyDescent="0.2">
      <c r="B66" s="139"/>
      <c r="C66" s="139"/>
      <c r="D66" s="828" t="s">
        <v>1079</v>
      </c>
      <c r="E66" s="278"/>
      <c r="F66" s="278"/>
      <c r="G66" s="278"/>
      <c r="H66" s="278"/>
      <c r="I66" s="278"/>
      <c r="J66" s="1017"/>
      <c r="K66" s="1017"/>
      <c r="L66" s="1017"/>
      <c r="M66" s="829" t="s">
        <v>1277</v>
      </c>
      <c r="N66" s="278"/>
      <c r="O66" s="278"/>
      <c r="P66" s="278"/>
      <c r="Q66" s="278"/>
      <c r="R66" s="278"/>
      <c r="S66" s="278"/>
      <c r="T66" s="278"/>
      <c r="U66" s="278"/>
      <c r="V66" s="278"/>
      <c r="W66" s="278"/>
      <c r="X66" s="278"/>
      <c r="Y66" s="278"/>
      <c r="Z66" s="139"/>
      <c r="AA66" s="139"/>
    </row>
    <row r="67" spans="2:27" x14ac:dyDescent="0.2">
      <c r="B67" s="139"/>
      <c r="C67" s="139"/>
      <c r="D67" s="828"/>
      <c r="E67" s="278"/>
      <c r="F67" s="278"/>
      <c r="G67" s="278"/>
      <c r="H67" s="278"/>
      <c r="I67" s="278"/>
      <c r="J67" s="278"/>
      <c r="K67" s="278"/>
      <c r="L67" s="278"/>
      <c r="M67" s="278"/>
      <c r="N67" s="278"/>
      <c r="O67" s="278"/>
      <c r="P67" s="278"/>
      <c r="Q67" s="278"/>
      <c r="R67" s="278"/>
      <c r="S67" s="278"/>
      <c r="T67" s="278"/>
      <c r="U67" s="278"/>
      <c r="V67" s="278"/>
      <c r="W67" s="278"/>
      <c r="X67" s="278"/>
      <c r="Y67" s="278"/>
      <c r="Z67" s="139"/>
      <c r="AA67" s="139"/>
    </row>
    <row r="68" spans="2:27" x14ac:dyDescent="0.2">
      <c r="B68" s="139"/>
      <c r="C68" s="139"/>
      <c r="D68" s="828" t="s">
        <v>1090</v>
      </c>
      <c r="E68" s="278"/>
      <c r="F68" s="278"/>
      <c r="G68" s="278"/>
      <c r="H68" s="278"/>
      <c r="I68" s="278"/>
      <c r="J68" s="1017"/>
      <c r="K68" s="1017"/>
      <c r="L68" s="1017"/>
      <c r="M68" s="829" t="s">
        <v>1278</v>
      </c>
      <c r="N68" s="278"/>
      <c r="O68" s="278"/>
      <c r="P68" s="278"/>
      <c r="Q68" s="278"/>
      <c r="R68" s="278"/>
      <c r="S68" s="278"/>
      <c r="T68" s="278"/>
      <c r="U68" s="278"/>
      <c r="V68" s="278"/>
      <c r="W68" s="278"/>
      <c r="X68" s="278"/>
      <c r="Y68" s="278"/>
      <c r="Z68" s="139"/>
      <c r="AA68" s="139"/>
    </row>
    <row r="69" spans="2:27" x14ac:dyDescent="0.2">
      <c r="B69" s="139"/>
      <c r="C69" s="139"/>
      <c r="D69" s="828"/>
      <c r="E69" s="278"/>
      <c r="F69" s="278"/>
      <c r="G69" s="278"/>
      <c r="H69" s="278"/>
      <c r="I69" s="278"/>
      <c r="J69" s="278"/>
      <c r="K69" s="278"/>
      <c r="L69" s="278"/>
      <c r="M69" s="850"/>
      <c r="N69" s="278"/>
      <c r="O69" s="278"/>
      <c r="P69" s="278"/>
      <c r="Q69" s="278"/>
      <c r="R69" s="278"/>
      <c r="S69" s="278"/>
      <c r="T69" s="278"/>
      <c r="U69" s="278"/>
      <c r="V69" s="278"/>
      <c r="W69" s="278"/>
      <c r="X69" s="278"/>
      <c r="Y69" s="278"/>
      <c r="Z69" s="139"/>
      <c r="AA69" s="139"/>
    </row>
    <row r="70" spans="2:27" x14ac:dyDescent="0.2">
      <c r="B70" s="139"/>
      <c r="C70" s="139"/>
      <c r="D70" s="828" t="s">
        <v>1091</v>
      </c>
      <c r="E70" s="278"/>
      <c r="F70" s="278"/>
      <c r="G70" s="278"/>
      <c r="H70" s="278"/>
      <c r="I70" s="278"/>
      <c r="J70" s="1017"/>
      <c r="K70" s="1017"/>
      <c r="L70" s="1017"/>
      <c r="M70" s="829"/>
      <c r="N70" s="278"/>
      <c r="O70" s="278"/>
      <c r="P70" s="278"/>
      <c r="Q70" s="278"/>
      <c r="R70" s="278"/>
      <c r="S70" s="278"/>
      <c r="T70" s="278"/>
      <c r="U70" s="278"/>
      <c r="V70" s="278"/>
      <c r="W70" s="278"/>
      <c r="X70" s="278"/>
      <c r="Y70" s="278"/>
      <c r="Z70" s="139"/>
      <c r="AA70" s="139"/>
    </row>
    <row r="71" spans="2:27" x14ac:dyDescent="0.2">
      <c r="B71" s="139"/>
      <c r="C71" s="139"/>
      <c r="D71" s="828"/>
      <c r="E71" s="278"/>
      <c r="F71" s="278"/>
      <c r="G71" s="278"/>
      <c r="H71" s="278"/>
      <c r="I71" s="278"/>
      <c r="J71" s="278"/>
      <c r="K71" s="278"/>
      <c r="L71" s="278"/>
      <c r="M71" s="850"/>
      <c r="N71" s="278"/>
      <c r="O71" s="278"/>
      <c r="P71" s="278"/>
      <c r="Q71" s="278"/>
      <c r="R71" s="278"/>
      <c r="S71" s="278"/>
      <c r="T71" s="278"/>
      <c r="U71" s="278"/>
      <c r="V71" s="278"/>
      <c r="W71" s="278"/>
      <c r="X71" s="278"/>
      <c r="Y71" s="278"/>
      <c r="Z71" s="139"/>
      <c r="AA71" s="139"/>
    </row>
    <row r="72" spans="2:27" x14ac:dyDescent="0.2">
      <c r="B72" s="139"/>
      <c r="C72" s="139"/>
      <c r="D72" s="828" t="s">
        <v>1092</v>
      </c>
      <c r="E72" s="278"/>
      <c r="F72" s="278"/>
      <c r="G72" s="278"/>
      <c r="H72" s="278"/>
      <c r="I72" s="278"/>
      <c r="J72" s="1033"/>
      <c r="K72" s="1033"/>
      <c r="L72" s="1033"/>
      <c r="M72" s="829" t="s">
        <v>1279</v>
      </c>
      <c r="N72" s="278"/>
      <c r="O72" s="278"/>
      <c r="P72" s="278"/>
      <c r="Q72" s="278"/>
      <c r="R72" s="278"/>
      <c r="S72" s="278"/>
      <c r="T72" s="278"/>
      <c r="U72" s="278"/>
      <c r="V72" s="278"/>
      <c r="W72" s="278"/>
      <c r="X72" s="278"/>
      <c r="Y72" s="278"/>
      <c r="Z72" s="139"/>
      <c r="AA72" s="139"/>
    </row>
    <row r="73" spans="2:27" x14ac:dyDescent="0.2">
      <c r="B73" s="139"/>
      <c r="C73" s="139"/>
      <c r="D73" s="828"/>
      <c r="E73" s="278"/>
      <c r="F73" s="278"/>
      <c r="G73" s="278"/>
      <c r="H73" s="278"/>
      <c r="I73" s="278"/>
      <c r="J73" s="278"/>
      <c r="K73" s="278"/>
      <c r="L73" s="278"/>
      <c r="M73" s="278"/>
      <c r="N73" s="278"/>
      <c r="O73" s="278"/>
      <c r="P73" s="278"/>
      <c r="Q73" s="278"/>
      <c r="R73" s="278"/>
      <c r="S73" s="278"/>
      <c r="T73" s="278"/>
      <c r="U73" s="278"/>
      <c r="V73" s="278"/>
      <c r="W73" s="278"/>
      <c r="X73" s="278"/>
      <c r="Y73" s="278"/>
      <c r="Z73" s="139"/>
      <c r="AA73" s="139"/>
    </row>
    <row r="74" spans="2:27" x14ac:dyDescent="0.2">
      <c r="B74" s="139"/>
      <c r="C74" s="139"/>
      <c r="D74" s="828" t="s">
        <v>1093</v>
      </c>
      <c r="E74" s="278"/>
      <c r="F74" s="278"/>
      <c r="G74" s="278"/>
      <c r="H74" s="278"/>
      <c r="I74" s="278"/>
      <c r="J74" s="278"/>
      <c r="K74" s="278"/>
      <c r="L74" s="278"/>
      <c r="M74" s="278"/>
      <c r="N74" s="278"/>
      <c r="O74" s="278"/>
      <c r="P74" s="278"/>
      <c r="Q74" s="278"/>
      <c r="R74" s="278"/>
      <c r="S74" s="278"/>
      <c r="T74" s="278"/>
      <c r="U74" s="278"/>
      <c r="V74" s="278"/>
      <c r="W74" s="278"/>
      <c r="X74" s="278"/>
      <c r="Y74" s="278"/>
      <c r="Z74" s="139"/>
      <c r="AA74" s="139"/>
    </row>
    <row r="75" spans="2:27" x14ac:dyDescent="0.2">
      <c r="B75" s="139"/>
      <c r="C75" s="139"/>
      <c r="D75" s="828"/>
      <c r="E75" s="278"/>
      <c r="F75" s="278"/>
      <c r="G75" s="278"/>
      <c r="H75" s="278"/>
      <c r="I75" s="278"/>
      <c r="J75" s="278"/>
      <c r="K75" s="278"/>
      <c r="L75" s="278"/>
      <c r="M75" s="278"/>
      <c r="N75" s="278"/>
      <c r="O75" s="278"/>
      <c r="P75" s="278"/>
      <c r="Q75" s="278"/>
      <c r="R75" s="278"/>
      <c r="S75" s="278"/>
      <c r="T75" s="278"/>
      <c r="U75" s="278"/>
      <c r="V75" s="278"/>
      <c r="W75" s="278"/>
      <c r="X75" s="278"/>
      <c r="Y75" s="278"/>
      <c r="Z75" s="139"/>
      <c r="AA75" s="139"/>
    </row>
    <row r="76" spans="2:27" x14ac:dyDescent="0.2">
      <c r="B76" s="139"/>
      <c r="C76" s="139"/>
      <c r="D76" s="828"/>
      <c r="E76" s="278"/>
      <c r="F76" s="278"/>
      <c r="G76" s="278"/>
      <c r="H76" s="278"/>
      <c r="I76" s="278"/>
      <c r="J76" s="278"/>
      <c r="K76" s="278"/>
      <c r="L76" s="278"/>
      <c r="M76" s="278"/>
      <c r="N76" s="278"/>
      <c r="O76" s="278"/>
      <c r="P76" s="278"/>
      <c r="Q76" s="278"/>
      <c r="R76" s="278"/>
      <c r="S76" s="278"/>
      <c r="T76" s="278"/>
      <c r="U76" s="278"/>
      <c r="V76" s="278"/>
      <c r="W76" s="278"/>
      <c r="X76" s="278"/>
      <c r="Y76" s="278"/>
      <c r="Z76" s="139"/>
      <c r="AA76" s="139"/>
    </row>
    <row r="77" spans="2:27" x14ac:dyDescent="0.2">
      <c r="B77" s="139"/>
      <c r="C77" s="139"/>
      <c r="D77" s="828"/>
      <c r="E77" s="278"/>
      <c r="F77" s="278"/>
      <c r="G77" s="278"/>
      <c r="H77" s="278"/>
      <c r="I77" s="278"/>
      <c r="J77" s="278"/>
      <c r="K77" s="278"/>
      <c r="L77" s="278"/>
      <c r="M77" s="278"/>
      <c r="N77" s="278"/>
      <c r="O77" s="278"/>
      <c r="P77" s="278"/>
      <c r="Q77" s="278"/>
      <c r="R77" s="278"/>
      <c r="S77" s="278"/>
      <c r="T77" s="278"/>
      <c r="U77" s="278"/>
      <c r="V77" s="278"/>
      <c r="W77" s="278"/>
      <c r="X77" s="278"/>
      <c r="Y77" s="278"/>
      <c r="Z77" s="139"/>
      <c r="AA77" s="139"/>
    </row>
    <row r="78" spans="2:27" x14ac:dyDescent="0.2">
      <c r="B78" s="139"/>
      <c r="C78" s="139"/>
      <c r="D78" s="828"/>
      <c r="E78" s="278"/>
      <c r="F78" s="278"/>
      <c r="G78" s="278"/>
      <c r="H78" s="278"/>
      <c r="I78" s="278"/>
      <c r="J78" s="278"/>
      <c r="K78" s="278"/>
      <c r="L78" s="278"/>
      <c r="M78" s="278"/>
      <c r="N78" s="278"/>
      <c r="O78" s="278"/>
      <c r="P78" s="278"/>
      <c r="Q78" s="278"/>
      <c r="R78" s="278"/>
      <c r="S78" s="278"/>
      <c r="T78" s="278"/>
      <c r="U78" s="278"/>
      <c r="V78" s="278"/>
      <c r="W78" s="278"/>
      <c r="X78" s="278"/>
      <c r="Y78" s="278"/>
      <c r="Z78" s="139"/>
      <c r="AA78" s="139"/>
    </row>
    <row r="79" spans="2:27" x14ac:dyDescent="0.2">
      <c r="B79" s="139"/>
      <c r="C79" s="139"/>
      <c r="D79" s="828" t="s">
        <v>1080</v>
      </c>
      <c r="E79" s="278"/>
      <c r="F79" s="278"/>
      <c r="G79" s="278"/>
      <c r="H79" s="278"/>
      <c r="I79" s="278"/>
      <c r="J79" s="1017"/>
      <c r="K79" s="1017"/>
      <c r="L79" s="1017"/>
      <c r="M79" s="829" t="s">
        <v>1277</v>
      </c>
      <c r="N79" s="278"/>
      <c r="O79" s="278"/>
      <c r="P79" s="278"/>
      <c r="Q79" s="278"/>
      <c r="R79" s="278"/>
      <c r="S79" s="278"/>
      <c r="T79" s="278"/>
      <c r="U79" s="278"/>
      <c r="V79" s="278"/>
      <c r="W79" s="278"/>
      <c r="X79" s="278"/>
      <c r="Y79" s="278"/>
      <c r="Z79" s="139"/>
      <c r="AA79" s="139"/>
    </row>
    <row r="80" spans="2:27" x14ac:dyDescent="0.2">
      <c r="B80" s="139"/>
      <c r="C80" s="139"/>
      <c r="D80" s="828"/>
      <c r="E80" s="278"/>
      <c r="F80" s="278"/>
      <c r="G80" s="278"/>
      <c r="H80" s="278"/>
      <c r="I80" s="278"/>
      <c r="J80" s="278"/>
      <c r="K80" s="278"/>
      <c r="L80" s="278"/>
      <c r="M80" s="278"/>
      <c r="N80" s="278"/>
      <c r="O80" s="278"/>
      <c r="P80" s="278"/>
      <c r="Q80" s="278"/>
      <c r="R80" s="278"/>
      <c r="S80" s="278"/>
      <c r="T80" s="278"/>
      <c r="U80" s="278"/>
      <c r="V80" s="278"/>
      <c r="W80" s="278"/>
      <c r="X80" s="278"/>
      <c r="Y80" s="278"/>
      <c r="Z80" s="139"/>
      <c r="AA80" s="139"/>
    </row>
    <row r="81" spans="2:41" x14ac:dyDescent="0.2">
      <c r="B81" s="139"/>
      <c r="C81" s="139"/>
      <c r="D81" s="828" t="s">
        <v>1081</v>
      </c>
      <c r="E81" s="278"/>
      <c r="F81" s="278"/>
      <c r="G81" s="278"/>
      <c r="H81" s="278"/>
      <c r="I81" s="278"/>
      <c r="J81" s="1017"/>
      <c r="K81" s="1017"/>
      <c r="L81" s="1017"/>
      <c r="M81" s="829" t="s">
        <v>1277</v>
      </c>
      <c r="N81" s="278"/>
      <c r="O81" s="278"/>
      <c r="P81" s="278"/>
      <c r="Q81" s="278"/>
      <c r="R81" s="278"/>
      <c r="S81" s="278"/>
      <c r="T81" s="278"/>
      <c r="U81" s="278"/>
      <c r="V81" s="278"/>
      <c r="W81" s="278"/>
      <c r="X81" s="278"/>
      <c r="Y81" s="278"/>
      <c r="Z81" s="139"/>
      <c r="AA81" s="139"/>
    </row>
    <row r="82" spans="2:41" x14ac:dyDescent="0.2">
      <c r="B82" s="139"/>
      <c r="C82" s="139"/>
      <c r="D82" s="828"/>
      <c r="E82" s="278"/>
      <c r="F82" s="278"/>
      <c r="G82" s="278"/>
      <c r="H82" s="278"/>
      <c r="I82" s="278"/>
      <c r="J82" s="278"/>
      <c r="K82" s="278"/>
      <c r="L82" s="278"/>
      <c r="M82" s="278"/>
      <c r="N82" s="278"/>
      <c r="O82" s="278"/>
      <c r="P82" s="278"/>
      <c r="Q82" s="278"/>
      <c r="R82" s="278"/>
      <c r="S82" s="278"/>
      <c r="T82" s="278"/>
      <c r="U82" s="278"/>
      <c r="V82" s="278"/>
      <c r="W82" s="278"/>
      <c r="X82" s="278"/>
      <c r="Y82" s="278"/>
      <c r="Z82" s="139"/>
      <c r="AA82" s="139"/>
    </row>
    <row r="83" spans="2:41" x14ac:dyDescent="0.2">
      <c r="B83" s="139"/>
      <c r="C83" s="139"/>
      <c r="D83" s="828" t="s">
        <v>1082</v>
      </c>
      <c r="E83" s="278"/>
      <c r="F83" s="278"/>
      <c r="G83" s="278"/>
      <c r="H83" s="278"/>
      <c r="I83" s="278"/>
      <c r="J83" s="1017"/>
      <c r="K83" s="1017"/>
      <c r="L83" s="1017"/>
      <c r="M83" s="829" t="s">
        <v>1277</v>
      </c>
      <c r="N83" s="278"/>
      <c r="O83" s="278"/>
      <c r="P83" s="278"/>
      <c r="Q83" s="278"/>
      <c r="R83" s="278"/>
      <c r="S83" s="278"/>
      <c r="T83" s="278"/>
      <c r="U83" s="278"/>
      <c r="V83" s="278"/>
      <c r="W83" s="278"/>
      <c r="X83" s="278"/>
      <c r="Y83" s="278"/>
      <c r="Z83" s="139"/>
      <c r="AA83" s="139"/>
    </row>
    <row r="84" spans="2:41" x14ac:dyDescent="0.2">
      <c r="B84" s="139"/>
      <c r="C84" s="139"/>
      <c r="D84" s="657"/>
      <c r="E84" s="278"/>
      <c r="F84" s="278"/>
      <c r="G84" s="278"/>
      <c r="H84" s="278"/>
      <c r="I84" s="278"/>
      <c r="J84" s="278"/>
      <c r="K84" s="278"/>
      <c r="L84" s="278"/>
      <c r="M84" s="278"/>
      <c r="N84" s="278"/>
      <c r="O84" s="278"/>
      <c r="P84" s="278"/>
      <c r="Q84" s="278"/>
      <c r="R84" s="278"/>
      <c r="S84" s="278"/>
      <c r="T84" s="278"/>
      <c r="U84" s="278"/>
      <c r="V84" s="278"/>
      <c r="W84" s="278"/>
      <c r="X84" s="278"/>
      <c r="Y84" s="278"/>
      <c r="Z84" s="139"/>
      <c r="AA84" s="139"/>
    </row>
    <row r="85" spans="2:41" x14ac:dyDescent="0.2">
      <c r="B85" s="139"/>
      <c r="C85" s="139"/>
      <c r="D85" s="657"/>
      <c r="E85" s="278"/>
      <c r="F85" s="278"/>
      <c r="G85" s="278"/>
      <c r="H85" s="278"/>
      <c r="I85" s="278"/>
      <c r="J85" s="278"/>
      <c r="K85" s="278"/>
      <c r="L85" s="278"/>
      <c r="M85" s="278"/>
      <c r="N85" s="278"/>
      <c r="O85" s="278"/>
      <c r="P85" s="278"/>
      <c r="Q85" s="278"/>
      <c r="R85" s="278"/>
      <c r="S85" s="278"/>
      <c r="T85" s="278"/>
      <c r="U85" s="278"/>
      <c r="V85" s="278"/>
      <c r="W85" s="278"/>
      <c r="X85" s="278"/>
      <c r="Y85" s="278"/>
      <c r="Z85" s="139"/>
      <c r="AA85" s="139"/>
    </row>
    <row r="86" spans="2:41" x14ac:dyDescent="0.2">
      <c r="B86" s="139"/>
      <c r="C86" s="139"/>
      <c r="D86" s="278"/>
      <c r="E86" s="278"/>
      <c r="F86" s="278"/>
      <c r="G86" s="278"/>
      <c r="H86" s="278"/>
      <c r="I86" s="278"/>
      <c r="J86" s="278"/>
      <c r="K86" s="278"/>
      <c r="L86" s="278"/>
      <c r="M86" s="278"/>
      <c r="N86" s="278"/>
      <c r="O86" s="278"/>
      <c r="P86" s="278"/>
      <c r="Q86"/>
      <c r="R86" s="278"/>
      <c r="S86" s="278"/>
      <c r="T86" s="278"/>
      <c r="U86" s="278"/>
      <c r="V86" s="278"/>
      <c r="W86" s="278"/>
      <c r="X86" s="278"/>
      <c r="Y86" s="278"/>
      <c r="Z86" s="139"/>
      <c r="AA86" s="139"/>
    </row>
    <row r="87" spans="2:41" x14ac:dyDescent="0.2">
      <c r="B87" s="139"/>
      <c r="C87" s="139"/>
      <c r="D87" s="278"/>
      <c r="E87" s="278"/>
      <c r="F87" s="278"/>
      <c r="G87" s="278"/>
      <c r="H87" s="278"/>
      <c r="I87" s="278"/>
      <c r="J87" s="278"/>
      <c r="K87" s="278"/>
      <c r="L87" s="278"/>
      <c r="M87" s="278"/>
      <c r="N87" s="278"/>
      <c r="O87" s="278"/>
      <c r="P87" s="278"/>
      <c r="Q87" s="278"/>
      <c r="R87" s="278"/>
      <c r="S87"/>
      <c r="T87" s="278"/>
      <c r="U87" s="278"/>
      <c r="V87" s="278"/>
      <c r="W87" s="278"/>
      <c r="X87" s="278"/>
      <c r="Y87" s="278"/>
      <c r="Z87" s="139"/>
      <c r="AA87" s="139"/>
    </row>
    <row r="88" spans="2:41" x14ac:dyDescent="0.2">
      <c r="B88" s="139"/>
      <c r="C88" s="139"/>
      <c r="D88" s="847" t="s">
        <v>1062</v>
      </c>
      <c r="E88" s="814"/>
      <c r="F88" s="814"/>
      <c r="G88" s="814"/>
      <c r="H88" s="814"/>
      <c r="I88" s="814"/>
      <c r="J88" s="814"/>
      <c r="K88" s="814"/>
      <c r="L88" s="814"/>
      <c r="M88" s="814"/>
      <c r="N88" s="814"/>
      <c r="O88" s="814"/>
      <c r="P88" s="814"/>
      <c r="Q88" s="814"/>
      <c r="R88" s="814"/>
      <c r="S88" s="814"/>
      <c r="T88" s="814"/>
      <c r="U88" s="814"/>
      <c r="V88" s="814"/>
      <c r="W88" s="814"/>
      <c r="X88" s="814"/>
      <c r="Y88" s="814"/>
      <c r="Z88" s="811"/>
      <c r="AA88" s="139"/>
    </row>
    <row r="89" spans="2:41" x14ac:dyDescent="0.2">
      <c r="B89" s="139"/>
      <c r="C89" s="139"/>
      <c r="D89" s="141"/>
      <c r="E89" s="142"/>
      <c r="F89" s="142"/>
      <c r="G89" s="142"/>
      <c r="H89" s="142"/>
      <c r="I89" s="142"/>
      <c r="J89" s="142"/>
      <c r="K89" s="142"/>
      <c r="L89" s="143"/>
      <c r="M89" s="143"/>
      <c r="N89" s="143"/>
      <c r="O89" s="143"/>
      <c r="P89" s="143"/>
      <c r="Q89" s="143"/>
      <c r="R89" s="143"/>
      <c r="S89" s="143"/>
      <c r="T89" s="143"/>
      <c r="U89" s="139"/>
      <c r="V89" s="145"/>
      <c r="W89" s="139"/>
      <c r="X89" s="139"/>
      <c r="Y89" s="139"/>
      <c r="Z89" s="139"/>
      <c r="AA89" s="139"/>
      <c r="AI89" s="137"/>
      <c r="AJ89" s="137"/>
      <c r="AK89" s="137"/>
      <c r="AL89" s="137"/>
      <c r="AM89" s="137"/>
      <c r="AN89" s="137"/>
      <c r="AO89" s="137"/>
    </row>
    <row r="90" spans="2:41" x14ac:dyDescent="0.2">
      <c r="B90" s="139"/>
      <c r="C90" s="139"/>
      <c r="D90" s="141"/>
      <c r="E90" s="142"/>
      <c r="F90" s="142"/>
      <c r="G90" s="142"/>
      <c r="H90" s="142"/>
      <c r="I90" s="142"/>
      <c r="J90" s="142"/>
      <c r="K90" s="142"/>
      <c r="L90" s="143"/>
      <c r="M90" s="143"/>
      <c r="N90" s="143"/>
      <c r="O90" s="143"/>
      <c r="P90" s="143"/>
      <c r="Q90" s="143"/>
      <c r="R90" s="143"/>
      <c r="S90" s="143"/>
      <c r="T90" s="143"/>
      <c r="U90" s="139"/>
      <c r="V90" s="145"/>
      <c r="W90" s="139"/>
      <c r="X90" s="139"/>
      <c r="Y90" s="139"/>
      <c r="Z90" s="139"/>
      <c r="AA90" s="139"/>
      <c r="AI90" s="137"/>
      <c r="AJ90" s="137"/>
      <c r="AK90" s="137"/>
      <c r="AL90" s="137"/>
      <c r="AM90" s="137"/>
      <c r="AN90" s="137"/>
      <c r="AO90" s="137"/>
    </row>
    <row r="91" spans="2:41" x14ac:dyDescent="0.2">
      <c r="B91" s="139"/>
      <c r="C91" s="139"/>
      <c r="D91" s="141"/>
      <c r="E91" s="142"/>
      <c r="F91" s="142"/>
      <c r="G91" s="142"/>
      <c r="H91" s="142"/>
      <c r="I91" s="142"/>
      <c r="J91" s="142"/>
      <c r="K91" s="142"/>
      <c r="L91" s="143"/>
      <c r="M91" s="143"/>
      <c r="N91" s="143"/>
      <c r="O91" s="143"/>
      <c r="P91" s="143"/>
      <c r="Q91" s="143"/>
      <c r="R91" s="143"/>
      <c r="S91" s="143"/>
      <c r="T91" s="143"/>
      <c r="U91" s="139"/>
      <c r="V91" s="145"/>
      <c r="W91" s="139"/>
      <c r="X91" s="139"/>
      <c r="Y91" s="139"/>
      <c r="Z91" s="139"/>
      <c r="AA91" s="139"/>
      <c r="AI91" s="137"/>
      <c r="AJ91" s="137"/>
      <c r="AK91" s="137"/>
      <c r="AL91" s="137"/>
      <c r="AM91" s="137"/>
      <c r="AN91" s="137"/>
      <c r="AO91" s="137"/>
    </row>
    <row r="92" spans="2:41" x14ac:dyDescent="0.2">
      <c r="B92" s="139"/>
      <c r="C92" s="139"/>
      <c r="D92" s="141"/>
      <c r="E92" s="142"/>
      <c r="F92" s="142"/>
      <c r="G92" s="142"/>
      <c r="H92" s="142"/>
      <c r="I92" s="142"/>
      <c r="J92" s="142"/>
      <c r="K92" s="142"/>
      <c r="L92" s="143"/>
      <c r="M92" s="143"/>
      <c r="N92" s="143"/>
      <c r="O92" s="143"/>
      <c r="P92" s="143"/>
      <c r="Q92" s="143"/>
      <c r="R92" s="143"/>
      <c r="S92" s="143"/>
      <c r="T92" s="143"/>
      <c r="U92" s="139"/>
      <c r="V92" s="145"/>
      <c r="W92" s="139"/>
      <c r="X92" s="139"/>
      <c r="Y92" s="139"/>
      <c r="Z92" s="139"/>
      <c r="AA92" s="139"/>
      <c r="AI92" s="137"/>
      <c r="AJ92" s="137"/>
      <c r="AK92" s="137"/>
      <c r="AL92" s="137"/>
      <c r="AM92" s="137"/>
      <c r="AN92" s="137"/>
      <c r="AO92" s="137"/>
    </row>
    <row r="93" spans="2:41" x14ac:dyDescent="0.2">
      <c r="B93" s="139"/>
      <c r="C93" s="139"/>
      <c r="D93" s="141"/>
      <c r="E93" s="142"/>
      <c r="F93" s="142"/>
      <c r="G93" s="142"/>
      <c r="H93" s="142"/>
      <c r="I93" s="142"/>
      <c r="J93" s="142"/>
      <c r="K93" s="142"/>
      <c r="L93" s="143"/>
      <c r="M93" s="143"/>
      <c r="N93" s="143"/>
      <c r="O93" s="143"/>
      <c r="P93" s="143"/>
      <c r="Q93" s="143"/>
      <c r="R93" s="143"/>
      <c r="S93" s="143"/>
      <c r="T93" s="143"/>
      <c r="U93" s="139"/>
      <c r="V93" s="145"/>
      <c r="W93" s="139"/>
      <c r="X93" s="139"/>
      <c r="Y93" s="139"/>
      <c r="Z93" s="139"/>
      <c r="AA93" s="139"/>
      <c r="AI93" s="137"/>
      <c r="AJ93" s="137"/>
      <c r="AK93" s="137"/>
      <c r="AL93" s="137"/>
      <c r="AM93" s="137"/>
      <c r="AN93" s="137"/>
      <c r="AO93" s="137"/>
    </row>
    <row r="94" spans="2:41" x14ac:dyDescent="0.2">
      <c r="B94" s="139"/>
      <c r="C94" s="139"/>
      <c r="D94" s="141"/>
      <c r="E94" s="142"/>
      <c r="F94" s="142"/>
      <c r="G94" s="142"/>
      <c r="H94" s="142"/>
      <c r="I94" s="142"/>
      <c r="J94" s="142"/>
      <c r="K94" s="142"/>
      <c r="L94" s="143"/>
      <c r="M94" s="143"/>
      <c r="N94" s="143"/>
      <c r="O94" s="143"/>
      <c r="P94" s="143"/>
      <c r="Q94" s="143"/>
      <c r="R94" s="143"/>
      <c r="S94" s="143"/>
      <c r="T94" s="143"/>
      <c r="U94" s="139"/>
      <c r="V94" s="145"/>
      <c r="W94" s="139"/>
      <c r="X94" s="139"/>
      <c r="Y94" s="139"/>
      <c r="Z94" s="139"/>
      <c r="AA94" s="139"/>
      <c r="AI94" s="137"/>
      <c r="AJ94" s="137"/>
      <c r="AK94" s="137"/>
      <c r="AL94" s="137"/>
      <c r="AM94" s="137"/>
      <c r="AN94" s="137"/>
      <c r="AO94" s="137"/>
    </row>
    <row r="95" spans="2:41" x14ac:dyDescent="0.2">
      <c r="B95" s="139"/>
      <c r="C95" s="139"/>
      <c r="D95" s="141"/>
      <c r="E95" s="142"/>
      <c r="F95" s="142"/>
      <c r="G95" s="142"/>
      <c r="H95" s="142"/>
      <c r="I95" s="142"/>
      <c r="J95" s="142"/>
      <c r="K95" s="142"/>
      <c r="L95" s="143"/>
      <c r="M95" s="143"/>
      <c r="N95" s="143"/>
      <c r="O95" s="143"/>
      <c r="P95" s="143"/>
      <c r="Q95" s="143"/>
      <c r="R95" s="143"/>
      <c r="S95" s="143"/>
      <c r="T95" s="143"/>
      <c r="U95" s="139"/>
      <c r="V95" s="145"/>
      <c r="W95" s="139"/>
      <c r="X95" s="139"/>
      <c r="Y95" s="139"/>
      <c r="Z95" s="139"/>
      <c r="AA95" s="139"/>
      <c r="AI95" s="137"/>
      <c r="AJ95" s="137"/>
      <c r="AK95" s="137"/>
      <c r="AL95" s="137"/>
      <c r="AM95" s="137"/>
      <c r="AN95" s="137"/>
      <c r="AO95" s="137"/>
    </row>
    <row r="96" spans="2:41" x14ac:dyDescent="0.2">
      <c r="B96" s="139"/>
      <c r="C96" s="139"/>
      <c r="D96" s="141"/>
      <c r="E96" s="142"/>
      <c r="F96" s="142"/>
      <c r="G96" s="142"/>
      <c r="H96" s="142"/>
      <c r="I96" s="142"/>
      <c r="J96" s="142"/>
      <c r="K96" s="142"/>
      <c r="L96" s="143"/>
      <c r="M96" s="143"/>
      <c r="N96" s="143"/>
      <c r="O96" s="143"/>
      <c r="P96" s="143"/>
      <c r="Q96" s="143"/>
      <c r="R96" s="143"/>
      <c r="S96" s="143"/>
      <c r="T96" s="143"/>
      <c r="U96" s="139"/>
      <c r="V96" s="145"/>
      <c r="W96" s="139"/>
      <c r="X96" s="139"/>
      <c r="Y96" s="139"/>
      <c r="Z96" s="139"/>
      <c r="AA96" s="139"/>
      <c r="AI96" s="137"/>
      <c r="AJ96" s="137"/>
      <c r="AK96" s="137"/>
      <c r="AL96" s="137"/>
      <c r="AM96" s="137"/>
      <c r="AN96" s="137"/>
      <c r="AO96" s="137"/>
    </row>
    <row r="97" spans="2:41" x14ac:dyDescent="0.2">
      <c r="B97" s="139"/>
      <c r="C97" s="139"/>
      <c r="D97" s="141"/>
      <c r="E97" s="142"/>
      <c r="F97" s="142"/>
      <c r="G97" s="142"/>
      <c r="H97" s="142"/>
      <c r="I97" s="142"/>
      <c r="J97" s="142"/>
      <c r="K97" s="142"/>
      <c r="L97" s="143"/>
      <c r="M97" s="143"/>
      <c r="N97" s="143"/>
      <c r="O97" s="143"/>
      <c r="P97" s="143"/>
      <c r="Q97" s="143"/>
      <c r="R97" s="143"/>
      <c r="S97" s="143"/>
      <c r="T97" s="143"/>
      <c r="U97" s="139"/>
      <c r="V97" s="145"/>
      <c r="W97" s="139"/>
      <c r="X97" s="139"/>
      <c r="Y97" s="139"/>
      <c r="Z97" s="139"/>
      <c r="AA97" s="139"/>
      <c r="AI97" s="137"/>
      <c r="AJ97" s="137"/>
      <c r="AK97" s="137"/>
      <c r="AL97" s="137"/>
      <c r="AM97" s="137"/>
      <c r="AN97" s="137"/>
      <c r="AO97" s="137"/>
    </row>
    <row r="98" spans="2:41" x14ac:dyDescent="0.2">
      <c r="B98" s="139"/>
      <c r="C98" s="139"/>
      <c r="D98" s="141"/>
      <c r="E98" s="142"/>
      <c r="F98" s="142"/>
      <c r="G98" s="142"/>
      <c r="H98" s="142"/>
      <c r="I98" s="142"/>
      <c r="J98" s="142"/>
      <c r="K98" s="142"/>
      <c r="L98" s="143"/>
      <c r="M98" s="143"/>
      <c r="N98" s="143"/>
      <c r="O98" s="143"/>
      <c r="P98" s="143"/>
      <c r="Q98" s="143"/>
      <c r="R98" s="143"/>
      <c r="S98" s="143"/>
      <c r="T98" s="143"/>
      <c r="U98" s="139"/>
      <c r="V98" s="145"/>
      <c r="W98" s="139"/>
      <c r="X98" s="139"/>
      <c r="Y98" s="139"/>
      <c r="Z98" s="139"/>
      <c r="AA98" s="139"/>
      <c r="AI98" s="137"/>
      <c r="AJ98" s="137"/>
      <c r="AK98" s="137"/>
      <c r="AL98" s="137"/>
      <c r="AM98" s="137"/>
      <c r="AN98" s="137"/>
      <c r="AO98" s="137"/>
    </row>
    <row r="99" spans="2:41" x14ac:dyDescent="0.2">
      <c r="B99" s="139"/>
      <c r="C99" s="139"/>
      <c r="D99" s="141"/>
      <c r="E99" s="142"/>
      <c r="F99" s="142"/>
      <c r="G99" s="142"/>
      <c r="H99" s="142"/>
      <c r="I99" s="142"/>
      <c r="J99" s="142"/>
      <c r="K99" s="142"/>
      <c r="L99" s="143"/>
      <c r="M99" s="143"/>
      <c r="N99" s="143"/>
      <c r="O99" s="143"/>
      <c r="P99" s="143"/>
      <c r="Q99" s="143"/>
      <c r="R99" s="143"/>
      <c r="S99" s="143"/>
      <c r="T99" s="143"/>
      <c r="U99" s="139"/>
      <c r="V99" s="145"/>
      <c r="W99" s="139"/>
      <c r="X99" s="139"/>
      <c r="Y99" s="139"/>
      <c r="Z99" s="139"/>
      <c r="AA99" s="139"/>
      <c r="AI99" s="137"/>
      <c r="AJ99" s="137"/>
      <c r="AK99" s="137"/>
      <c r="AL99" s="137"/>
      <c r="AM99" s="137"/>
      <c r="AN99" s="137"/>
      <c r="AO99" s="137"/>
    </row>
    <row r="100" spans="2:41" x14ac:dyDescent="0.2">
      <c r="B100" s="139"/>
      <c r="C100" s="139"/>
      <c r="D100" s="141"/>
      <c r="E100" s="142"/>
      <c r="F100" s="142"/>
      <c r="G100" s="142"/>
      <c r="H100" s="142"/>
      <c r="I100" s="142"/>
      <c r="J100" s="142"/>
      <c r="K100" s="142"/>
      <c r="L100" s="143"/>
      <c r="M100" s="143"/>
      <c r="N100" s="143"/>
      <c r="O100" s="143"/>
      <c r="P100" s="143"/>
      <c r="Q100" s="143"/>
      <c r="R100" s="143"/>
      <c r="S100" s="143"/>
      <c r="T100" s="143"/>
      <c r="U100" s="139"/>
      <c r="V100" s="145"/>
      <c r="W100" s="139"/>
      <c r="X100" s="139"/>
      <c r="Y100" s="139"/>
      <c r="Z100" s="139"/>
      <c r="AA100" s="139"/>
      <c r="AI100" s="137"/>
      <c r="AJ100" s="137"/>
      <c r="AK100" s="137"/>
      <c r="AL100" s="137"/>
      <c r="AM100" s="137"/>
      <c r="AN100" s="137"/>
      <c r="AO100" s="137"/>
    </row>
    <row r="101" spans="2:41" x14ac:dyDescent="0.2">
      <c r="B101" s="139"/>
      <c r="C101" s="139"/>
      <c r="D101" s="141"/>
      <c r="E101" s="142"/>
      <c r="F101" s="142"/>
      <c r="G101" s="142"/>
      <c r="H101" s="142"/>
      <c r="I101" s="142"/>
      <c r="J101" s="142"/>
      <c r="K101" s="142"/>
      <c r="L101" s="143"/>
      <c r="M101" s="143"/>
      <c r="N101" s="143"/>
      <c r="O101" s="143"/>
      <c r="P101" s="143"/>
      <c r="Q101" s="143"/>
      <c r="R101" s="143"/>
      <c r="S101" s="143"/>
      <c r="T101" s="143"/>
      <c r="U101" s="139"/>
      <c r="V101" s="145"/>
      <c r="W101" s="139"/>
      <c r="X101" s="139"/>
      <c r="Y101" s="139"/>
      <c r="Z101" s="139"/>
      <c r="AA101" s="139"/>
      <c r="AI101" s="137"/>
      <c r="AJ101" s="137"/>
      <c r="AK101" s="137"/>
      <c r="AL101" s="137"/>
      <c r="AM101" s="137"/>
      <c r="AN101" s="137"/>
      <c r="AO101" s="137"/>
    </row>
    <row r="102" spans="2:41" x14ac:dyDescent="0.2">
      <c r="B102" s="139"/>
      <c r="C102" s="139"/>
      <c r="D102" s="141"/>
      <c r="E102" s="142"/>
      <c r="F102" s="142"/>
      <c r="G102" s="142"/>
      <c r="H102" s="142"/>
      <c r="I102" s="142"/>
      <c r="J102" s="142"/>
      <c r="K102" s="142"/>
      <c r="L102" s="143"/>
      <c r="M102" s="143"/>
      <c r="N102" s="143"/>
      <c r="O102" s="143"/>
      <c r="P102" s="143"/>
      <c r="Q102" s="143"/>
      <c r="R102" s="143"/>
      <c r="S102" s="143"/>
      <c r="T102" s="143"/>
      <c r="U102" s="139"/>
      <c r="V102" s="145"/>
      <c r="W102" s="139"/>
      <c r="X102" s="139"/>
      <c r="Y102" s="139"/>
      <c r="Z102" s="139"/>
      <c r="AA102" s="139"/>
      <c r="AI102" s="137"/>
      <c r="AJ102" s="137"/>
      <c r="AK102" s="137"/>
      <c r="AL102" s="137"/>
      <c r="AM102" s="137"/>
      <c r="AN102" s="137"/>
      <c r="AO102" s="137"/>
    </row>
    <row r="103" spans="2:41" x14ac:dyDescent="0.2">
      <c r="B103" s="139"/>
      <c r="C103" s="139"/>
      <c r="D103" s="141"/>
      <c r="E103" s="142"/>
      <c r="F103" s="142"/>
      <c r="G103" s="142"/>
      <c r="H103" s="142"/>
      <c r="I103" s="142"/>
      <c r="J103" s="142"/>
      <c r="K103" s="142"/>
      <c r="L103" s="143"/>
      <c r="M103" s="143"/>
      <c r="N103" s="143"/>
      <c r="O103" s="143"/>
      <c r="P103" s="143"/>
      <c r="Q103" s="143"/>
      <c r="R103" s="143"/>
      <c r="S103" s="143"/>
      <c r="T103" s="143"/>
      <c r="U103" s="139"/>
      <c r="V103" s="145"/>
      <c r="W103" s="139"/>
      <c r="X103" s="139"/>
      <c r="Y103" s="139"/>
      <c r="Z103" s="139"/>
      <c r="AA103" s="139"/>
      <c r="AI103" s="137"/>
      <c r="AJ103" s="137"/>
      <c r="AK103" s="137"/>
      <c r="AL103" s="137"/>
      <c r="AM103" s="137"/>
      <c r="AN103" s="137"/>
      <c r="AO103" s="137"/>
    </row>
    <row r="104" spans="2:41" x14ac:dyDescent="0.2">
      <c r="B104" s="139"/>
      <c r="C104" s="139"/>
      <c r="D104" s="141"/>
      <c r="E104" s="142"/>
      <c r="F104" s="142"/>
      <c r="G104" s="142"/>
      <c r="H104" s="142"/>
      <c r="I104" s="142"/>
      <c r="J104" s="142"/>
      <c r="K104" s="142"/>
      <c r="L104" s="143"/>
      <c r="M104" s="143"/>
      <c r="N104" s="143"/>
      <c r="O104" s="143"/>
      <c r="P104" s="143"/>
      <c r="Q104" s="143"/>
      <c r="R104" s="143"/>
      <c r="S104" s="143"/>
      <c r="T104" s="143"/>
      <c r="U104" s="139"/>
      <c r="V104" s="145"/>
      <c r="W104" s="139"/>
      <c r="X104" s="139"/>
      <c r="Y104" s="139"/>
      <c r="Z104" s="139"/>
      <c r="AA104" s="139"/>
      <c r="AI104" s="137"/>
      <c r="AJ104" s="137"/>
      <c r="AK104" s="137"/>
      <c r="AL104" s="137"/>
      <c r="AM104" s="137"/>
      <c r="AN104" s="137"/>
      <c r="AO104" s="137"/>
    </row>
    <row r="105" spans="2:41" x14ac:dyDescent="0.2">
      <c r="B105" s="139"/>
      <c r="C105" s="139"/>
      <c r="D105" s="141"/>
      <c r="E105" s="142"/>
      <c r="F105" s="142"/>
      <c r="G105" s="142"/>
      <c r="H105" s="142"/>
      <c r="I105" s="142"/>
      <c r="J105" s="142"/>
      <c r="K105" s="142"/>
      <c r="L105" s="143"/>
      <c r="M105" s="143"/>
      <c r="N105" s="143"/>
      <c r="O105" s="143"/>
      <c r="P105" s="143"/>
      <c r="Q105" s="143"/>
      <c r="R105" s="143"/>
      <c r="S105" s="143"/>
      <c r="T105" s="143"/>
      <c r="U105" s="139"/>
      <c r="V105" s="145"/>
      <c r="W105" s="139"/>
      <c r="X105" s="139"/>
      <c r="Y105" s="139"/>
      <c r="Z105" s="139"/>
      <c r="AA105" s="139"/>
      <c r="AI105" s="137"/>
      <c r="AJ105" s="137"/>
      <c r="AK105" s="137"/>
      <c r="AL105" s="137"/>
      <c r="AM105" s="137"/>
      <c r="AN105" s="137"/>
      <c r="AO105" s="137"/>
    </row>
    <row r="106" spans="2:41" x14ac:dyDescent="0.2">
      <c r="B106" s="139"/>
      <c r="C106" s="139"/>
      <c r="D106" s="141"/>
      <c r="E106" s="142"/>
      <c r="F106" s="142"/>
      <c r="G106" s="142"/>
      <c r="H106" s="142"/>
      <c r="I106" s="142"/>
      <c r="J106" s="142"/>
      <c r="K106" s="142"/>
      <c r="L106" s="143"/>
      <c r="M106" s="143"/>
      <c r="N106" s="143"/>
      <c r="O106" s="143"/>
      <c r="P106" s="143"/>
      <c r="Q106" s="143"/>
      <c r="R106" s="143"/>
      <c r="S106" s="143"/>
      <c r="T106" s="143"/>
      <c r="U106" s="139"/>
      <c r="V106" s="145"/>
      <c r="W106" s="139"/>
      <c r="X106" s="139"/>
      <c r="Y106" s="139"/>
      <c r="Z106" s="139"/>
      <c r="AA106" s="139"/>
      <c r="AI106" s="137"/>
      <c r="AJ106" s="137"/>
      <c r="AK106" s="137"/>
      <c r="AL106" s="137"/>
      <c r="AM106" s="137"/>
      <c r="AN106" s="137"/>
      <c r="AO106" s="137"/>
    </row>
    <row r="107" spans="2:41" x14ac:dyDescent="0.2">
      <c r="B107" s="139"/>
      <c r="C107" s="139"/>
      <c r="D107" s="141"/>
      <c r="E107" s="142"/>
      <c r="F107" s="142"/>
      <c r="G107" s="142"/>
      <c r="H107" s="142"/>
      <c r="I107" s="142"/>
      <c r="J107" s="142"/>
      <c r="K107" s="142"/>
      <c r="L107" s="143"/>
      <c r="M107" s="143"/>
      <c r="N107" s="143"/>
      <c r="O107" s="143"/>
      <c r="P107" s="143"/>
      <c r="Q107" s="143"/>
      <c r="R107" s="143"/>
      <c r="S107" s="143"/>
      <c r="T107" s="143"/>
      <c r="U107" s="139"/>
      <c r="V107" s="145"/>
      <c r="W107" s="139"/>
      <c r="X107" s="139"/>
      <c r="Y107" s="139"/>
      <c r="Z107" s="139"/>
      <c r="AA107" s="139"/>
      <c r="AI107" s="137"/>
      <c r="AJ107" s="137"/>
      <c r="AK107" s="137"/>
      <c r="AL107" s="137"/>
      <c r="AM107" s="137"/>
      <c r="AN107" s="137"/>
      <c r="AO107" s="137"/>
    </row>
    <row r="108" spans="2:41" x14ac:dyDescent="0.2">
      <c r="B108" s="139"/>
      <c r="C108" s="139"/>
      <c r="D108" s="141"/>
      <c r="E108" s="142"/>
      <c r="F108" s="142"/>
      <c r="G108" s="142"/>
      <c r="H108" s="142"/>
      <c r="I108" s="142"/>
      <c r="J108" s="142"/>
      <c r="K108" s="142"/>
      <c r="L108" s="143"/>
      <c r="M108" s="143"/>
      <c r="N108" s="143"/>
      <c r="O108" s="143"/>
      <c r="P108" s="143"/>
      <c r="Q108" s="143"/>
      <c r="R108" s="143"/>
      <c r="S108" s="143"/>
      <c r="T108" s="143"/>
      <c r="U108" s="139"/>
      <c r="V108" s="145"/>
      <c r="W108" s="139"/>
      <c r="X108" s="139"/>
      <c r="Y108" s="139"/>
      <c r="Z108" s="139"/>
      <c r="AA108" s="139"/>
      <c r="AI108" s="137"/>
      <c r="AJ108" s="137"/>
      <c r="AK108" s="137"/>
      <c r="AL108" s="137"/>
      <c r="AM108" s="137"/>
      <c r="AN108" s="137"/>
      <c r="AO108" s="137"/>
    </row>
    <row r="109" spans="2:41" x14ac:dyDescent="0.2">
      <c r="B109" s="139"/>
      <c r="C109" s="139"/>
      <c r="D109" s="141"/>
      <c r="E109" s="142"/>
      <c r="F109" s="142"/>
      <c r="G109" s="142"/>
      <c r="H109" s="142"/>
      <c r="I109" s="142"/>
      <c r="J109" s="142"/>
      <c r="K109" s="142"/>
      <c r="L109" s="143"/>
      <c r="M109" s="143"/>
      <c r="N109" s="143"/>
      <c r="O109" s="143"/>
      <c r="P109" s="143"/>
      <c r="Q109" s="143"/>
      <c r="R109" s="143"/>
      <c r="S109" s="143"/>
      <c r="T109" s="143"/>
      <c r="U109" s="139"/>
      <c r="V109" s="145"/>
      <c r="W109" s="139"/>
      <c r="X109" s="139"/>
      <c r="Y109" s="139"/>
      <c r="Z109" s="139"/>
      <c r="AA109" s="139"/>
      <c r="AI109" s="137"/>
      <c r="AJ109" s="137"/>
      <c r="AK109" s="137"/>
      <c r="AL109" s="137"/>
      <c r="AM109" s="137"/>
      <c r="AN109" s="137"/>
      <c r="AO109" s="137"/>
    </row>
    <row r="110" spans="2:41" x14ac:dyDescent="0.2">
      <c r="B110" s="139"/>
      <c r="C110" s="139"/>
      <c r="D110" s="141"/>
      <c r="E110" s="142"/>
      <c r="F110" s="142"/>
      <c r="G110" s="142"/>
      <c r="H110" s="142"/>
      <c r="I110" s="142"/>
      <c r="J110" s="142"/>
      <c r="K110" s="142"/>
      <c r="L110" s="143"/>
      <c r="M110" s="143"/>
      <c r="N110" s="143"/>
      <c r="O110" s="143"/>
      <c r="P110" s="143"/>
      <c r="Q110" s="143"/>
      <c r="R110" s="143"/>
      <c r="S110" s="143"/>
      <c r="T110" s="143"/>
      <c r="U110" s="139"/>
      <c r="V110" s="145"/>
      <c r="W110" s="139"/>
      <c r="X110" s="139"/>
      <c r="Y110" s="139"/>
      <c r="Z110" s="139"/>
      <c r="AA110" s="139"/>
      <c r="AI110" s="137"/>
      <c r="AJ110" s="137"/>
      <c r="AK110" s="137"/>
      <c r="AL110" s="137"/>
      <c r="AM110" s="137"/>
      <c r="AN110" s="137"/>
      <c r="AO110" s="137"/>
    </row>
    <row r="111" spans="2:41" x14ac:dyDescent="0.2">
      <c r="B111" s="139"/>
      <c r="C111" s="139"/>
      <c r="D111" s="141"/>
      <c r="E111" s="142"/>
      <c r="F111" s="142"/>
      <c r="G111" s="142"/>
      <c r="H111" s="142"/>
      <c r="I111" s="142"/>
      <c r="J111" s="142"/>
      <c r="K111" s="142"/>
      <c r="L111" s="143"/>
      <c r="M111" s="143"/>
      <c r="N111" s="143"/>
      <c r="O111" s="143"/>
      <c r="P111" s="143"/>
      <c r="Q111" s="143"/>
      <c r="R111" s="143"/>
      <c r="S111" s="143"/>
      <c r="T111" s="143"/>
      <c r="U111" s="139"/>
      <c r="V111" s="145"/>
      <c r="W111" s="139"/>
      <c r="X111" s="139"/>
      <c r="Y111" s="139"/>
      <c r="Z111" s="139"/>
      <c r="AA111" s="139"/>
      <c r="AI111" s="137"/>
      <c r="AJ111" s="137"/>
      <c r="AK111" s="137"/>
      <c r="AL111" s="137"/>
      <c r="AM111" s="137"/>
      <c r="AN111" s="137"/>
      <c r="AO111" s="137"/>
    </row>
    <row r="112" spans="2:41" x14ac:dyDescent="0.2">
      <c r="B112" s="139"/>
      <c r="C112" s="139"/>
      <c r="D112" s="141"/>
      <c r="E112" s="142"/>
      <c r="F112" s="142"/>
      <c r="G112" s="142"/>
      <c r="H112" s="142"/>
      <c r="I112" s="142"/>
      <c r="J112" s="142"/>
      <c r="K112" s="142"/>
      <c r="L112" s="143"/>
      <c r="M112" s="143"/>
      <c r="N112" s="143"/>
      <c r="O112" s="143"/>
      <c r="P112" s="143"/>
      <c r="Q112" s="143"/>
      <c r="R112" s="143"/>
      <c r="S112" s="143"/>
      <c r="T112" s="143"/>
      <c r="U112" s="139"/>
      <c r="V112" s="145"/>
      <c r="W112" s="139"/>
      <c r="X112" s="139"/>
      <c r="Y112" s="139"/>
      <c r="Z112" s="139"/>
      <c r="AA112" s="139"/>
      <c r="AI112" s="137"/>
      <c r="AJ112" s="137"/>
      <c r="AK112" s="137"/>
      <c r="AL112" s="137"/>
      <c r="AM112" s="137"/>
      <c r="AN112" s="137"/>
      <c r="AO112" s="137"/>
    </row>
    <row r="113" spans="2:41" x14ac:dyDescent="0.2">
      <c r="B113" s="139"/>
      <c r="C113" s="139"/>
      <c r="D113" s="141"/>
      <c r="E113" s="142"/>
      <c r="F113" s="142"/>
      <c r="G113" s="142"/>
      <c r="H113" s="142"/>
      <c r="I113" s="142"/>
      <c r="J113" s="142"/>
      <c r="K113" s="142"/>
      <c r="L113" s="143"/>
      <c r="M113" s="143"/>
      <c r="N113" s="143"/>
      <c r="O113" s="143"/>
      <c r="P113" s="143"/>
      <c r="Q113" s="143"/>
      <c r="R113" s="143"/>
      <c r="S113" s="143"/>
      <c r="T113" s="143"/>
      <c r="U113" s="139"/>
      <c r="V113" s="145"/>
      <c r="W113" s="139"/>
      <c r="X113" s="139"/>
      <c r="Y113" s="139"/>
      <c r="Z113" s="139"/>
      <c r="AA113" s="139"/>
      <c r="AI113" s="137"/>
      <c r="AJ113" s="137"/>
      <c r="AK113" s="137"/>
      <c r="AL113" s="137"/>
      <c r="AM113" s="137"/>
      <c r="AN113" s="137"/>
      <c r="AO113" s="137"/>
    </row>
    <row r="114" spans="2:41" x14ac:dyDescent="0.2">
      <c r="B114" s="139"/>
      <c r="C114" s="139"/>
      <c r="D114" s="141"/>
      <c r="E114" s="142"/>
      <c r="F114" s="142"/>
      <c r="G114" s="142"/>
      <c r="H114" s="142"/>
      <c r="I114" s="142"/>
      <c r="J114" s="142"/>
      <c r="K114" s="142"/>
      <c r="L114" s="143"/>
      <c r="M114" s="143"/>
      <c r="N114" s="143"/>
      <c r="O114" s="143"/>
      <c r="P114" s="143"/>
      <c r="Q114" s="143"/>
      <c r="R114" s="143"/>
      <c r="S114" s="143"/>
      <c r="T114" s="143"/>
      <c r="U114" s="139"/>
      <c r="V114" s="145"/>
      <c r="W114" s="139"/>
      <c r="X114" s="139"/>
      <c r="Y114" s="139"/>
      <c r="Z114" s="139"/>
      <c r="AA114" s="139"/>
      <c r="AI114" s="137"/>
      <c r="AJ114" s="137"/>
      <c r="AK114" s="137"/>
      <c r="AL114" s="137"/>
      <c r="AM114" s="137"/>
      <c r="AN114" s="137"/>
      <c r="AO114" s="137"/>
    </row>
    <row r="115" spans="2:41" x14ac:dyDescent="0.2">
      <c r="B115" s="139"/>
      <c r="C115" s="139"/>
      <c r="D115" s="141"/>
      <c r="E115" s="142"/>
      <c r="F115" s="142"/>
      <c r="G115" s="142"/>
      <c r="H115" s="142"/>
      <c r="I115" s="142"/>
      <c r="J115" s="142"/>
      <c r="K115" s="142"/>
      <c r="L115" s="143"/>
      <c r="M115" s="143"/>
      <c r="N115" s="143"/>
      <c r="O115" s="143"/>
      <c r="P115" s="143"/>
      <c r="Q115" s="143"/>
      <c r="R115" s="143"/>
      <c r="S115" s="143"/>
      <c r="T115" s="143"/>
      <c r="U115" s="139"/>
      <c r="V115" s="145"/>
      <c r="W115" s="139"/>
      <c r="X115" s="139"/>
      <c r="Y115" s="139"/>
      <c r="Z115" s="139"/>
      <c r="AA115" s="139"/>
      <c r="AI115" s="137"/>
      <c r="AJ115" s="137"/>
      <c r="AK115" s="137"/>
      <c r="AL115" s="137"/>
      <c r="AM115" s="137"/>
      <c r="AN115" s="137"/>
      <c r="AO115" s="137"/>
    </row>
    <row r="116" spans="2:41" x14ac:dyDescent="0.2">
      <c r="B116" s="139"/>
      <c r="C116" s="139"/>
      <c r="D116" s="141"/>
      <c r="E116" s="142"/>
      <c r="F116" s="142"/>
      <c r="G116" s="142"/>
      <c r="H116" s="142"/>
      <c r="I116" s="142"/>
      <c r="J116" s="142"/>
      <c r="K116" s="142"/>
      <c r="L116" s="143"/>
      <c r="M116" s="143"/>
      <c r="N116" s="143"/>
      <c r="O116" s="143"/>
      <c r="P116" s="143"/>
      <c r="Q116" s="143"/>
      <c r="R116" s="143"/>
      <c r="S116" s="143"/>
      <c r="T116" s="143"/>
      <c r="U116" s="139"/>
      <c r="V116" s="145"/>
      <c r="W116" s="139"/>
      <c r="X116" s="139"/>
      <c r="Y116" s="139"/>
      <c r="Z116" s="139"/>
      <c r="AA116" s="139"/>
      <c r="AI116" s="137"/>
      <c r="AJ116" s="137"/>
      <c r="AK116" s="137"/>
      <c r="AL116" s="137"/>
      <c r="AM116" s="137"/>
      <c r="AN116" s="137"/>
      <c r="AO116" s="137"/>
    </row>
    <row r="117" spans="2:41" x14ac:dyDescent="0.2">
      <c r="B117" s="139"/>
      <c r="C117" s="139"/>
      <c r="D117" s="141"/>
      <c r="E117" s="142"/>
      <c r="F117" s="142"/>
      <c r="G117" s="142"/>
      <c r="H117" s="142"/>
      <c r="I117" s="142"/>
      <c r="J117" s="142"/>
      <c r="K117" s="142"/>
      <c r="L117" s="143"/>
      <c r="M117" s="143"/>
      <c r="N117" s="143"/>
      <c r="O117" s="143"/>
      <c r="P117" s="143"/>
      <c r="Q117" s="143"/>
      <c r="R117" s="143"/>
      <c r="S117" s="143"/>
      <c r="T117" s="143"/>
      <c r="U117" s="139"/>
      <c r="V117" s="145"/>
      <c r="W117" s="139"/>
      <c r="X117" s="139"/>
      <c r="Y117" s="139"/>
      <c r="Z117" s="139"/>
      <c r="AA117" s="139"/>
      <c r="AI117" s="137"/>
      <c r="AJ117" s="137"/>
      <c r="AK117" s="137"/>
      <c r="AL117" s="137"/>
      <c r="AM117" s="137"/>
      <c r="AN117" s="137"/>
      <c r="AO117" s="137"/>
    </row>
    <row r="118" spans="2:41" x14ac:dyDescent="0.2">
      <c r="B118" s="139"/>
      <c r="C118" s="139"/>
      <c r="D118" s="141"/>
      <c r="E118" s="142"/>
      <c r="F118" s="142"/>
      <c r="G118" s="142"/>
      <c r="H118" s="142"/>
      <c r="I118" s="142"/>
      <c r="J118" s="142"/>
      <c r="K118" s="142"/>
      <c r="L118" s="143"/>
      <c r="M118" s="143"/>
      <c r="N118" s="143"/>
      <c r="O118" s="143"/>
      <c r="P118" s="143"/>
      <c r="Q118" s="143"/>
      <c r="R118" s="143"/>
      <c r="S118" s="143"/>
      <c r="T118" s="143"/>
      <c r="U118" s="139"/>
      <c r="V118" s="145"/>
      <c r="W118" s="139"/>
      <c r="X118" s="139"/>
      <c r="Y118" s="139"/>
      <c r="Z118" s="139"/>
      <c r="AA118" s="139"/>
      <c r="AI118" s="137"/>
      <c r="AJ118" s="137"/>
      <c r="AK118" s="137"/>
      <c r="AL118" s="137"/>
      <c r="AM118" s="137"/>
      <c r="AN118" s="137"/>
      <c r="AO118" s="137"/>
    </row>
    <row r="119" spans="2:41" x14ac:dyDescent="0.2">
      <c r="B119" s="139"/>
      <c r="C119" s="139"/>
      <c r="D119" s="141"/>
      <c r="E119" s="142"/>
      <c r="F119" s="142"/>
      <c r="G119" s="142"/>
      <c r="H119" s="142"/>
      <c r="I119" s="142"/>
      <c r="J119" s="142"/>
      <c r="K119" s="142"/>
      <c r="L119" s="143"/>
      <c r="M119" s="143"/>
      <c r="N119" s="143"/>
      <c r="O119" s="143"/>
      <c r="P119" s="143"/>
      <c r="Q119" s="143"/>
      <c r="R119" s="143"/>
      <c r="S119" s="143"/>
      <c r="T119" s="143"/>
      <c r="U119" s="139"/>
      <c r="V119" s="145"/>
      <c r="W119" s="139"/>
      <c r="X119" s="139"/>
      <c r="Y119" s="139"/>
      <c r="Z119" s="139"/>
      <c r="AA119" s="139"/>
      <c r="AI119" s="137"/>
      <c r="AJ119" s="137"/>
      <c r="AK119" s="137"/>
      <c r="AL119" s="137"/>
      <c r="AM119" s="137"/>
      <c r="AN119" s="137"/>
      <c r="AO119" s="137"/>
    </row>
    <row r="120" spans="2:41" x14ac:dyDescent="0.2">
      <c r="B120" s="139"/>
      <c r="C120" s="139"/>
      <c r="D120" s="141"/>
      <c r="E120" s="142"/>
      <c r="F120" s="142"/>
      <c r="G120" s="142"/>
      <c r="H120" s="142"/>
      <c r="I120" s="142"/>
      <c r="J120" s="142"/>
      <c r="K120" s="142"/>
      <c r="L120" s="143"/>
      <c r="M120" s="143"/>
      <c r="N120" s="143"/>
      <c r="O120" s="143"/>
      <c r="P120" s="143"/>
      <c r="Q120" s="143"/>
      <c r="R120" s="143"/>
      <c r="S120" s="143"/>
      <c r="T120" s="143"/>
      <c r="U120" s="139"/>
      <c r="V120" s="145"/>
      <c r="W120" s="139"/>
      <c r="X120" s="139"/>
      <c r="Y120" s="139"/>
      <c r="Z120" s="139"/>
      <c r="AA120" s="139"/>
      <c r="AI120" s="137"/>
      <c r="AJ120" s="137"/>
      <c r="AK120" s="137"/>
      <c r="AL120" s="137"/>
      <c r="AM120" s="137"/>
      <c r="AN120" s="137"/>
      <c r="AO120" s="137"/>
    </row>
    <row r="121" spans="2:41" x14ac:dyDescent="0.2">
      <c r="B121" s="139"/>
      <c r="C121" s="139"/>
      <c r="D121" s="141"/>
      <c r="E121" s="142"/>
      <c r="F121" s="142"/>
      <c r="G121" s="142"/>
      <c r="H121" s="142"/>
      <c r="I121" s="142"/>
      <c r="J121" s="142"/>
      <c r="K121" s="142"/>
      <c r="L121" s="143"/>
      <c r="M121" s="143"/>
      <c r="N121" s="143"/>
      <c r="O121" s="143"/>
      <c r="P121" s="143"/>
      <c r="Q121" s="143"/>
      <c r="R121" s="143"/>
      <c r="S121" s="143"/>
      <c r="T121" s="143"/>
      <c r="U121" s="139"/>
      <c r="V121" s="145"/>
      <c r="W121" s="139"/>
      <c r="X121" s="139"/>
      <c r="Y121" s="139"/>
      <c r="Z121" s="139"/>
      <c r="AA121" s="139"/>
      <c r="AI121" s="137"/>
      <c r="AJ121" s="137"/>
      <c r="AK121" s="137"/>
      <c r="AL121" s="137"/>
      <c r="AM121" s="137"/>
      <c r="AN121" s="137"/>
      <c r="AO121" s="137"/>
    </row>
    <row r="122" spans="2:41" x14ac:dyDescent="0.2">
      <c r="B122" s="139"/>
      <c r="C122" s="139"/>
      <c r="D122" s="141"/>
      <c r="E122" s="142"/>
      <c r="F122" s="142"/>
      <c r="G122" s="142"/>
      <c r="H122" s="142"/>
      <c r="I122" s="142"/>
      <c r="J122" s="142"/>
      <c r="K122" s="142"/>
      <c r="L122" s="143"/>
      <c r="M122" s="143"/>
      <c r="N122" s="143"/>
      <c r="O122" s="143"/>
      <c r="P122" s="143"/>
      <c r="Q122" s="143"/>
      <c r="R122" s="143"/>
      <c r="S122" s="143"/>
      <c r="T122" s="143"/>
      <c r="U122" s="139"/>
      <c r="V122" s="145"/>
      <c r="W122" s="139"/>
      <c r="X122" s="139"/>
      <c r="Y122" s="139"/>
      <c r="Z122" s="139"/>
      <c r="AA122" s="139"/>
      <c r="AI122" s="137"/>
      <c r="AJ122" s="137"/>
      <c r="AK122" s="137"/>
      <c r="AL122" s="137"/>
      <c r="AM122" s="137"/>
      <c r="AN122" s="137"/>
      <c r="AO122" s="137"/>
    </row>
    <row r="123" spans="2:41" x14ac:dyDescent="0.2">
      <c r="B123" s="139"/>
      <c r="C123" s="139"/>
      <c r="D123" s="141"/>
      <c r="E123" s="142"/>
      <c r="F123" s="142"/>
      <c r="G123" s="142"/>
      <c r="H123" s="142"/>
      <c r="I123" s="142"/>
      <c r="J123" s="142"/>
      <c r="K123" s="142"/>
      <c r="L123" s="143"/>
      <c r="M123" s="143"/>
      <c r="N123" s="143"/>
      <c r="O123" s="143"/>
      <c r="P123" s="143"/>
      <c r="Q123" s="143"/>
      <c r="R123" s="143"/>
      <c r="S123" s="143"/>
      <c r="T123" s="143"/>
      <c r="U123" s="139"/>
      <c r="V123" s="145"/>
      <c r="W123" s="139"/>
      <c r="X123" s="139"/>
      <c r="Y123" s="139"/>
      <c r="Z123" s="139"/>
      <c r="AA123" s="139"/>
      <c r="AI123" s="137"/>
      <c r="AJ123" s="137"/>
      <c r="AK123" s="137"/>
      <c r="AL123" s="137"/>
      <c r="AM123" s="137"/>
      <c r="AN123" s="137"/>
      <c r="AO123" s="137"/>
    </row>
    <row r="124" spans="2:41" x14ac:dyDescent="0.2">
      <c r="B124" s="139"/>
      <c r="C124" s="139"/>
      <c r="D124" s="141"/>
      <c r="E124" s="142"/>
      <c r="F124" s="142"/>
      <c r="G124" s="142"/>
      <c r="H124" s="142"/>
      <c r="I124" s="142"/>
      <c r="J124" s="142"/>
      <c r="K124" s="142"/>
      <c r="L124" s="143"/>
      <c r="M124" s="143"/>
      <c r="N124" s="143"/>
      <c r="O124" s="143"/>
      <c r="P124" s="143"/>
      <c r="Q124" s="143"/>
      <c r="R124" s="143"/>
      <c r="S124" s="143"/>
      <c r="T124" s="143"/>
      <c r="U124" s="139"/>
      <c r="V124" s="145"/>
      <c r="W124" s="139"/>
      <c r="X124" s="139"/>
      <c r="Y124" s="139"/>
      <c r="Z124" s="139"/>
      <c r="AA124" s="139"/>
      <c r="AI124" s="137"/>
      <c r="AJ124" s="137"/>
      <c r="AK124" s="137"/>
      <c r="AL124" s="137"/>
      <c r="AM124" s="137"/>
      <c r="AN124" s="137"/>
      <c r="AO124" s="137"/>
    </row>
    <row r="125" spans="2:41" x14ac:dyDescent="0.2">
      <c r="B125" s="139"/>
      <c r="C125" s="139"/>
      <c r="D125" s="141"/>
      <c r="E125" s="142"/>
      <c r="F125" s="142"/>
      <c r="G125" s="1018" t="s">
        <v>1068</v>
      </c>
      <c r="H125" s="1018"/>
      <c r="I125" s="142"/>
      <c r="J125" s="142"/>
      <c r="K125" s="142"/>
      <c r="L125" s="143"/>
      <c r="M125" s="143"/>
      <c r="N125" s="143"/>
      <c r="O125" s="143"/>
      <c r="P125" s="143"/>
      <c r="Q125" s="143"/>
      <c r="R125" s="143"/>
      <c r="S125" s="143"/>
      <c r="T125" s="143"/>
      <c r="U125" s="139"/>
      <c r="V125" s="145"/>
      <c r="W125" s="139"/>
      <c r="X125" s="139"/>
      <c r="Y125" s="139"/>
      <c r="Z125" s="139"/>
      <c r="AA125" s="139"/>
      <c r="AI125" s="137"/>
      <c r="AJ125" s="137"/>
      <c r="AK125" s="137"/>
      <c r="AL125" s="137"/>
      <c r="AM125" s="137"/>
      <c r="AN125" s="137"/>
      <c r="AO125" s="137"/>
    </row>
    <row r="126" spans="2:41" x14ac:dyDescent="0.2">
      <c r="B126" s="139"/>
      <c r="C126" s="139"/>
      <c r="D126" s="141"/>
      <c r="E126" s="142"/>
      <c r="F126" s="142"/>
      <c r="G126" s="817" t="s">
        <v>89</v>
      </c>
      <c r="H126" s="817" t="s">
        <v>88</v>
      </c>
      <c r="I126" s="142"/>
      <c r="J126" s="142"/>
      <c r="K126" s="142"/>
      <c r="L126" s="143"/>
      <c r="M126" s="143"/>
      <c r="N126" s="143"/>
      <c r="O126" s="143"/>
      <c r="P126" s="143"/>
      <c r="Q126" s="143"/>
      <c r="R126" s="143"/>
      <c r="S126" s="143"/>
      <c r="T126" s="143"/>
      <c r="U126" s="139"/>
      <c r="V126" s="145"/>
      <c r="W126" s="139"/>
      <c r="X126" s="139"/>
      <c r="Y126" s="139"/>
      <c r="Z126" s="139"/>
      <c r="AA126" s="139"/>
      <c r="AI126" s="137"/>
      <c r="AJ126" s="137"/>
      <c r="AK126" s="137"/>
      <c r="AL126" s="137"/>
      <c r="AM126" s="137"/>
      <c r="AN126" s="137"/>
      <c r="AO126" s="137"/>
    </row>
    <row r="127" spans="2:41" x14ac:dyDescent="0.2">
      <c r="B127" s="139"/>
      <c r="C127" s="139"/>
      <c r="D127" s="141"/>
      <c r="E127" s="142"/>
      <c r="F127" s="142"/>
      <c r="G127" s="810"/>
      <c r="H127" s="810">
        <f>G127</f>
        <v>0</v>
      </c>
      <c r="I127" s="142" t="s">
        <v>545</v>
      </c>
      <c r="J127" s="142"/>
      <c r="K127" s="142"/>
      <c r="L127" s="143"/>
      <c r="M127" s="143"/>
      <c r="N127" s="143"/>
      <c r="O127" s="143"/>
      <c r="P127" s="143"/>
      <c r="Q127" s="143"/>
      <c r="R127" s="143"/>
      <c r="S127" s="143"/>
      <c r="T127" s="143"/>
      <c r="U127" s="139"/>
      <c r="V127" s="145"/>
      <c r="W127" s="139"/>
      <c r="X127" s="139"/>
      <c r="Y127" s="139"/>
      <c r="Z127" s="139"/>
      <c r="AA127" s="139"/>
      <c r="AI127" s="137"/>
      <c r="AJ127" s="137"/>
      <c r="AK127" s="137"/>
      <c r="AL127" s="137"/>
      <c r="AM127" s="137"/>
      <c r="AN127" s="137"/>
      <c r="AO127" s="137"/>
    </row>
    <row r="128" spans="2:41" x14ac:dyDescent="0.2">
      <c r="B128" s="139"/>
      <c r="C128" s="139"/>
      <c r="D128" s="141"/>
      <c r="E128" s="142"/>
      <c r="F128" s="142"/>
      <c r="G128" s="142"/>
      <c r="H128" s="142"/>
      <c r="I128" s="142"/>
      <c r="J128" s="142"/>
      <c r="K128" s="142"/>
      <c r="L128" s="143"/>
      <c r="M128" s="143"/>
      <c r="N128" s="143"/>
      <c r="O128" s="143"/>
      <c r="P128" s="143"/>
      <c r="Q128" s="143"/>
      <c r="R128" s="143"/>
      <c r="S128" s="143"/>
      <c r="T128" s="143"/>
      <c r="U128" s="139"/>
      <c r="V128" s="145"/>
      <c r="W128" s="139"/>
      <c r="X128" s="139"/>
      <c r="Y128" s="1018" t="s">
        <v>1067</v>
      </c>
      <c r="Z128" s="1018"/>
      <c r="AA128" s="139"/>
      <c r="AI128" s="137"/>
      <c r="AJ128" s="137"/>
      <c r="AK128" s="137"/>
      <c r="AL128" s="137"/>
      <c r="AM128" s="137"/>
      <c r="AN128" s="137"/>
      <c r="AO128" s="137"/>
    </row>
    <row r="129" spans="2:41" x14ac:dyDescent="0.2">
      <c r="B129" s="139"/>
      <c r="C129" s="139"/>
      <c r="D129" s="141"/>
      <c r="E129" s="142"/>
      <c r="F129" s="142"/>
      <c r="G129" s="142"/>
      <c r="H129" s="142"/>
      <c r="I129" s="142"/>
      <c r="J129" s="142"/>
      <c r="K129" s="142"/>
      <c r="L129" s="143"/>
      <c r="M129" s="143"/>
      <c r="N129" s="143"/>
      <c r="O129" s="143"/>
      <c r="P129" s="143"/>
      <c r="Q129" s="143"/>
      <c r="R129" s="143"/>
      <c r="S129" s="143"/>
      <c r="T129" s="143"/>
      <c r="U129" s="139"/>
      <c r="V129" s="145"/>
      <c r="W129" s="139"/>
      <c r="X129" s="139"/>
      <c r="Y129" s="817" t="s">
        <v>89</v>
      </c>
      <c r="Z129" s="817" t="s">
        <v>88</v>
      </c>
      <c r="AA129" s="139"/>
      <c r="AI129" s="137"/>
      <c r="AJ129" s="137"/>
      <c r="AK129" s="137"/>
      <c r="AL129" s="137"/>
      <c r="AM129" s="137"/>
      <c r="AN129" s="137"/>
      <c r="AO129" s="137"/>
    </row>
    <row r="130" spans="2:41" x14ac:dyDescent="0.2">
      <c r="B130" s="139"/>
      <c r="C130" s="139"/>
      <c r="D130" s="141"/>
      <c r="E130" s="142"/>
      <c r="F130" s="142"/>
      <c r="G130" s="142"/>
      <c r="H130" s="142"/>
      <c r="I130" s="142"/>
      <c r="J130" s="142"/>
      <c r="K130" s="142"/>
      <c r="L130" s="143"/>
      <c r="M130" s="143"/>
      <c r="N130" s="143"/>
      <c r="O130" s="143"/>
      <c r="P130" s="143"/>
      <c r="Q130" s="143"/>
      <c r="R130" s="143"/>
      <c r="S130" s="143"/>
      <c r="T130" s="143"/>
      <c r="U130" s="139"/>
      <c r="V130" s="145"/>
      <c r="W130" s="139"/>
      <c r="X130" s="139"/>
      <c r="Y130" s="810"/>
      <c r="Z130" s="810">
        <f>Y130</f>
        <v>0</v>
      </c>
      <c r="AA130" s="809" t="s">
        <v>545</v>
      </c>
      <c r="AI130" s="137"/>
      <c r="AJ130" s="137"/>
      <c r="AK130" s="137"/>
      <c r="AL130" s="137"/>
      <c r="AM130" s="137"/>
      <c r="AN130" s="137"/>
      <c r="AO130" s="137"/>
    </row>
    <row r="131" spans="2:41" x14ac:dyDescent="0.2">
      <c r="B131" s="139"/>
      <c r="C131" s="139"/>
      <c r="D131" s="141"/>
      <c r="E131" s="142"/>
      <c r="F131" s="142"/>
      <c r="G131" s="142"/>
      <c r="H131" s="142"/>
      <c r="I131" s="142"/>
      <c r="J131" s="142"/>
      <c r="K131" s="142"/>
      <c r="L131" s="143"/>
      <c r="M131" s="143"/>
      <c r="N131" s="143"/>
      <c r="O131" s="143"/>
      <c r="P131" s="143"/>
      <c r="Q131" s="143"/>
      <c r="R131" s="143"/>
      <c r="S131" s="143"/>
      <c r="T131" s="143"/>
      <c r="U131" s="139"/>
      <c r="V131" s="145"/>
      <c r="W131" s="139"/>
      <c r="X131" s="139"/>
      <c r="Y131" s="139"/>
      <c r="Z131" s="139"/>
      <c r="AA131" s="139"/>
      <c r="AI131" s="137"/>
      <c r="AJ131" s="137"/>
      <c r="AK131" s="137"/>
      <c r="AL131" s="137"/>
      <c r="AM131" s="137"/>
      <c r="AN131" s="137"/>
      <c r="AO131" s="137"/>
    </row>
    <row r="132" spans="2:41" x14ac:dyDescent="0.2">
      <c r="B132" s="139"/>
      <c r="C132"/>
      <c r="D132"/>
      <c r="E132" s="142"/>
      <c r="F132" s="142"/>
      <c r="G132" s="142"/>
      <c r="H132" s="142"/>
      <c r="I132" s="142"/>
      <c r="J132" s="142"/>
      <c r="K132" s="142"/>
      <c r="L132" s="143"/>
      <c r="M132" s="143"/>
      <c r="N132" s="143"/>
      <c r="O132" s="143"/>
      <c r="P132" s="143"/>
      <c r="Q132" s="143"/>
      <c r="R132" s="143"/>
      <c r="S132" s="143"/>
      <c r="T132" s="143"/>
      <c r="U132" s="139"/>
      <c r="V132" s="145"/>
      <c r="W132" s="139"/>
      <c r="X132" s="139"/>
      <c r="Y132" s="139"/>
      <c r="Z132" s="139"/>
      <c r="AA132" s="139"/>
      <c r="AI132" s="137"/>
      <c r="AJ132" s="137"/>
      <c r="AK132" s="137"/>
      <c r="AL132" s="137"/>
      <c r="AM132" s="137"/>
      <c r="AN132" s="137"/>
      <c r="AO132" s="137"/>
    </row>
    <row r="133" spans="2:41" x14ac:dyDescent="0.2">
      <c r="B133" s="139"/>
      <c r="C133" s="139"/>
      <c r="D133" s="141"/>
      <c r="E133" s="142"/>
      <c r="F133" s="142"/>
      <c r="G133" s="142"/>
      <c r="H133" s="142"/>
      <c r="I133" s="142"/>
      <c r="J133" s="142"/>
      <c r="K133" s="142"/>
      <c r="L133" s="143"/>
      <c r="M133" s="143"/>
      <c r="N133" s="143"/>
      <c r="O133" s="143"/>
      <c r="P133" s="143"/>
      <c r="Q133" s="143"/>
      <c r="R133" s="143"/>
      <c r="S133" s="143"/>
      <c r="T133" s="143"/>
      <c r="U133" s="139"/>
      <c r="V133" s="145"/>
      <c r="W133" s="139"/>
      <c r="X133" s="139"/>
      <c r="Y133" s="139"/>
      <c r="Z133" s="139"/>
      <c r="AA133" s="139"/>
      <c r="AI133" s="137"/>
      <c r="AJ133" s="137"/>
      <c r="AK133" s="137"/>
      <c r="AL133" s="137"/>
      <c r="AM133" s="137"/>
      <c r="AN133" s="137"/>
      <c r="AO133" s="137"/>
    </row>
    <row r="134" spans="2:41" x14ac:dyDescent="0.2">
      <c r="B134" s="139"/>
      <c r="C134" s="139"/>
      <c r="D134" s="141"/>
      <c r="E134" s="142"/>
      <c r="F134" s="142"/>
      <c r="G134" s="1007" t="s">
        <v>1087</v>
      </c>
      <c r="H134" s="1007"/>
      <c r="I134" s="1007"/>
      <c r="J134" s="1007"/>
      <c r="K134" s="142"/>
      <c r="L134" s="143"/>
      <c r="M134" s="143"/>
      <c r="N134" s="143"/>
      <c r="O134" s="143"/>
      <c r="P134" s="143"/>
      <c r="Q134" s="143"/>
      <c r="R134" s="143"/>
      <c r="S134" s="143"/>
      <c r="T134" s="143"/>
      <c r="U134" s="139"/>
      <c r="V134" s="145"/>
      <c r="W134" s="139"/>
      <c r="X134" s="139"/>
      <c r="Y134" s="139"/>
      <c r="Z134" s="139"/>
      <c r="AA134" s="139"/>
      <c r="AI134" s="137"/>
      <c r="AJ134" s="137"/>
      <c r="AK134" s="137"/>
      <c r="AL134" s="137"/>
      <c r="AM134" s="137"/>
      <c r="AN134" s="137"/>
      <c r="AO134" s="137"/>
    </row>
    <row r="135" spans="2:41" x14ac:dyDescent="0.2">
      <c r="B135" s="139"/>
      <c r="C135" s="139"/>
      <c r="D135" s="141"/>
      <c r="E135" s="142"/>
      <c r="F135" s="142"/>
      <c r="G135" s="1006" t="s">
        <v>89</v>
      </c>
      <c r="H135" s="1006"/>
      <c r="I135" s="1034" t="s">
        <v>88</v>
      </c>
      <c r="J135" s="1034"/>
      <c r="K135" s="142"/>
      <c r="L135" s="143"/>
      <c r="M135" s="143"/>
      <c r="N135" s="143"/>
      <c r="O135" s="143"/>
      <c r="P135" s="143"/>
      <c r="Q135" s="143"/>
      <c r="R135" s="143"/>
      <c r="S135" s="143"/>
      <c r="T135" s="143"/>
      <c r="U135" s="139"/>
      <c r="V135" s="145"/>
      <c r="W135" s="139"/>
      <c r="X135" s="1018" t="s">
        <v>1066</v>
      </c>
      <c r="Y135" s="1018"/>
      <c r="Z135" s="139"/>
      <c r="AA135" s="139"/>
      <c r="AI135" s="137"/>
      <c r="AJ135" s="137"/>
      <c r="AK135" s="137"/>
      <c r="AL135" s="137"/>
      <c r="AM135" s="137"/>
      <c r="AN135" s="137"/>
      <c r="AO135" s="137"/>
    </row>
    <row r="136" spans="2:41" x14ac:dyDescent="0.2">
      <c r="B136" s="139"/>
      <c r="C136" s="139"/>
      <c r="D136" s="141"/>
      <c r="E136" s="142"/>
      <c r="F136" s="142"/>
      <c r="G136" s="1020"/>
      <c r="H136" s="1020"/>
      <c r="I136" s="1020">
        <f>G136</f>
        <v>0</v>
      </c>
      <c r="J136" s="1020"/>
      <c r="K136" s="142"/>
      <c r="L136" s="143"/>
      <c r="M136" s="143"/>
      <c r="N136" s="143"/>
      <c r="O136" s="143"/>
      <c r="P136" s="143"/>
      <c r="Q136" s="143"/>
      <c r="R136" s="143"/>
      <c r="S136" s="143"/>
      <c r="T136" s="143"/>
      <c r="U136" s="139"/>
      <c r="V136" s="145"/>
      <c r="W136" s="139"/>
      <c r="X136" s="817" t="s">
        <v>89</v>
      </c>
      <c r="Y136" s="817" t="s">
        <v>88</v>
      </c>
      <c r="Z136" s="139"/>
      <c r="AA136" s="139"/>
      <c r="AI136" s="137"/>
      <c r="AJ136" s="137"/>
      <c r="AK136" s="137"/>
      <c r="AL136" s="137"/>
      <c r="AM136" s="137"/>
      <c r="AN136" s="137"/>
      <c r="AO136" s="137"/>
    </row>
    <row r="137" spans="2:41" x14ac:dyDescent="0.2">
      <c r="B137" s="139"/>
      <c r="C137" s="139"/>
      <c r="D137" s="141"/>
      <c r="E137" s="142"/>
      <c r="F137" s="142"/>
      <c r="G137" s="142"/>
      <c r="H137" s="142"/>
      <c r="I137" s="142"/>
      <c r="J137" s="142"/>
      <c r="K137" s="142"/>
      <c r="L137" s="143"/>
      <c r="M137" s="143"/>
      <c r="N137" s="143"/>
      <c r="O137" s="143"/>
      <c r="P137" s="143"/>
      <c r="Q137" s="143"/>
      <c r="R137" s="143"/>
      <c r="S137" s="143"/>
      <c r="T137" s="143"/>
      <c r="U137" s="139"/>
      <c r="V137" s="145"/>
      <c r="W137" s="139"/>
      <c r="X137" s="810"/>
      <c r="Y137" s="810">
        <f>X137</f>
        <v>0</v>
      </c>
      <c r="Z137" s="809" t="s">
        <v>545</v>
      </c>
      <c r="AA137" s="139"/>
      <c r="AI137" s="137"/>
      <c r="AJ137" s="137"/>
      <c r="AK137" s="137"/>
      <c r="AL137" s="137"/>
      <c r="AM137" s="137"/>
      <c r="AN137" s="137"/>
      <c r="AO137" s="137"/>
    </row>
    <row r="138" spans="2:41" x14ac:dyDescent="0.2">
      <c r="B138" s="139"/>
      <c r="C138" s="139"/>
      <c r="D138" s="141"/>
      <c r="E138" s="142"/>
      <c r="F138" s="142"/>
      <c r="G138" s="142"/>
      <c r="H138" s="142"/>
      <c r="I138" s="142"/>
      <c r="J138" s="142"/>
      <c r="K138" s="142"/>
      <c r="L138" s="143"/>
      <c r="M138" s="143"/>
      <c r="N138" s="143"/>
      <c r="O138" s="143"/>
      <c r="P138" s="143"/>
      <c r="Q138" s="143"/>
      <c r="R138" s="143"/>
      <c r="S138" s="143"/>
      <c r="T138" s="143"/>
      <c r="U138" s="139"/>
      <c r="V138" s="145"/>
      <c r="W138" s="139"/>
      <c r="X138" s="139"/>
      <c r="Y138" s="139"/>
      <c r="Z138" s="139"/>
      <c r="AA138" s="139"/>
      <c r="AI138" s="137"/>
      <c r="AJ138" s="137"/>
      <c r="AK138" s="137"/>
      <c r="AL138" s="137"/>
      <c r="AM138" s="137"/>
      <c r="AN138" s="137"/>
      <c r="AO138" s="137"/>
    </row>
    <row r="139" spans="2:41" x14ac:dyDescent="0.2">
      <c r="B139" s="139"/>
      <c r="C139" s="139"/>
      <c r="D139" s="141"/>
      <c r="E139" s="142"/>
      <c r="F139" s="142"/>
      <c r="G139" s="142"/>
      <c r="H139" s="142"/>
      <c r="I139" s="142"/>
      <c r="J139" s="142"/>
      <c r="K139" s="142"/>
      <c r="L139" s="143"/>
      <c r="M139" s="143"/>
      <c r="N139" s="143"/>
      <c r="O139" s="143"/>
      <c r="P139" s="143"/>
      <c r="Q139" s="143"/>
      <c r="R139" s="143"/>
      <c r="S139" s="143"/>
      <c r="T139" s="143"/>
      <c r="U139" s="139"/>
      <c r="V139" s="145"/>
      <c r="W139" s="139"/>
      <c r="X139" s="139"/>
      <c r="Y139" s="139"/>
      <c r="Z139" s="139"/>
      <c r="AA139" s="139"/>
      <c r="AI139" s="137"/>
      <c r="AJ139" s="137"/>
      <c r="AK139" s="137"/>
      <c r="AL139" s="137"/>
      <c r="AM139" s="137"/>
      <c r="AN139" s="137"/>
      <c r="AO139" s="137"/>
    </row>
    <row r="140" spans="2:41" x14ac:dyDescent="0.2">
      <c r="B140" s="139"/>
      <c r="C140" s="139"/>
      <c r="D140" s="141"/>
      <c r="E140" s="142"/>
      <c r="F140" s="142"/>
      <c r="G140" s="142"/>
      <c r="H140" s="142"/>
      <c r="I140" s="142"/>
      <c r="J140" s="142"/>
      <c r="K140" s="142"/>
      <c r="L140" s="143"/>
      <c r="M140" s="143"/>
      <c r="N140" s="143"/>
      <c r="O140" s="143"/>
      <c r="P140" s="143"/>
      <c r="Q140" s="143"/>
      <c r="R140" s="143"/>
      <c r="S140" s="143"/>
      <c r="T140" s="143"/>
      <c r="U140" s="139"/>
      <c r="V140" s="145"/>
      <c r="W140" s="139"/>
      <c r="X140" s="139"/>
      <c r="Y140" s="139"/>
      <c r="Z140" s="139"/>
      <c r="AA140" s="139"/>
      <c r="AI140" s="137"/>
      <c r="AJ140" s="137"/>
      <c r="AK140" s="137"/>
      <c r="AL140" s="137"/>
      <c r="AM140" s="137"/>
      <c r="AN140" s="137"/>
      <c r="AO140" s="137"/>
    </row>
    <row r="141" spans="2:41" x14ac:dyDescent="0.2">
      <c r="B141" s="139"/>
      <c r="C141" s="139"/>
      <c r="D141" s="847" t="s">
        <v>1061</v>
      </c>
      <c r="E141" s="815"/>
      <c r="F141" s="815"/>
      <c r="G141" s="815"/>
      <c r="H141" s="815"/>
      <c r="I141" s="815"/>
      <c r="J141" s="815"/>
      <c r="K141" s="815"/>
      <c r="L141" s="815"/>
      <c r="M141" s="815"/>
      <c r="N141" s="815"/>
      <c r="O141" s="815"/>
      <c r="P141" s="815"/>
      <c r="Q141" s="815"/>
      <c r="R141" s="815"/>
      <c r="S141" s="815"/>
      <c r="T141" s="815"/>
      <c r="U141" s="811"/>
      <c r="V141" s="816"/>
      <c r="W141" s="811"/>
      <c r="X141" s="811"/>
      <c r="Y141" s="811"/>
      <c r="Z141" s="811"/>
      <c r="AA141" s="139"/>
      <c r="AI141" s="137"/>
      <c r="AJ141" s="137"/>
      <c r="AK141" s="137"/>
      <c r="AL141" s="137"/>
      <c r="AM141" s="137"/>
      <c r="AN141" s="137"/>
      <c r="AO141" s="137"/>
    </row>
    <row r="142" spans="2:41" ht="15" x14ac:dyDescent="0.25">
      <c r="B142" s="139"/>
      <c r="C142" s="139"/>
      <c r="D142" s="841"/>
      <c r="E142" s="143"/>
      <c r="F142" s="143"/>
      <c r="G142" s="143"/>
      <c r="H142" s="143"/>
      <c r="I142" s="143"/>
      <c r="J142" s="143"/>
      <c r="K142" s="143"/>
      <c r="L142" s="143"/>
      <c r="M142" s="143"/>
      <c r="N142" s="143"/>
      <c r="O142" s="143"/>
      <c r="P142" s="143"/>
      <c r="Q142" s="143"/>
      <c r="R142" s="143"/>
      <c r="S142" s="143"/>
      <c r="T142" s="143"/>
      <c r="U142" s="144"/>
      <c r="V142" s="842"/>
      <c r="W142" s="144"/>
      <c r="X142" s="139"/>
      <c r="Y142" s="139"/>
      <c r="Z142" s="139"/>
      <c r="AA142" s="139"/>
      <c r="AI142" s="137"/>
      <c r="AJ142" s="137"/>
      <c r="AK142" s="137"/>
      <c r="AL142" s="137"/>
      <c r="AM142" s="137"/>
      <c r="AN142" s="137"/>
      <c r="AO142" s="137"/>
    </row>
    <row r="143" spans="2:41" ht="15" x14ac:dyDescent="0.25">
      <c r="B143" s="139"/>
      <c r="C143" s="139"/>
      <c r="D143" s="841"/>
      <c r="E143" s="143"/>
      <c r="F143" s="143"/>
      <c r="G143" s="143"/>
      <c r="H143" s="143"/>
      <c r="I143" s="143"/>
      <c r="J143" s="143"/>
      <c r="K143" s="143"/>
      <c r="L143" s="143"/>
      <c r="M143" s="143"/>
      <c r="N143" s="143"/>
      <c r="O143" s="143"/>
      <c r="P143" s="143"/>
      <c r="Q143" s="143"/>
      <c r="R143" s="143"/>
      <c r="S143" s="143"/>
      <c r="T143" s="143"/>
      <c r="U143" s="144"/>
      <c r="V143" s="842"/>
      <c r="W143" s="144"/>
      <c r="X143" s="139"/>
      <c r="Y143" s="139"/>
      <c r="Z143" s="139"/>
      <c r="AA143" s="139"/>
      <c r="AI143" s="137"/>
      <c r="AJ143" s="137"/>
      <c r="AK143" s="137"/>
      <c r="AL143" s="137"/>
      <c r="AM143" s="137"/>
      <c r="AN143" s="137"/>
      <c r="AO143" s="137"/>
    </row>
    <row r="144" spans="2:41" ht="15" x14ac:dyDescent="0.25">
      <c r="B144" s="139"/>
      <c r="C144" s="139"/>
      <c r="D144" s="841"/>
      <c r="E144" s="143"/>
      <c r="F144" s="143"/>
      <c r="G144" s="143"/>
      <c r="H144" s="143"/>
      <c r="I144" s="143"/>
      <c r="J144" s="143"/>
      <c r="K144" s="143"/>
      <c r="L144" s="143"/>
      <c r="M144" s="143"/>
      <c r="N144" s="143"/>
      <c r="O144" s="143"/>
      <c r="P144" s="143"/>
      <c r="Q144" s="143"/>
      <c r="R144" s="143"/>
      <c r="S144" s="143"/>
      <c r="T144" s="143"/>
      <c r="U144" s="144"/>
      <c r="V144" s="842"/>
      <c r="W144" s="144"/>
      <c r="X144" s="139"/>
      <c r="Y144" s="139"/>
      <c r="Z144" s="139"/>
      <c r="AA144" s="139"/>
      <c r="AI144" s="137"/>
      <c r="AJ144" s="137"/>
      <c r="AK144" s="137"/>
      <c r="AL144" s="137"/>
      <c r="AM144" s="137"/>
      <c r="AN144" s="137"/>
      <c r="AO144" s="137"/>
    </row>
    <row r="145" spans="2:41" ht="15" x14ac:dyDescent="0.25">
      <c r="B145" s="139"/>
      <c r="C145" s="139"/>
      <c r="D145" s="841"/>
      <c r="E145" s="143"/>
      <c r="F145" s="143"/>
      <c r="G145" s="143"/>
      <c r="H145" s="143"/>
      <c r="I145" s="143"/>
      <c r="J145" s="143"/>
      <c r="K145" s="143"/>
      <c r="L145" s="143"/>
      <c r="M145" s="143"/>
      <c r="N145" s="143"/>
      <c r="O145" s="143"/>
      <c r="P145" s="143"/>
      <c r="Q145" s="143"/>
      <c r="R145" s="143"/>
      <c r="S145" s="143"/>
      <c r="T145" s="143"/>
      <c r="U145" s="144"/>
      <c r="V145" s="842"/>
      <c r="W145" s="144"/>
      <c r="X145" s="139"/>
      <c r="Y145" s="139"/>
      <c r="Z145" s="139"/>
      <c r="AA145" s="139"/>
      <c r="AI145" s="137"/>
      <c r="AJ145" s="137"/>
      <c r="AK145" s="137"/>
      <c r="AL145" s="137"/>
      <c r="AM145" s="137"/>
      <c r="AN145" s="137"/>
      <c r="AO145" s="137"/>
    </row>
    <row r="146" spans="2:41" ht="15" x14ac:dyDescent="0.25">
      <c r="B146" s="139"/>
      <c r="C146" s="139"/>
      <c r="D146" s="841"/>
      <c r="E146" s="143"/>
      <c r="F146" s="143"/>
      <c r="G146" s="143"/>
      <c r="H146" s="143"/>
      <c r="I146" s="143"/>
      <c r="J146" s="143"/>
      <c r="K146" s="143"/>
      <c r="L146" s="143"/>
      <c r="M146" s="143"/>
      <c r="N146" s="143"/>
      <c r="O146" s="143"/>
      <c r="P146" s="143"/>
      <c r="Q146" s="143"/>
      <c r="R146" s="143"/>
      <c r="S146" s="143"/>
      <c r="T146" s="143"/>
      <c r="U146" s="144"/>
      <c r="V146" s="842"/>
      <c r="W146" s="144"/>
      <c r="X146" s="139"/>
      <c r="Y146" s="139"/>
      <c r="Z146" s="139"/>
      <c r="AA146" s="139"/>
      <c r="AI146" s="137"/>
      <c r="AJ146" s="137"/>
      <c r="AK146" s="137"/>
      <c r="AL146" s="137"/>
      <c r="AM146" s="137"/>
      <c r="AN146" s="137"/>
      <c r="AO146" s="137"/>
    </row>
    <row r="147" spans="2:41" ht="15" x14ac:dyDescent="0.25">
      <c r="B147" s="139"/>
      <c r="C147" s="139"/>
      <c r="D147" s="841"/>
      <c r="E147" s="143"/>
      <c r="F147" s="143"/>
      <c r="G147" s="143"/>
      <c r="H147" s="143"/>
      <c r="I147" s="143"/>
      <c r="J147" s="143"/>
      <c r="K147" s="143"/>
      <c r="L147" s="143"/>
      <c r="M147" s="143"/>
      <c r="N147" s="143"/>
      <c r="O147" s="143"/>
      <c r="P147" s="143"/>
      <c r="Q147" s="143"/>
      <c r="R147" s="143"/>
      <c r="S147" s="143"/>
      <c r="T147" s="143"/>
      <c r="U147" s="144"/>
      <c r="V147" s="842"/>
      <c r="W147" s="144"/>
      <c r="X147" s="139"/>
      <c r="Y147" s="139"/>
      <c r="Z147" s="139"/>
      <c r="AA147" s="139"/>
      <c r="AI147" s="137"/>
      <c r="AJ147" s="137"/>
      <c r="AK147" s="137"/>
      <c r="AL147" s="137"/>
      <c r="AM147" s="137"/>
      <c r="AN147" s="137"/>
      <c r="AO147" s="137"/>
    </row>
    <row r="148" spans="2:41" ht="15" x14ac:dyDescent="0.25">
      <c r="B148" s="139"/>
      <c r="C148" s="139"/>
      <c r="D148" s="841"/>
      <c r="E148" s="143"/>
      <c r="F148" s="143"/>
      <c r="G148" s="143"/>
      <c r="H148" s="143"/>
      <c r="I148" s="143"/>
      <c r="J148" s="143"/>
      <c r="K148" s="143"/>
      <c r="L148" s="143"/>
      <c r="M148" s="143"/>
      <c r="N148" s="143"/>
      <c r="O148" s="143"/>
      <c r="P148" s="143"/>
      <c r="Q148" s="143"/>
      <c r="R148" s="143"/>
      <c r="S148" s="143"/>
      <c r="T148" s="143"/>
      <c r="U148" s="144"/>
      <c r="V148" s="842"/>
      <c r="W148" s="144"/>
      <c r="X148" s="139"/>
      <c r="Y148" s="139"/>
      <c r="Z148" s="139"/>
      <c r="AA148" s="139"/>
      <c r="AI148" s="137"/>
      <c r="AJ148" s="137"/>
      <c r="AK148" s="137"/>
      <c r="AL148" s="137"/>
      <c r="AM148" s="137"/>
      <c r="AN148" s="137"/>
      <c r="AO148" s="137"/>
    </row>
    <row r="149" spans="2:41" ht="15" x14ac:dyDescent="0.25">
      <c r="B149" s="139"/>
      <c r="C149" s="139"/>
      <c r="D149" s="841"/>
      <c r="E149" s="143"/>
      <c r="F149" s="143"/>
      <c r="G149" s="143"/>
      <c r="H149" s="143"/>
      <c r="I149" s="143"/>
      <c r="J149" s="143"/>
      <c r="K149" s="143"/>
      <c r="L149" s="143"/>
      <c r="M149" s="143"/>
      <c r="N149" s="143"/>
      <c r="O149" s="143"/>
      <c r="P149" s="143"/>
      <c r="Q149" s="143"/>
      <c r="R149" s="143"/>
      <c r="S149" s="143"/>
      <c r="T149" s="143"/>
      <c r="U149" s="144"/>
      <c r="V149" s="842"/>
      <c r="W149" s="144"/>
      <c r="X149" s="139"/>
      <c r="Y149" s="139"/>
      <c r="Z149" s="139"/>
      <c r="AA149" s="139"/>
      <c r="AI149" s="137"/>
      <c r="AJ149" s="137"/>
      <c r="AK149" s="137"/>
      <c r="AL149" s="137"/>
      <c r="AM149" s="137"/>
      <c r="AN149" s="137"/>
      <c r="AO149" s="137"/>
    </row>
    <row r="150" spans="2:41" ht="15" x14ac:dyDescent="0.25">
      <c r="B150" s="139"/>
      <c r="C150" s="139"/>
      <c r="D150" s="841"/>
      <c r="E150" s="143"/>
      <c r="F150" s="143"/>
      <c r="G150" s="143"/>
      <c r="H150" s="143"/>
      <c r="I150" s="143"/>
      <c r="J150" s="143"/>
      <c r="K150" s="143"/>
      <c r="L150" s="143"/>
      <c r="M150" s="143"/>
      <c r="N150" s="143"/>
      <c r="O150" s="143"/>
      <c r="P150" s="143"/>
      <c r="Q150" s="143"/>
      <c r="R150" s="143"/>
      <c r="S150" s="143"/>
      <c r="T150" s="143"/>
      <c r="U150" s="144"/>
      <c r="V150" s="842"/>
      <c r="W150" s="144"/>
      <c r="X150" s="139"/>
      <c r="Y150" s="139"/>
      <c r="Z150" s="139"/>
      <c r="AA150" s="139"/>
      <c r="AI150" s="137"/>
      <c r="AJ150" s="137"/>
      <c r="AK150" s="137"/>
      <c r="AL150" s="137"/>
      <c r="AM150" s="137"/>
      <c r="AN150" s="137"/>
      <c r="AO150" s="137"/>
    </row>
    <row r="151" spans="2:41" ht="15" x14ac:dyDescent="0.25">
      <c r="B151" s="139"/>
      <c r="C151" s="139"/>
      <c r="D151" s="841"/>
      <c r="E151" s="143"/>
      <c r="F151" s="143"/>
      <c r="G151" s="143"/>
      <c r="H151" s="143"/>
      <c r="I151" s="143"/>
      <c r="J151" s="143"/>
      <c r="K151" s="143"/>
      <c r="L151" s="143"/>
      <c r="M151" s="143"/>
      <c r="N151" s="143"/>
      <c r="O151" s="143"/>
      <c r="P151" s="143"/>
      <c r="Q151" s="143"/>
      <c r="R151" s="143"/>
      <c r="S151" s="143"/>
      <c r="T151" s="143"/>
      <c r="U151" s="144"/>
      <c r="V151" s="842"/>
      <c r="W151" s="144"/>
      <c r="X151" s="139"/>
      <c r="Y151" s="139"/>
      <c r="Z151" s="139"/>
      <c r="AA151" s="139"/>
      <c r="AI151" s="137"/>
      <c r="AJ151" s="137"/>
      <c r="AK151" s="137"/>
      <c r="AL151" s="137"/>
      <c r="AM151" s="137"/>
      <c r="AN151" s="137"/>
      <c r="AO151" s="137"/>
    </row>
    <row r="152" spans="2:41" ht="15" x14ac:dyDescent="0.25">
      <c r="B152" s="139"/>
      <c r="C152" s="139"/>
      <c r="D152" s="841"/>
      <c r="E152" s="143"/>
      <c r="F152" s="143"/>
      <c r="G152" s="143"/>
      <c r="H152" s="143"/>
      <c r="I152" s="143"/>
      <c r="J152" s="143"/>
      <c r="K152" s="143"/>
      <c r="L152" s="143"/>
      <c r="M152" s="143"/>
      <c r="N152" s="143"/>
      <c r="O152" s="143"/>
      <c r="P152" s="143"/>
      <c r="Q152" s="143"/>
      <c r="R152" s="143"/>
      <c r="S152" s="143"/>
      <c r="T152" s="143"/>
      <c r="U152" s="144"/>
      <c r="V152" s="842"/>
      <c r="W152" s="144"/>
      <c r="X152" s="139"/>
      <c r="Y152" s="139"/>
      <c r="Z152" s="139"/>
      <c r="AA152" s="139"/>
      <c r="AI152" s="137"/>
      <c r="AJ152" s="137"/>
      <c r="AK152" s="137"/>
      <c r="AL152" s="137"/>
      <c r="AM152" s="137"/>
      <c r="AN152" s="137"/>
      <c r="AO152" s="137"/>
    </row>
    <row r="153" spans="2:41" ht="15" x14ac:dyDescent="0.25">
      <c r="B153" s="139"/>
      <c r="C153" s="139"/>
      <c r="D153" s="841"/>
      <c r="E153" s="143"/>
      <c r="F153" s="143"/>
      <c r="G153" s="143"/>
      <c r="H153" s="143"/>
      <c r="I153" s="143"/>
      <c r="J153" s="143"/>
      <c r="K153" s="143"/>
      <c r="L153" s="143"/>
      <c r="M153" s="143"/>
      <c r="N153" s="143"/>
      <c r="O153" s="143"/>
      <c r="P153" s="143"/>
      <c r="Q153" s="143"/>
      <c r="R153" s="143"/>
      <c r="S153" s="143"/>
      <c r="T153" s="143"/>
      <c r="U153" s="144"/>
      <c r="V153" s="842"/>
      <c r="W153" s="144"/>
      <c r="X153" s="139"/>
      <c r="Y153" s="139"/>
      <c r="Z153" s="139"/>
      <c r="AA153" s="139"/>
      <c r="AI153" s="137"/>
      <c r="AJ153" s="137"/>
      <c r="AK153" s="137"/>
      <c r="AL153" s="137"/>
      <c r="AM153" s="137"/>
      <c r="AN153" s="137"/>
      <c r="AO153" s="137"/>
    </row>
    <row r="154" spans="2:41" ht="15" x14ac:dyDescent="0.25">
      <c r="B154" s="139"/>
      <c r="C154" s="139"/>
      <c r="D154" s="841"/>
      <c r="E154" s="143"/>
      <c r="F154" s="143"/>
      <c r="G154" s="143"/>
      <c r="H154" s="143"/>
      <c r="I154" s="143"/>
      <c r="J154" s="143"/>
      <c r="K154" s="143"/>
      <c r="L154" s="143"/>
      <c r="M154" s="143"/>
      <c r="N154" s="143"/>
      <c r="O154" s="143"/>
      <c r="P154" s="143"/>
      <c r="Q154" s="143"/>
      <c r="R154" s="143"/>
      <c r="S154" s="143"/>
      <c r="T154" s="143"/>
      <c r="U154" s="144"/>
      <c r="V154" s="842"/>
      <c r="W154" s="144"/>
      <c r="X154" s="139"/>
      <c r="Y154" s="139"/>
      <c r="Z154" s="139"/>
      <c r="AA154" s="139"/>
      <c r="AI154" s="137"/>
      <c r="AJ154" s="137"/>
      <c r="AK154" s="137"/>
      <c r="AL154" s="137"/>
      <c r="AM154" s="137"/>
      <c r="AN154" s="137"/>
      <c r="AO154" s="137"/>
    </row>
    <row r="155" spans="2:41" ht="15" x14ac:dyDescent="0.25">
      <c r="B155" s="139"/>
      <c r="C155" s="139"/>
      <c r="D155" s="841"/>
      <c r="E155" s="143"/>
      <c r="F155" s="143"/>
      <c r="G155" s="143"/>
      <c r="H155" s="143"/>
      <c r="I155" s="143"/>
      <c r="J155" s="143"/>
      <c r="K155" s="143"/>
      <c r="L155" s="143"/>
      <c r="M155" s="143"/>
      <c r="N155" s="143"/>
      <c r="O155" s="143"/>
      <c r="P155" s="143"/>
      <c r="Q155" s="143"/>
      <c r="R155" s="143"/>
      <c r="S155" s="143"/>
      <c r="T155" s="143"/>
      <c r="U155" s="144"/>
      <c r="V155" s="842"/>
      <c r="W155" s="144"/>
      <c r="X155" s="139"/>
      <c r="Y155" s="139"/>
      <c r="Z155" s="139"/>
      <c r="AA155" s="139"/>
      <c r="AI155" s="137"/>
      <c r="AJ155" s="137"/>
      <c r="AK155" s="137"/>
      <c r="AL155" s="137"/>
      <c r="AM155" s="137"/>
      <c r="AN155" s="137"/>
      <c r="AO155" s="137"/>
    </row>
    <row r="156" spans="2:41" ht="15" x14ac:dyDescent="0.25">
      <c r="B156" s="139"/>
      <c r="C156" s="139"/>
      <c r="D156" s="841"/>
      <c r="E156" s="143"/>
      <c r="F156" s="143"/>
      <c r="G156" s="143"/>
      <c r="H156" s="143"/>
      <c r="I156" s="143"/>
      <c r="J156" s="143"/>
      <c r="K156" s="143"/>
      <c r="L156" s="143"/>
      <c r="M156" s="143"/>
      <c r="N156" s="143"/>
      <c r="O156" s="143"/>
      <c r="P156" s="143"/>
      <c r="Q156" s="143"/>
      <c r="R156" s="143"/>
      <c r="S156" s="143"/>
      <c r="T156" s="143"/>
      <c r="U156" s="144"/>
      <c r="V156" s="842"/>
      <c r="W156" s="144"/>
      <c r="X156" s="139"/>
      <c r="Y156" s="139"/>
      <c r="Z156" s="139"/>
      <c r="AA156" s="139"/>
      <c r="AI156" s="137"/>
      <c r="AJ156" s="137"/>
      <c r="AK156" s="137"/>
      <c r="AL156" s="137"/>
      <c r="AM156" s="137"/>
      <c r="AN156" s="137"/>
      <c r="AO156" s="137"/>
    </row>
    <row r="157" spans="2:41" ht="15" x14ac:dyDescent="0.25">
      <c r="B157" s="139"/>
      <c r="C157" s="139"/>
      <c r="D157" s="841"/>
      <c r="E157" s="143"/>
      <c r="F157" s="143"/>
      <c r="G157" s="143"/>
      <c r="H157" s="143"/>
      <c r="I157" s="143"/>
      <c r="J157" s="143"/>
      <c r="K157" s="143"/>
      <c r="L157" s="143"/>
      <c r="M157" s="143"/>
      <c r="N157" s="143"/>
      <c r="O157" s="143"/>
      <c r="P157" s="143"/>
      <c r="Q157" s="143"/>
      <c r="R157" s="143"/>
      <c r="S157" s="143"/>
      <c r="T157" s="143"/>
      <c r="U157" s="144"/>
      <c r="V157" s="842"/>
      <c r="W157" s="144"/>
      <c r="X157" s="139"/>
      <c r="Y157" s="139"/>
      <c r="Z157" s="139"/>
      <c r="AA157" s="139"/>
      <c r="AI157" s="137"/>
      <c r="AJ157" s="137"/>
      <c r="AK157" s="137"/>
      <c r="AL157" s="137"/>
      <c r="AM157" s="137"/>
      <c r="AN157" s="137"/>
      <c r="AO157" s="137"/>
    </row>
    <row r="158" spans="2:41" ht="15" x14ac:dyDescent="0.25">
      <c r="B158" s="139"/>
      <c r="C158" s="139"/>
      <c r="D158" s="841"/>
      <c r="E158" s="143"/>
      <c r="F158" s="143"/>
      <c r="G158" s="143"/>
      <c r="H158" s="143"/>
      <c r="I158" s="143"/>
      <c r="J158" s="143"/>
      <c r="K158" s="143"/>
      <c r="L158" s="143"/>
      <c r="M158" s="143"/>
      <c r="N158" s="143"/>
      <c r="O158" s="143"/>
      <c r="P158" s="143"/>
      <c r="Q158" s="143"/>
      <c r="R158" s="143"/>
      <c r="S158" s="143"/>
      <c r="T158" s="143"/>
      <c r="U158" s="144"/>
      <c r="V158" s="842"/>
      <c r="W158" s="144"/>
      <c r="X158" s="139"/>
      <c r="Y158" s="139"/>
      <c r="Z158" s="139"/>
      <c r="AA158" s="139"/>
      <c r="AI158" s="137"/>
      <c r="AJ158" s="137"/>
      <c r="AK158" s="137"/>
      <c r="AL158" s="137"/>
      <c r="AM158" s="137"/>
      <c r="AN158" s="137"/>
      <c r="AO158" s="137"/>
    </row>
    <row r="159" spans="2:41" ht="15" x14ac:dyDescent="0.25">
      <c r="B159" s="139"/>
      <c r="C159" s="139"/>
      <c r="D159" s="841"/>
      <c r="E159" s="143"/>
      <c r="F159" s="143"/>
      <c r="G159" s="143"/>
      <c r="H159" s="143"/>
      <c r="I159" s="143"/>
      <c r="J159" s="143"/>
      <c r="K159" s="143"/>
      <c r="L159" s="143"/>
      <c r="M159" s="143"/>
      <c r="N159" s="143"/>
      <c r="O159" s="143"/>
      <c r="P159" s="143"/>
      <c r="Q159" s="143"/>
      <c r="R159" s="143"/>
      <c r="S159" s="143"/>
      <c r="T159" s="143"/>
      <c r="U159" s="144"/>
      <c r="V159" s="842"/>
      <c r="W159" s="144"/>
      <c r="X159" s="139"/>
      <c r="Y159" s="139"/>
      <c r="Z159" s="139"/>
      <c r="AA159" s="139"/>
      <c r="AI159" s="137"/>
      <c r="AJ159" s="137"/>
      <c r="AK159" s="137"/>
      <c r="AL159" s="137"/>
      <c r="AM159" s="137"/>
      <c r="AN159" s="137"/>
      <c r="AO159" s="137"/>
    </row>
    <row r="160" spans="2:41" ht="15" x14ac:dyDescent="0.25">
      <c r="B160" s="139"/>
      <c r="C160" s="139"/>
      <c r="D160" s="841"/>
      <c r="E160" s="143"/>
      <c r="F160" s="143"/>
      <c r="G160" s="143"/>
      <c r="H160" s="143"/>
      <c r="I160" s="143"/>
      <c r="J160" s="143"/>
      <c r="K160" s="143"/>
      <c r="L160" s="143"/>
      <c r="M160" s="143"/>
      <c r="N160" s="143"/>
      <c r="O160" s="143"/>
      <c r="P160" s="143"/>
      <c r="Q160" s="143"/>
      <c r="R160" s="143"/>
      <c r="S160" s="143"/>
      <c r="T160" s="143"/>
      <c r="U160" s="144"/>
      <c r="V160" s="842"/>
      <c r="W160" s="144"/>
      <c r="X160" s="139"/>
      <c r="Y160" s="139"/>
      <c r="Z160" s="139"/>
      <c r="AA160" s="139"/>
      <c r="AI160" s="137"/>
      <c r="AJ160" s="137"/>
      <c r="AK160" s="137"/>
      <c r="AL160" s="137"/>
      <c r="AM160" s="137"/>
      <c r="AN160" s="137"/>
      <c r="AO160" s="137"/>
    </row>
    <row r="161" spans="2:41" ht="15" x14ac:dyDescent="0.25">
      <c r="B161" s="139"/>
      <c r="C161" s="139"/>
      <c r="D161" s="841"/>
      <c r="E161" s="143"/>
      <c r="F161" s="143"/>
      <c r="G161" s="143"/>
      <c r="H161" s="143"/>
      <c r="I161" s="143"/>
      <c r="J161" s="143"/>
      <c r="K161" s="143"/>
      <c r="L161" s="143"/>
      <c r="M161" s="143"/>
      <c r="N161" s="143"/>
      <c r="O161" s="143"/>
      <c r="P161" s="143"/>
      <c r="Q161" s="143"/>
      <c r="R161" s="143"/>
      <c r="S161" s="143"/>
      <c r="T161" s="143"/>
      <c r="U161" s="144"/>
      <c r="V161" s="842"/>
      <c r="W161" s="144"/>
      <c r="X161" s="139"/>
      <c r="Y161" s="139"/>
      <c r="Z161" s="139"/>
      <c r="AA161" s="139"/>
      <c r="AI161" s="137"/>
      <c r="AJ161" s="137"/>
      <c r="AK161" s="137"/>
      <c r="AL161" s="137"/>
      <c r="AM161" s="137"/>
      <c r="AN161" s="137"/>
      <c r="AO161" s="137"/>
    </row>
    <row r="162" spans="2:41" x14ac:dyDescent="0.2">
      <c r="B162" s="139"/>
      <c r="C162" s="139"/>
      <c r="D162" s="141"/>
      <c r="E162" s="142"/>
      <c r="F162" s="142"/>
      <c r="G162" s="142"/>
      <c r="H162" s="142"/>
      <c r="I162" s="142"/>
      <c r="J162" s="142"/>
      <c r="K162" s="142"/>
      <c r="L162" s="143"/>
      <c r="M162" s="143"/>
      <c r="N162" s="143"/>
      <c r="O162" s="143"/>
      <c r="P162" s="143"/>
      <c r="Q162" s="143"/>
      <c r="R162" s="143"/>
      <c r="S162" s="143"/>
      <c r="T162" s="143"/>
      <c r="U162" s="139"/>
      <c r="V162" s="145"/>
      <c r="W162" s="139"/>
      <c r="X162" s="139"/>
      <c r="Y162" s="139"/>
      <c r="Z162" s="139"/>
      <c r="AA162" s="139"/>
      <c r="AI162" s="137"/>
      <c r="AJ162" s="137"/>
      <c r="AK162" s="137"/>
      <c r="AL162" s="137"/>
      <c r="AM162" s="137"/>
      <c r="AN162" s="137"/>
      <c r="AO162" s="137"/>
    </row>
    <row r="163" spans="2:41" x14ac:dyDescent="0.2">
      <c r="B163" s="139"/>
      <c r="C163" s="139"/>
      <c r="D163" s="141"/>
      <c r="E163" s="142"/>
      <c r="F163" s="142"/>
      <c r="G163" s="142"/>
      <c r="H163" s="142"/>
      <c r="I163" s="142"/>
      <c r="J163" s="142"/>
      <c r="K163" s="142"/>
      <c r="L163" s="143"/>
      <c r="M163" s="143"/>
      <c r="N163" s="143"/>
      <c r="O163" s="143"/>
      <c r="P163" s="143"/>
      <c r="Q163" s="143"/>
      <c r="R163" s="143"/>
      <c r="S163" s="143"/>
      <c r="T163" s="143"/>
      <c r="U163" s="139"/>
      <c r="V163" s="145"/>
      <c r="W163" s="139"/>
      <c r="X163" s="139"/>
      <c r="Y163" s="139"/>
      <c r="Z163" s="139"/>
      <c r="AA163" s="139"/>
      <c r="AI163" s="137"/>
      <c r="AJ163" s="137"/>
      <c r="AK163" s="137"/>
      <c r="AL163" s="137"/>
      <c r="AM163" s="137"/>
      <c r="AN163" s="137"/>
      <c r="AO163" s="137"/>
    </row>
    <row r="164" spans="2:41" x14ac:dyDescent="0.2">
      <c r="B164" s="139"/>
      <c r="C164" s="139"/>
      <c r="D164" s="141"/>
      <c r="E164" s="142"/>
      <c r="F164" s="142"/>
      <c r="G164" s="142"/>
      <c r="H164" s="142"/>
      <c r="I164" s="142"/>
      <c r="J164" s="142"/>
      <c r="K164" s="142"/>
      <c r="L164" s="143"/>
      <c r="M164" s="143"/>
      <c r="N164" s="143"/>
      <c r="O164" s="143"/>
      <c r="P164" s="143"/>
      <c r="Q164" s="143"/>
      <c r="R164" s="143"/>
      <c r="S164" s="143"/>
      <c r="T164" s="143"/>
      <c r="U164" s="139"/>
      <c r="V164" s="145"/>
      <c r="W164" s="139"/>
      <c r="X164" s="139"/>
      <c r="Y164" s="139"/>
      <c r="Z164" s="139"/>
      <c r="AA164" s="139"/>
      <c r="AI164" s="137"/>
      <c r="AJ164" s="137"/>
      <c r="AK164" s="137"/>
      <c r="AL164" s="137"/>
      <c r="AM164" s="137"/>
      <c r="AN164" s="137"/>
      <c r="AO164" s="137"/>
    </row>
    <row r="165" spans="2:41" x14ac:dyDescent="0.2">
      <c r="B165" s="139"/>
      <c r="C165" s="139"/>
      <c r="D165" s="141"/>
      <c r="E165" s="142"/>
      <c r="F165" s="142"/>
      <c r="G165" s="142"/>
      <c r="H165" s="142"/>
      <c r="I165" s="142"/>
      <c r="J165" s="142"/>
      <c r="K165" s="142"/>
      <c r="L165" s="143"/>
      <c r="M165" s="143"/>
      <c r="N165" s="143"/>
      <c r="O165" s="143"/>
      <c r="P165" s="143"/>
      <c r="Q165" s="143"/>
      <c r="R165" s="143"/>
      <c r="S165" s="143"/>
      <c r="T165" s="143"/>
      <c r="U165" s="139"/>
      <c r="V165" s="145"/>
      <c r="W165" s="139"/>
      <c r="X165" s="139"/>
      <c r="Y165" s="139"/>
      <c r="Z165" s="139"/>
      <c r="AA165" s="139"/>
      <c r="AI165" s="137"/>
      <c r="AJ165" s="137"/>
      <c r="AK165" s="137"/>
      <c r="AL165" s="137"/>
      <c r="AM165" s="137"/>
      <c r="AN165" s="137"/>
      <c r="AO165" s="137"/>
    </row>
    <row r="166" spans="2:41" x14ac:dyDescent="0.2">
      <c r="B166" s="139"/>
      <c r="C166" s="139"/>
      <c r="D166" s="141"/>
      <c r="E166" s="142"/>
      <c r="F166" s="142"/>
      <c r="G166" s="142"/>
      <c r="H166" s="142"/>
      <c r="I166" s="142"/>
      <c r="J166" s="142"/>
      <c r="K166" s="142"/>
      <c r="L166" s="143"/>
      <c r="M166" s="143"/>
      <c r="N166" s="143"/>
      <c r="O166" s="143"/>
      <c r="P166" s="143"/>
      <c r="Q166" s="143"/>
      <c r="R166" s="143"/>
      <c r="S166" s="143"/>
      <c r="T166" s="143"/>
      <c r="U166" s="139"/>
      <c r="V166" s="145"/>
      <c r="W166" s="139"/>
      <c r="X166" s="139"/>
      <c r="Y166" s="139"/>
      <c r="Z166" s="139"/>
      <c r="AA166" s="139"/>
      <c r="AI166" s="137"/>
      <c r="AJ166" s="137"/>
      <c r="AK166" s="137"/>
      <c r="AL166" s="137"/>
      <c r="AM166" s="137"/>
      <c r="AN166" s="137"/>
      <c r="AO166" s="137"/>
    </row>
    <row r="167" spans="2:41" x14ac:dyDescent="0.2">
      <c r="B167" s="139"/>
      <c r="C167" s="139"/>
      <c r="D167" s="141"/>
      <c r="E167" s="142"/>
      <c r="F167" s="142"/>
      <c r="G167" s="142"/>
      <c r="H167" s="142"/>
      <c r="I167" s="142"/>
      <c r="J167" s="142"/>
      <c r="K167" s="142"/>
      <c r="L167" s="143"/>
      <c r="M167" s="143"/>
      <c r="N167" s="143"/>
      <c r="O167" s="143"/>
      <c r="P167" s="143"/>
      <c r="Q167" s="143"/>
      <c r="R167" s="143"/>
      <c r="S167" s="143"/>
      <c r="T167" s="143"/>
      <c r="U167" s="139"/>
      <c r="V167" s="145"/>
      <c r="W167" s="139"/>
      <c r="X167" s="139"/>
      <c r="Y167" s="139"/>
      <c r="Z167" s="139"/>
      <c r="AA167" s="139"/>
      <c r="AI167" s="137"/>
      <c r="AJ167" s="137"/>
      <c r="AK167" s="137"/>
      <c r="AL167" s="137"/>
      <c r="AM167" s="137"/>
      <c r="AN167" s="137"/>
      <c r="AO167" s="137"/>
    </row>
    <row r="168" spans="2:41" x14ac:dyDescent="0.2">
      <c r="B168" s="139"/>
      <c r="C168" s="139"/>
      <c r="D168" s="141"/>
      <c r="E168" s="142"/>
      <c r="F168" s="142"/>
      <c r="G168" s="142"/>
      <c r="H168" s="142"/>
      <c r="I168" s="142"/>
      <c r="J168" s="142"/>
      <c r="K168" s="142"/>
      <c r="L168" s="143"/>
      <c r="M168" s="143"/>
      <c r="N168" s="143"/>
      <c r="O168" s="143"/>
      <c r="P168" s="143"/>
      <c r="Q168" s="143"/>
      <c r="R168" s="143"/>
      <c r="S168" s="143"/>
      <c r="T168" s="143"/>
      <c r="U168" s="139"/>
      <c r="V168" s="145"/>
      <c r="W168" s="139"/>
      <c r="X168" s="139"/>
      <c r="Y168" s="139"/>
      <c r="Z168" s="139"/>
      <c r="AA168" s="139"/>
      <c r="AI168" s="137"/>
      <c r="AJ168" s="137"/>
      <c r="AK168" s="137"/>
      <c r="AL168" s="137"/>
      <c r="AM168" s="137"/>
      <c r="AN168" s="137"/>
      <c r="AO168" s="137"/>
    </row>
    <row r="169" spans="2:41" ht="13.15" customHeight="1" x14ac:dyDescent="0.2">
      <c r="B169" s="139"/>
      <c r="C169" s="1018" t="s">
        <v>1063</v>
      </c>
      <c r="D169" s="1018"/>
      <c r="E169" s="142"/>
      <c r="F169" s="142"/>
      <c r="G169" s="142"/>
      <c r="H169" s="142"/>
      <c r="I169" s="142"/>
      <c r="J169" s="142"/>
      <c r="K169" s="142"/>
      <c r="L169" s="143"/>
      <c r="M169" s="143"/>
      <c r="N169" s="143"/>
      <c r="O169" s="143"/>
      <c r="P169" s="143"/>
      <c r="Q169" s="143"/>
      <c r="R169" s="143"/>
      <c r="S169" s="143"/>
      <c r="T169" s="143"/>
      <c r="U169" s="139"/>
      <c r="V169" s="145"/>
      <c r="W169" s="139"/>
      <c r="X169" s="139"/>
      <c r="Y169" s="139"/>
      <c r="Z169" s="139"/>
      <c r="AA169" s="139"/>
      <c r="AI169" s="137"/>
      <c r="AJ169" s="137"/>
      <c r="AK169" s="137"/>
      <c r="AL169" s="137"/>
      <c r="AM169" s="137"/>
      <c r="AN169" s="137"/>
      <c r="AO169" s="137"/>
    </row>
    <row r="170" spans="2:41" x14ac:dyDescent="0.2">
      <c r="B170" s="139"/>
      <c r="C170" s="817" t="s">
        <v>89</v>
      </c>
      <c r="D170" s="817" t="s">
        <v>88</v>
      </c>
      <c r="E170" s="142"/>
      <c r="F170" s="142"/>
      <c r="G170" s="142"/>
      <c r="H170" s="142"/>
      <c r="I170" s="142"/>
      <c r="J170" s="142"/>
      <c r="K170" s="142"/>
      <c r="L170" s="143"/>
      <c r="M170" s="143"/>
      <c r="N170" s="143"/>
      <c r="O170" s="143"/>
      <c r="P170" s="143"/>
      <c r="Q170" s="143"/>
      <c r="R170" s="143"/>
      <c r="S170" s="143"/>
      <c r="T170" s="143"/>
      <c r="U170" s="139"/>
      <c r="V170" s="145"/>
      <c r="W170" s="139"/>
      <c r="X170" s="139"/>
      <c r="Y170" s="139"/>
      <c r="Z170" s="139"/>
      <c r="AA170" s="139"/>
      <c r="AI170" s="137"/>
      <c r="AJ170" s="137"/>
      <c r="AK170" s="137"/>
      <c r="AL170" s="137"/>
      <c r="AM170" s="137"/>
      <c r="AN170" s="137"/>
      <c r="AO170" s="137"/>
    </row>
    <row r="171" spans="2:41" x14ac:dyDescent="0.2">
      <c r="B171" s="139"/>
      <c r="C171" s="810"/>
      <c r="D171" s="810">
        <f>C171</f>
        <v>0</v>
      </c>
      <c r="E171" s="809" t="s">
        <v>545</v>
      </c>
      <c r="F171" s="142"/>
      <c r="G171" s="142"/>
      <c r="H171" s="142"/>
      <c r="I171" s="142"/>
      <c r="J171" s="142"/>
      <c r="K171" s="142"/>
      <c r="L171" s="143"/>
      <c r="M171" s="143"/>
      <c r="N171" s="143"/>
      <c r="O171" s="143"/>
      <c r="P171" s="143"/>
      <c r="Q171" s="143"/>
      <c r="R171" s="143"/>
      <c r="S171" s="143"/>
      <c r="T171" s="143"/>
      <c r="U171" s="139"/>
      <c r="V171" s="145"/>
      <c r="W171" s="139"/>
      <c r="X171" s="139"/>
      <c r="Y171" s="139"/>
      <c r="Z171" s="139"/>
      <c r="AA171" s="139"/>
      <c r="AI171" s="137"/>
      <c r="AJ171" s="137"/>
      <c r="AK171" s="137"/>
      <c r="AL171" s="137"/>
      <c r="AM171" s="137"/>
      <c r="AN171" s="137"/>
      <c r="AO171" s="137"/>
    </row>
    <row r="172" spans="2:41" x14ac:dyDescent="0.2">
      <c r="B172" s="139"/>
      <c r="C172" s="139"/>
      <c r="D172" s="141"/>
      <c r="E172" s="142"/>
      <c r="F172" s="142"/>
      <c r="G172" s="142"/>
      <c r="H172" s="142"/>
      <c r="I172" s="142"/>
      <c r="J172" s="142"/>
      <c r="K172" s="142"/>
      <c r="L172" s="143"/>
      <c r="M172" s="143"/>
      <c r="N172" s="143"/>
      <c r="O172" s="143"/>
      <c r="P172" s="143"/>
      <c r="Q172" s="143"/>
      <c r="R172" s="143"/>
      <c r="S172" s="143"/>
      <c r="T172" s="143"/>
      <c r="U172" s="139"/>
      <c r="V172" s="145"/>
      <c r="W172" s="139"/>
      <c r="X172" s="139"/>
      <c r="Y172" s="139"/>
      <c r="Z172" s="139"/>
      <c r="AA172" s="139"/>
      <c r="AI172" s="137"/>
      <c r="AJ172" s="137"/>
      <c r="AK172" s="137"/>
      <c r="AL172" s="137"/>
      <c r="AM172" s="137"/>
      <c r="AN172" s="137"/>
      <c r="AO172" s="137"/>
    </row>
    <row r="173" spans="2:41" x14ac:dyDescent="0.2">
      <c r="B173" s="139"/>
      <c r="C173" s="139"/>
      <c r="D173" s="141"/>
      <c r="E173" s="142"/>
      <c r="F173" s="142"/>
      <c r="G173" s="142"/>
      <c r="H173" s="142"/>
      <c r="I173" s="142"/>
      <c r="J173" s="142"/>
      <c r="K173" s="142"/>
      <c r="L173" s="143"/>
      <c r="M173" s="143"/>
      <c r="N173" s="143"/>
      <c r="O173" s="143"/>
      <c r="P173" s="143"/>
      <c r="Q173" s="143"/>
      <c r="R173" s="143"/>
      <c r="S173" s="143"/>
      <c r="T173" s="143"/>
      <c r="U173" s="139"/>
      <c r="V173" s="145"/>
      <c r="W173" s="139"/>
      <c r="X173" s="139"/>
      <c r="Y173" s="139"/>
      <c r="Z173" s="139"/>
      <c r="AA173" s="139"/>
      <c r="AI173" s="137"/>
      <c r="AJ173" s="137"/>
      <c r="AK173" s="137"/>
      <c r="AL173" s="137"/>
      <c r="AM173" s="137"/>
      <c r="AN173" s="137"/>
      <c r="AO173" s="137"/>
    </row>
    <row r="174" spans="2:41" x14ac:dyDescent="0.2">
      <c r="B174" s="139"/>
      <c r="C174" s="139"/>
      <c r="D174" s="141"/>
      <c r="E174" s="142"/>
      <c r="F174" s="142"/>
      <c r="G174" s="142"/>
      <c r="H174" s="142"/>
      <c r="I174" s="142"/>
      <c r="J174" s="142"/>
      <c r="K174" s="142"/>
      <c r="L174" s="143"/>
      <c r="M174" s="143"/>
      <c r="N174" s="143"/>
      <c r="O174" s="143"/>
      <c r="P174" s="143"/>
      <c r="Q174" s="143"/>
      <c r="R174" s="143"/>
      <c r="S174" s="143"/>
      <c r="T174" s="143"/>
      <c r="U174" s="139"/>
      <c r="V174" s="145"/>
      <c r="W174" s="139"/>
      <c r="X174" s="139"/>
      <c r="Y174" s="139"/>
      <c r="Z174" s="139"/>
      <c r="AA174" s="139"/>
      <c r="AI174" s="137"/>
      <c r="AJ174" s="137"/>
      <c r="AK174" s="137"/>
      <c r="AL174" s="137"/>
      <c r="AM174" s="137"/>
      <c r="AN174" s="137"/>
      <c r="AO174" s="137"/>
    </row>
    <row r="175" spans="2:41" x14ac:dyDescent="0.2">
      <c r="B175" s="139"/>
      <c r="C175" s="139"/>
      <c r="D175" s="141"/>
      <c r="E175" s="142"/>
      <c r="F175" s="142"/>
      <c r="G175" s="142"/>
      <c r="H175" s="142"/>
      <c r="I175" s="142"/>
      <c r="J175" s="142"/>
      <c r="K175" s="142"/>
      <c r="L175" s="143"/>
      <c r="M175" s="143"/>
      <c r="N175" s="143"/>
      <c r="O175" s="143"/>
      <c r="P175" s="143"/>
      <c r="Q175" s="143"/>
      <c r="R175" s="143"/>
      <c r="S175" s="143"/>
      <c r="T175" s="143"/>
      <c r="U175" s="139"/>
      <c r="V175" s="145"/>
      <c r="W175" s="139"/>
      <c r="X175" s="139"/>
      <c r="Y175" s="139"/>
      <c r="Z175" s="139"/>
      <c r="AA175" s="139"/>
      <c r="AI175" s="137"/>
      <c r="AJ175" s="137"/>
      <c r="AK175" s="137"/>
      <c r="AL175" s="137"/>
      <c r="AM175" s="137"/>
      <c r="AN175" s="137"/>
      <c r="AO175" s="137"/>
    </row>
    <row r="176" spans="2:41" x14ac:dyDescent="0.2">
      <c r="B176" s="139"/>
      <c r="C176" s="139"/>
      <c r="D176" s="1019" t="s">
        <v>1064</v>
      </c>
      <c r="E176" s="1019"/>
      <c r="F176" s="142"/>
      <c r="G176" s="142"/>
      <c r="H176" s="142"/>
      <c r="I176" s="142"/>
      <c r="J176" s="142"/>
      <c r="K176" s="142"/>
      <c r="L176" s="143"/>
      <c r="M176" s="143"/>
      <c r="N176" s="143"/>
      <c r="O176" s="143"/>
      <c r="P176" s="143"/>
      <c r="Q176" s="143"/>
      <c r="R176" s="143"/>
      <c r="S176" s="143"/>
      <c r="T176" s="143"/>
      <c r="U176" s="139"/>
      <c r="V176" s="145"/>
      <c r="W176" s="139"/>
      <c r="X176" s="139"/>
      <c r="Y176" s="139"/>
      <c r="Z176" s="139"/>
      <c r="AA176" s="139"/>
      <c r="AI176" s="137"/>
      <c r="AJ176" s="137"/>
      <c r="AK176" s="137"/>
      <c r="AL176" s="137"/>
      <c r="AM176" s="137"/>
      <c r="AN176" s="137"/>
      <c r="AO176" s="137"/>
    </row>
    <row r="177" spans="2:41" x14ac:dyDescent="0.2">
      <c r="B177" s="139"/>
      <c r="C177" s="139"/>
      <c r="D177" s="817" t="s">
        <v>89</v>
      </c>
      <c r="E177" s="817" t="s">
        <v>88</v>
      </c>
      <c r="F177" s="142"/>
      <c r="G177" s="142"/>
      <c r="H177" s="142"/>
      <c r="I177" s="142"/>
      <c r="J177" s="142"/>
      <c r="K177" s="142"/>
      <c r="L177" s="143"/>
      <c r="M177" s="1019" t="s">
        <v>1065</v>
      </c>
      <c r="N177" s="1019"/>
      <c r="O177" s="143"/>
      <c r="P177" s="143"/>
      <c r="Q177" s="143"/>
      <c r="R177" s="143"/>
      <c r="S177" s="143"/>
      <c r="T177" s="143"/>
      <c r="U177" s="139"/>
      <c r="V177" s="145"/>
      <c r="W177" s="139"/>
      <c r="X177" s="139"/>
      <c r="Y177" s="139"/>
      <c r="Z177" s="139"/>
      <c r="AA177" s="139"/>
      <c r="AI177" s="137"/>
      <c r="AJ177" s="137"/>
      <c r="AK177" s="137"/>
      <c r="AL177" s="137"/>
      <c r="AM177" s="137"/>
      <c r="AN177" s="137"/>
      <c r="AO177" s="137"/>
    </row>
    <row r="178" spans="2:41" x14ac:dyDescent="0.2">
      <c r="B178" s="139"/>
      <c r="C178" s="139"/>
      <c r="D178" s="810"/>
      <c r="E178" s="810">
        <f>D178</f>
        <v>0</v>
      </c>
      <c r="F178" s="809" t="s">
        <v>545</v>
      </c>
      <c r="G178" s="142"/>
      <c r="H178" s="142"/>
      <c r="I178" s="142"/>
      <c r="J178" s="142"/>
      <c r="K178" s="142"/>
      <c r="L178" s="143"/>
      <c r="M178" s="817" t="s">
        <v>89</v>
      </c>
      <c r="N178" s="817" t="s">
        <v>88</v>
      </c>
      <c r="O178" s="143"/>
      <c r="P178" s="143"/>
      <c r="Q178" s="143"/>
      <c r="R178" s="143"/>
      <c r="S178" s="143"/>
      <c r="T178" s="143"/>
      <c r="U178" s="139"/>
      <c r="V178" s="145"/>
      <c r="W178" s="139"/>
      <c r="X178" s="139"/>
      <c r="Y178" s="139"/>
      <c r="Z178" s="139"/>
      <c r="AA178" s="139"/>
      <c r="AI178" s="137"/>
      <c r="AJ178" s="137"/>
      <c r="AK178" s="137"/>
      <c r="AL178" s="137"/>
      <c r="AM178" s="137"/>
      <c r="AN178" s="137"/>
      <c r="AO178" s="137"/>
    </row>
    <row r="179" spans="2:41" x14ac:dyDescent="0.2">
      <c r="B179" s="139"/>
      <c r="C179" s="139"/>
      <c r="D179" s="1031" t="str">
        <f>IF(E178&gt;650, "Use 16LNS validation scanner","")</f>
        <v/>
      </c>
      <c r="E179" s="1031"/>
      <c r="F179" s="1031"/>
      <c r="G179" s="900"/>
      <c r="H179" s="142"/>
      <c r="I179" s="142"/>
      <c r="J179" s="142"/>
      <c r="K179" s="142"/>
      <c r="L179" s="143"/>
      <c r="M179" s="810"/>
      <c r="N179" s="810">
        <f>M179</f>
        <v>0</v>
      </c>
      <c r="O179" s="809" t="s">
        <v>545</v>
      </c>
      <c r="P179" s="143"/>
      <c r="Q179" s="143"/>
      <c r="R179" s="143"/>
      <c r="S179" s="143"/>
      <c r="T179" s="143"/>
      <c r="U179" s="139"/>
      <c r="V179" s="145"/>
      <c r="W179" s="139"/>
      <c r="X179" s="139"/>
      <c r="Y179" s="139"/>
      <c r="Z179" s="139"/>
      <c r="AA179" s="139"/>
      <c r="AI179" s="137"/>
      <c r="AJ179" s="137"/>
      <c r="AK179" s="137"/>
      <c r="AL179" s="137"/>
      <c r="AM179" s="137"/>
      <c r="AN179" s="137"/>
      <c r="AO179" s="137"/>
    </row>
    <row r="180" spans="2:41" x14ac:dyDescent="0.2">
      <c r="B180" s="139"/>
      <c r="C180" s="139"/>
      <c r="D180" s="1031"/>
      <c r="E180" s="1031"/>
      <c r="F180" s="1031"/>
      <c r="G180" s="142"/>
      <c r="H180" s="142"/>
      <c r="I180" s="142"/>
      <c r="J180" s="142"/>
      <c r="K180" s="142"/>
      <c r="L180" s="143"/>
      <c r="M180" s="143"/>
      <c r="N180" s="143"/>
      <c r="O180" s="143"/>
      <c r="P180" s="143"/>
      <c r="Q180" s="143"/>
      <c r="R180" s="143"/>
      <c r="S180" s="143"/>
      <c r="T180" s="143"/>
      <c r="U180" s="139"/>
      <c r="V180" s="145"/>
      <c r="W180" s="139"/>
      <c r="X180" s="139"/>
      <c r="Y180" s="139"/>
      <c r="Z180" s="139"/>
      <c r="AA180" s="139"/>
      <c r="AI180" s="137"/>
      <c r="AJ180" s="137"/>
      <c r="AK180" s="137"/>
      <c r="AL180" s="137"/>
      <c r="AM180" s="137"/>
      <c r="AN180" s="137"/>
      <c r="AO180" s="137"/>
    </row>
    <row r="181" spans="2:41" x14ac:dyDescent="0.2">
      <c r="B181" s="139"/>
      <c r="C181" s="139"/>
      <c r="D181" s="141"/>
      <c r="E181" s="142"/>
      <c r="F181" s="142"/>
      <c r="G181" s="142"/>
      <c r="H181" s="142"/>
      <c r="I181" s="142"/>
      <c r="J181" s="142"/>
      <c r="K181" s="142"/>
      <c r="L181" s="143"/>
      <c r="M181" s="143"/>
      <c r="N181" s="143"/>
      <c r="O181" s="143"/>
      <c r="P181" s="143"/>
      <c r="Q181" s="143"/>
      <c r="R181" s="143"/>
      <c r="S181" s="143"/>
      <c r="T181" s="143"/>
      <c r="U181" s="139"/>
      <c r="V181" s="145"/>
      <c r="W181" s="139"/>
      <c r="X181" s="139"/>
      <c r="Y181" s="139"/>
      <c r="Z181" s="139"/>
      <c r="AA181" s="139"/>
      <c r="AI181" s="137"/>
      <c r="AJ181" s="137"/>
      <c r="AK181" s="137"/>
      <c r="AL181" s="137"/>
      <c r="AM181" s="137"/>
      <c r="AN181" s="137"/>
      <c r="AO181" s="137"/>
    </row>
    <row r="182" spans="2:41" x14ac:dyDescent="0.2">
      <c r="B182" s="139"/>
      <c r="C182" s="139"/>
      <c r="D182" s="141"/>
      <c r="E182" s="142"/>
      <c r="F182" s="142"/>
      <c r="G182" s="142"/>
      <c r="H182" s="142"/>
      <c r="I182" s="142"/>
      <c r="J182" s="142"/>
      <c r="K182" s="142"/>
      <c r="L182" s="143"/>
      <c r="M182" s="143"/>
      <c r="N182" s="143"/>
      <c r="O182" s="143"/>
      <c r="P182" s="143"/>
      <c r="Q182" s="143"/>
      <c r="R182" s="143"/>
      <c r="S182" s="143"/>
      <c r="T182" s="143"/>
      <c r="U182" s="139"/>
      <c r="V182" s="145"/>
      <c r="W182" s="139"/>
      <c r="X182" s="139"/>
      <c r="Y182" s="139"/>
      <c r="Z182" s="139"/>
      <c r="AA182" s="139"/>
      <c r="AI182" s="137"/>
      <c r="AJ182" s="137"/>
      <c r="AK182" s="137"/>
      <c r="AL182" s="137"/>
      <c r="AM182" s="137"/>
      <c r="AN182" s="137"/>
      <c r="AO182" s="137"/>
    </row>
    <row r="183" spans="2:41" x14ac:dyDescent="0.2">
      <c r="B183" s="139"/>
      <c r="C183" s="139"/>
      <c r="D183" s="141"/>
      <c r="E183" s="142"/>
      <c r="F183" s="142"/>
      <c r="G183" s="142"/>
      <c r="H183" s="142"/>
      <c r="I183" s="142"/>
      <c r="J183" s="142"/>
      <c r="K183" s="142"/>
      <c r="L183" s="143"/>
      <c r="M183" s="143"/>
      <c r="N183" s="143"/>
      <c r="O183" s="143"/>
      <c r="P183" s="143"/>
      <c r="Q183" s="143"/>
      <c r="R183" s="143"/>
      <c r="S183" s="143"/>
      <c r="T183" s="143"/>
      <c r="U183" s="139"/>
      <c r="V183" s="145"/>
      <c r="W183" s="139"/>
      <c r="X183" s="139"/>
      <c r="Y183" s="139"/>
      <c r="Z183" s="139"/>
      <c r="AA183" s="139"/>
      <c r="AI183" s="137"/>
      <c r="AJ183" s="137"/>
      <c r="AK183" s="137"/>
      <c r="AL183" s="137"/>
      <c r="AM183" s="137"/>
      <c r="AN183" s="137"/>
      <c r="AO183" s="137"/>
    </row>
    <row r="184" spans="2:41" x14ac:dyDescent="0.2">
      <c r="B184" s="139"/>
      <c r="C184" s="139"/>
      <c r="D184" s="139"/>
      <c r="E184" s="139"/>
      <c r="F184" s="139"/>
      <c r="G184" s="139"/>
      <c r="H184" s="139"/>
      <c r="I184" s="139"/>
      <c r="J184" s="139"/>
      <c r="K184" s="139"/>
      <c r="L184" s="139"/>
      <c r="M184" s="139"/>
      <c r="N184" s="139"/>
      <c r="O184" s="139"/>
      <c r="P184" s="139"/>
      <c r="Q184" s="139"/>
      <c r="R184" s="139"/>
      <c r="S184" s="139"/>
      <c r="T184" s="139"/>
      <c r="U184" s="139"/>
      <c r="V184" s="139"/>
      <c r="W184" s="139"/>
      <c r="X184" s="139"/>
      <c r="Y184" s="139"/>
      <c r="Z184" s="139"/>
      <c r="AA184" s="139"/>
    </row>
    <row r="185" spans="2:41" x14ac:dyDescent="0.2">
      <c r="B185" s="139"/>
      <c r="C185" s="139"/>
      <c r="D185" s="139"/>
      <c r="E185" s="139"/>
      <c r="F185" s="139"/>
      <c r="G185" s="139"/>
      <c r="H185" s="139"/>
      <c r="I185" s="139"/>
      <c r="J185" s="139"/>
      <c r="K185" s="139"/>
      <c r="L185" s="139"/>
      <c r="M185" s="139"/>
      <c r="N185" s="139"/>
      <c r="O185" s="139"/>
      <c r="P185" s="139"/>
      <c r="Q185" s="139"/>
      <c r="R185" s="139"/>
      <c r="S185" s="139"/>
      <c r="T185" s="139"/>
      <c r="U185" s="139"/>
      <c r="V185" s="139"/>
      <c r="W185" s="139"/>
      <c r="X185" s="139"/>
      <c r="Y185" s="139"/>
      <c r="Z185" s="139"/>
      <c r="AA185" s="139"/>
    </row>
    <row r="186" spans="2:41" x14ac:dyDescent="0.2">
      <c r="B186" s="139"/>
      <c r="C186" s="139"/>
      <c r="D186" s="139"/>
      <c r="E186" s="139"/>
      <c r="F186" s="139"/>
      <c r="G186" s="139"/>
      <c r="H186" s="139"/>
      <c r="I186" s="139"/>
      <c r="J186" s="139"/>
      <c r="K186" s="139"/>
      <c r="L186" s="139"/>
      <c r="M186" s="139"/>
      <c r="N186" s="139"/>
      <c r="O186" s="139"/>
      <c r="P186" s="139"/>
      <c r="Q186" s="139"/>
      <c r="R186" s="139"/>
      <c r="S186" s="139"/>
      <c r="T186" s="139"/>
      <c r="U186" s="139"/>
      <c r="V186" s="139"/>
      <c r="W186" s="139"/>
      <c r="X186" s="139"/>
      <c r="Y186" s="139"/>
      <c r="Z186" s="139"/>
      <c r="AA186" s="139"/>
    </row>
    <row r="187" spans="2:41" ht="15.75" x14ac:dyDescent="0.2">
      <c r="B187" s="139"/>
      <c r="C187" s="139"/>
      <c r="D187" s="477" t="s">
        <v>546</v>
      </c>
      <c r="E187" s="478"/>
      <c r="F187" s="478"/>
      <c r="G187" s="478"/>
      <c r="H187" s="478"/>
      <c r="I187" s="478"/>
      <c r="J187" s="478"/>
      <c r="K187" s="478"/>
      <c r="L187" s="478"/>
      <c r="M187" s="478"/>
      <c r="N187" s="478"/>
      <c r="O187" s="478"/>
      <c r="P187" s="478"/>
      <c r="Q187" s="478"/>
      <c r="R187" s="478"/>
      <c r="S187" s="478"/>
      <c r="T187" s="478"/>
      <c r="U187" s="478"/>
      <c r="V187" s="478"/>
      <c r="W187" s="478"/>
      <c r="X187" s="478"/>
      <c r="Y187" s="478"/>
      <c r="Z187" s="478"/>
      <c r="AA187" s="139"/>
    </row>
    <row r="188" spans="2:41" ht="13.5" thickBot="1" x14ac:dyDescent="0.25">
      <c r="B188" s="139"/>
      <c r="C188" s="139"/>
      <c r="D188" s="139"/>
      <c r="E188" s="139"/>
      <c r="F188" s="139"/>
      <c r="G188" s="139"/>
      <c r="H188" s="139"/>
      <c r="I188" s="139"/>
      <c r="J188" s="139"/>
      <c r="K188" s="139"/>
      <c r="L188" s="139"/>
      <c r="M188" s="139"/>
      <c r="N188" s="139"/>
      <c r="O188" s="139"/>
      <c r="P188" s="139"/>
      <c r="Q188" s="139"/>
      <c r="R188" s="139"/>
      <c r="S188" s="139"/>
      <c r="T188" s="139"/>
      <c r="U188" s="139"/>
      <c r="V188" s="139"/>
      <c r="W188" s="139"/>
      <c r="X188" s="139"/>
      <c r="Y188" s="139"/>
      <c r="Z188" s="139"/>
      <c r="AA188" s="139"/>
    </row>
    <row r="189" spans="2:41" ht="13.5" thickBot="1" x14ac:dyDescent="0.25">
      <c r="B189" s="139"/>
      <c r="C189" s="139"/>
      <c r="D189" s="840" t="s">
        <v>1077</v>
      </c>
      <c r="E189" s="843"/>
      <c r="F189" s="843"/>
      <c r="G189" s="843"/>
      <c r="H189" s="843"/>
      <c r="I189" s="843"/>
      <c r="J189" s="844"/>
      <c r="K189" s="840" t="s">
        <v>1077</v>
      </c>
      <c r="L189" s="843"/>
      <c r="M189" s="843"/>
      <c r="N189" s="843"/>
      <c r="O189" s="843"/>
      <c r="P189" s="843"/>
      <c r="Q189" s="843"/>
      <c r="R189" s="843"/>
      <c r="S189" s="844"/>
      <c r="T189" s="840" t="s">
        <v>1077</v>
      </c>
      <c r="U189" s="843"/>
      <c r="V189" s="843"/>
      <c r="W189" s="843"/>
      <c r="X189" s="843"/>
      <c r="Y189" s="843"/>
      <c r="Z189" s="837"/>
      <c r="AA189" s="139"/>
    </row>
    <row r="190" spans="2:41" x14ac:dyDescent="0.2">
      <c r="B190" s="139"/>
      <c r="C190" s="139"/>
      <c r="D190" s="830"/>
      <c r="E190" s="144"/>
      <c r="F190" s="144"/>
      <c r="G190" s="144"/>
      <c r="H190" s="144"/>
      <c r="I190" s="144"/>
      <c r="J190" s="831"/>
      <c r="K190" s="830"/>
      <c r="L190" s="144"/>
      <c r="M190" s="144"/>
      <c r="N190" s="144"/>
      <c r="O190" s="144"/>
      <c r="P190" s="144"/>
      <c r="Q190" s="144"/>
      <c r="R190" s="144"/>
      <c r="S190" s="831"/>
      <c r="T190" s="144"/>
      <c r="U190" s="144"/>
      <c r="V190" s="144"/>
      <c r="W190" s="144"/>
      <c r="X190" s="144"/>
      <c r="Y190" s="144"/>
      <c r="Z190" s="831"/>
      <c r="AA190" s="139"/>
    </row>
    <row r="191" spans="2:41" x14ac:dyDescent="0.2">
      <c r="B191" s="139"/>
      <c r="C191" s="139"/>
      <c r="D191" s="830"/>
      <c r="E191" s="144"/>
      <c r="F191" s="144"/>
      <c r="G191" s="144"/>
      <c r="H191" s="144"/>
      <c r="I191" s="144"/>
      <c r="J191" s="831"/>
      <c r="K191" s="830"/>
      <c r="L191" s="144"/>
      <c r="M191" s="144"/>
      <c r="N191" s="144"/>
      <c r="O191" s="144"/>
      <c r="P191" s="144"/>
      <c r="Q191" s="144"/>
      <c r="R191" s="144"/>
      <c r="S191" s="831"/>
      <c r="T191" s="144"/>
      <c r="U191" s="144"/>
      <c r="V191" s="144"/>
      <c r="W191" s="144"/>
      <c r="X191" s="144"/>
      <c r="Y191" s="144"/>
      <c r="Z191" s="831"/>
      <c r="AA191" s="139"/>
    </row>
    <row r="192" spans="2:41" x14ac:dyDescent="0.2">
      <c r="B192" s="139"/>
      <c r="C192" s="139"/>
      <c r="D192" s="830"/>
      <c r="E192" s="144"/>
      <c r="F192" s="144"/>
      <c r="G192" s="144"/>
      <c r="H192" s="144"/>
      <c r="I192" s="144"/>
      <c r="J192" s="831"/>
      <c r="K192" s="830"/>
      <c r="L192" s="144"/>
      <c r="M192" s="144"/>
      <c r="N192" s="144"/>
      <c r="O192" s="144"/>
      <c r="P192" s="144"/>
      <c r="Q192" s="144"/>
      <c r="R192" s="144"/>
      <c r="S192" s="831"/>
      <c r="T192" s="144"/>
      <c r="U192" s="143"/>
      <c r="V192" s="143"/>
      <c r="W192" s="143"/>
      <c r="X192" s="143"/>
      <c r="Y192" s="144"/>
      <c r="Z192" s="831"/>
      <c r="AA192" s="139"/>
    </row>
    <row r="193" spans="2:27" x14ac:dyDescent="0.2">
      <c r="B193" s="139"/>
      <c r="C193" s="139"/>
      <c r="D193" s="830"/>
      <c r="E193" s="143"/>
      <c r="F193" s="143"/>
      <c r="G193" s="143"/>
      <c r="H193" s="143"/>
      <c r="I193" s="143"/>
      <c r="J193" s="838"/>
      <c r="K193" s="839"/>
      <c r="L193" s="143"/>
      <c r="M193" s="143"/>
      <c r="N193" s="143"/>
      <c r="O193" s="143"/>
      <c r="P193" s="143"/>
      <c r="Q193" s="143"/>
      <c r="R193" s="143"/>
      <c r="S193" s="838"/>
      <c r="T193" s="143"/>
      <c r="U193" s="143"/>
      <c r="V193" s="143"/>
      <c r="W193" s="143"/>
      <c r="X193" s="143"/>
      <c r="Y193" s="144"/>
      <c r="Z193" s="831"/>
      <c r="AA193" s="139"/>
    </row>
    <row r="194" spans="2:27" x14ac:dyDescent="0.2">
      <c r="B194" s="139"/>
      <c r="C194" s="139"/>
      <c r="D194" s="830"/>
      <c r="E194" s="144"/>
      <c r="F194" s="143"/>
      <c r="G194" s="143"/>
      <c r="H194" s="143"/>
      <c r="I194" s="143"/>
      <c r="J194" s="838"/>
      <c r="K194" s="839"/>
      <c r="L194" s="143"/>
      <c r="M194" s="143"/>
      <c r="N194" s="143"/>
      <c r="O194" s="143"/>
      <c r="P194" s="143"/>
      <c r="Q194" s="143"/>
      <c r="R194" s="143"/>
      <c r="S194" s="838"/>
      <c r="T194" s="143"/>
      <c r="U194" s="143"/>
      <c r="V194" s="143"/>
      <c r="W194" s="143"/>
      <c r="X194" s="143"/>
      <c r="Y194" s="144"/>
      <c r="Z194" s="831"/>
      <c r="AA194" s="139"/>
    </row>
    <row r="195" spans="2:27" x14ac:dyDescent="0.2">
      <c r="B195" s="139"/>
      <c r="C195" s="139"/>
      <c r="D195" s="830"/>
      <c r="E195" s="144"/>
      <c r="F195" s="144"/>
      <c r="G195" s="144"/>
      <c r="H195" s="144"/>
      <c r="I195" s="144"/>
      <c r="J195" s="831"/>
      <c r="K195" s="830"/>
      <c r="L195" s="144"/>
      <c r="M195" s="144"/>
      <c r="N195" s="144"/>
      <c r="O195" s="144"/>
      <c r="P195" s="144"/>
      <c r="Q195" s="144"/>
      <c r="R195" s="144"/>
      <c r="S195" s="831"/>
      <c r="T195" s="144"/>
      <c r="U195" s="144"/>
      <c r="V195" s="144"/>
      <c r="W195" s="143"/>
      <c r="X195" s="143"/>
      <c r="Y195" s="144"/>
      <c r="Z195" s="831"/>
      <c r="AA195" s="139"/>
    </row>
    <row r="196" spans="2:27" x14ac:dyDescent="0.2">
      <c r="B196" s="139"/>
      <c r="C196" s="139"/>
      <c r="D196" s="830"/>
      <c r="E196" s="144"/>
      <c r="F196" s="144"/>
      <c r="G196" s="144"/>
      <c r="H196" s="144"/>
      <c r="I196" s="144"/>
      <c r="J196" s="831"/>
      <c r="K196" s="830"/>
      <c r="L196" s="144"/>
      <c r="M196" s="144"/>
      <c r="N196" s="144"/>
      <c r="O196" s="144"/>
      <c r="P196" s="144"/>
      <c r="Q196" s="144"/>
      <c r="R196" s="144"/>
      <c r="S196" s="831"/>
      <c r="T196" s="144"/>
      <c r="U196" s="144"/>
      <c r="V196" s="144"/>
      <c r="W196" s="143"/>
      <c r="X196" s="143"/>
      <c r="Y196" s="144"/>
      <c r="Z196" s="831"/>
      <c r="AA196" s="139"/>
    </row>
    <row r="197" spans="2:27" x14ac:dyDescent="0.2">
      <c r="B197" s="139"/>
      <c r="C197" s="139"/>
      <c r="D197" s="830"/>
      <c r="E197" s="144"/>
      <c r="F197" s="144"/>
      <c r="G197" s="144"/>
      <c r="H197" s="144"/>
      <c r="I197" s="144"/>
      <c r="J197" s="831"/>
      <c r="K197" s="830"/>
      <c r="L197" s="144"/>
      <c r="M197" s="144"/>
      <c r="N197" s="144"/>
      <c r="O197" s="144"/>
      <c r="P197" s="144"/>
      <c r="Q197" s="144"/>
      <c r="R197" s="144"/>
      <c r="S197" s="831"/>
      <c r="T197" s="144"/>
      <c r="U197" s="144"/>
      <c r="V197" s="144"/>
      <c r="W197" s="143"/>
      <c r="X197" s="143"/>
      <c r="Y197" s="144"/>
      <c r="Z197" s="831"/>
      <c r="AA197" s="139"/>
    </row>
    <row r="198" spans="2:27" x14ac:dyDescent="0.2">
      <c r="B198" s="139"/>
      <c r="C198" s="139"/>
      <c r="D198" s="830"/>
      <c r="E198" s="144"/>
      <c r="F198" s="144"/>
      <c r="G198" s="144"/>
      <c r="H198" s="144"/>
      <c r="I198" s="144"/>
      <c r="J198" s="831"/>
      <c r="K198" s="830"/>
      <c r="L198" s="144"/>
      <c r="M198" s="144"/>
      <c r="N198" s="144"/>
      <c r="O198" s="144"/>
      <c r="P198" s="144"/>
      <c r="Q198" s="144"/>
      <c r="R198" s="144"/>
      <c r="S198" s="831"/>
      <c r="T198" s="144"/>
      <c r="U198" s="144"/>
      <c r="V198" s="144"/>
      <c r="W198" s="143"/>
      <c r="X198" s="143"/>
      <c r="Y198" s="144"/>
      <c r="Z198" s="831"/>
      <c r="AA198" s="139"/>
    </row>
    <row r="199" spans="2:27" x14ac:dyDescent="0.2">
      <c r="B199" s="139"/>
      <c r="C199" s="139"/>
      <c r="D199" s="830"/>
      <c r="E199" s="144"/>
      <c r="F199" s="144"/>
      <c r="G199" s="144"/>
      <c r="H199" s="144"/>
      <c r="I199" s="144"/>
      <c r="J199" s="831"/>
      <c r="K199" s="830"/>
      <c r="L199" s="144"/>
      <c r="M199" s="144"/>
      <c r="N199" s="144"/>
      <c r="O199" s="144"/>
      <c r="P199" s="144"/>
      <c r="Q199" s="144"/>
      <c r="R199" s="144"/>
      <c r="S199" s="831"/>
      <c r="T199" s="144"/>
      <c r="U199" s="144"/>
      <c r="V199" s="144"/>
      <c r="W199" s="143"/>
      <c r="X199" s="143"/>
      <c r="Y199" s="144"/>
      <c r="Z199" s="831"/>
      <c r="AA199" s="139"/>
    </row>
    <row r="200" spans="2:27" ht="13.5" thickBot="1" x14ac:dyDescent="0.25">
      <c r="B200" s="139"/>
      <c r="C200" s="139"/>
      <c r="D200" s="832"/>
      <c r="E200" s="833"/>
      <c r="F200" s="833"/>
      <c r="G200" s="833"/>
      <c r="H200" s="833"/>
      <c r="I200" s="833"/>
      <c r="J200" s="835"/>
      <c r="K200" s="832"/>
      <c r="L200" s="833"/>
      <c r="M200" s="833"/>
      <c r="N200" s="833"/>
      <c r="O200" s="833"/>
      <c r="P200" s="833"/>
      <c r="Q200" s="833"/>
      <c r="R200" s="833"/>
      <c r="S200" s="835"/>
      <c r="T200" s="833"/>
      <c r="U200" s="833"/>
      <c r="V200" s="833"/>
      <c r="W200" s="834"/>
      <c r="X200" s="834"/>
      <c r="Y200" s="833"/>
      <c r="Z200" s="835"/>
      <c r="AA200" s="139"/>
    </row>
    <row r="201" spans="2:27" x14ac:dyDescent="0.2">
      <c r="B201" s="139"/>
      <c r="C201" s="139"/>
      <c r="D201" s="139"/>
      <c r="E201" s="139"/>
      <c r="F201" s="139"/>
      <c r="G201" s="139"/>
      <c r="H201" s="139"/>
      <c r="I201" s="139"/>
      <c r="J201" s="139"/>
      <c r="K201" s="139"/>
      <c r="L201" s="139"/>
      <c r="M201" s="139"/>
      <c r="N201" s="139"/>
      <c r="O201" s="139"/>
      <c r="P201" s="139"/>
      <c r="Q201" s="139"/>
      <c r="R201" s="139"/>
      <c r="S201" s="139"/>
      <c r="T201" s="139"/>
      <c r="U201" s="139"/>
      <c r="V201" s="139"/>
      <c r="W201" s="142"/>
      <c r="X201" s="142"/>
      <c r="Y201" s="139"/>
      <c r="Z201" s="139"/>
      <c r="AA201" s="139"/>
    </row>
    <row r="202" spans="2:27" ht="13.5" thickBot="1" x14ac:dyDescent="0.25">
      <c r="B202" s="139"/>
      <c r="C202" s="139"/>
      <c r="D202" s="139"/>
      <c r="E202" s="139"/>
      <c r="F202" s="139"/>
      <c r="G202" s="139"/>
      <c r="H202" s="139"/>
      <c r="I202" s="139"/>
      <c r="J202" s="139"/>
      <c r="K202" s="139"/>
      <c r="L202" s="139"/>
      <c r="M202" s="139"/>
      <c r="N202" s="139"/>
      <c r="O202" s="139"/>
      <c r="P202" s="139"/>
      <c r="Q202" s="139"/>
      <c r="R202" s="139"/>
      <c r="S202" s="139"/>
      <c r="T202" s="139"/>
      <c r="U202" s="139"/>
      <c r="V202" s="139"/>
      <c r="W202" s="142"/>
      <c r="X202" s="142"/>
      <c r="Y202" s="139"/>
      <c r="Z202" s="139"/>
      <c r="AA202" s="139"/>
    </row>
    <row r="203" spans="2:27" ht="13.5" thickBot="1" x14ac:dyDescent="0.25">
      <c r="B203" s="139"/>
      <c r="C203" s="139"/>
      <c r="D203" s="840" t="s">
        <v>1072</v>
      </c>
      <c r="E203" s="843"/>
      <c r="F203" s="843"/>
      <c r="G203" s="843"/>
      <c r="H203" s="843"/>
      <c r="I203" s="843"/>
      <c r="J203" s="844"/>
      <c r="K203" s="840" t="s">
        <v>1072</v>
      </c>
      <c r="L203" s="843"/>
      <c r="M203" s="843"/>
      <c r="N203" s="843"/>
      <c r="O203" s="843"/>
      <c r="P203" s="843"/>
      <c r="Q203" s="843"/>
      <c r="R203" s="843"/>
      <c r="S203" s="844"/>
      <c r="T203" s="840" t="s">
        <v>1072</v>
      </c>
      <c r="U203" s="843"/>
      <c r="V203" s="843"/>
      <c r="W203" s="836"/>
      <c r="X203" s="836"/>
      <c r="Y203" s="836"/>
      <c r="Z203" s="837"/>
      <c r="AA203" s="139"/>
    </row>
    <row r="204" spans="2:27" x14ac:dyDescent="0.2">
      <c r="B204" s="139"/>
      <c r="C204" s="139"/>
      <c r="D204" s="830"/>
      <c r="E204" s="144"/>
      <c r="F204" s="144"/>
      <c r="G204" s="144"/>
      <c r="H204" s="144"/>
      <c r="I204" s="144"/>
      <c r="J204" s="831"/>
      <c r="K204" s="830"/>
      <c r="L204" s="144"/>
      <c r="M204" s="144"/>
      <c r="N204" s="144"/>
      <c r="O204" s="144"/>
      <c r="P204" s="144"/>
      <c r="Q204" s="144"/>
      <c r="R204" s="144"/>
      <c r="S204" s="831"/>
      <c r="T204" s="144"/>
      <c r="U204" s="144"/>
      <c r="V204" s="144"/>
      <c r="W204" s="144"/>
      <c r="X204" s="144"/>
      <c r="Y204" s="144"/>
      <c r="Z204" s="831"/>
      <c r="AA204" s="139"/>
    </row>
    <row r="205" spans="2:27" x14ac:dyDescent="0.2">
      <c r="B205" s="139"/>
      <c r="C205" s="139"/>
      <c r="D205" s="830"/>
      <c r="E205" s="144"/>
      <c r="F205" s="144"/>
      <c r="G205" s="144"/>
      <c r="H205" s="144"/>
      <c r="I205" s="144"/>
      <c r="J205" s="831"/>
      <c r="K205" s="830"/>
      <c r="L205" s="144"/>
      <c r="M205" s="144"/>
      <c r="N205" s="144"/>
      <c r="O205" s="144"/>
      <c r="P205" s="144"/>
      <c r="Q205" s="144"/>
      <c r="R205" s="144"/>
      <c r="S205" s="831"/>
      <c r="T205" s="144"/>
      <c r="U205" s="144"/>
      <c r="V205" s="144"/>
      <c r="W205" s="144"/>
      <c r="X205" s="144"/>
      <c r="Y205" s="144"/>
      <c r="Z205" s="831"/>
      <c r="AA205" s="139"/>
    </row>
    <row r="206" spans="2:27" x14ac:dyDescent="0.2">
      <c r="B206" s="139"/>
      <c r="C206" s="139"/>
      <c r="D206" s="830"/>
      <c r="E206" s="144"/>
      <c r="F206" s="144"/>
      <c r="G206" s="144"/>
      <c r="H206" s="144"/>
      <c r="I206" s="144"/>
      <c r="J206" s="831"/>
      <c r="K206" s="830"/>
      <c r="L206" s="144"/>
      <c r="M206" s="144"/>
      <c r="N206" s="144"/>
      <c r="O206" s="144"/>
      <c r="P206" s="144"/>
      <c r="Q206" s="144"/>
      <c r="R206" s="144"/>
      <c r="S206" s="831"/>
      <c r="T206" s="144"/>
      <c r="U206" s="143"/>
      <c r="V206" s="143"/>
      <c r="W206" s="143"/>
      <c r="X206" s="143"/>
      <c r="Y206" s="144"/>
      <c r="Z206" s="831"/>
      <c r="AA206" s="139"/>
    </row>
    <row r="207" spans="2:27" x14ac:dyDescent="0.2">
      <c r="B207" s="139"/>
      <c r="C207" s="139"/>
      <c r="D207" s="830"/>
      <c r="E207" s="143"/>
      <c r="F207" s="143"/>
      <c r="G207" s="143"/>
      <c r="H207" s="143"/>
      <c r="I207" s="143"/>
      <c r="J207" s="838"/>
      <c r="K207" s="839"/>
      <c r="L207" s="143"/>
      <c r="M207" s="143"/>
      <c r="N207" s="143"/>
      <c r="O207" s="143"/>
      <c r="P207" s="143"/>
      <c r="Q207" s="143"/>
      <c r="R207" s="143"/>
      <c r="S207" s="838"/>
      <c r="T207" s="143"/>
      <c r="U207" s="143"/>
      <c r="V207" s="143"/>
      <c r="W207" s="143"/>
      <c r="X207" s="143"/>
      <c r="Y207" s="144"/>
      <c r="Z207" s="831"/>
      <c r="AA207" s="139"/>
    </row>
    <row r="208" spans="2:27" x14ac:dyDescent="0.2">
      <c r="B208" s="139"/>
      <c r="C208" s="139"/>
      <c r="D208" s="830"/>
      <c r="E208" s="144"/>
      <c r="F208" s="143"/>
      <c r="G208" s="143"/>
      <c r="H208" s="143"/>
      <c r="I208" s="143"/>
      <c r="J208" s="838"/>
      <c r="K208" s="839"/>
      <c r="L208" s="143"/>
      <c r="M208" s="143"/>
      <c r="N208" s="143"/>
      <c r="O208" s="143"/>
      <c r="P208" s="143"/>
      <c r="Q208" s="143"/>
      <c r="R208" s="143"/>
      <c r="S208" s="838"/>
      <c r="T208" s="143"/>
      <c r="U208" s="143"/>
      <c r="V208" s="143"/>
      <c r="W208" s="143"/>
      <c r="X208" s="143"/>
      <c r="Y208" s="144"/>
      <c r="Z208" s="831"/>
      <c r="AA208" s="139"/>
    </row>
    <row r="209" spans="2:27" x14ac:dyDescent="0.2">
      <c r="B209" s="139"/>
      <c r="C209" s="139"/>
      <c r="D209" s="830"/>
      <c r="E209" s="144"/>
      <c r="F209" s="144"/>
      <c r="G209" s="144"/>
      <c r="H209" s="144"/>
      <c r="I209" s="144"/>
      <c r="J209" s="831"/>
      <c r="K209" s="830"/>
      <c r="L209" s="144"/>
      <c r="M209" s="144"/>
      <c r="N209" s="144"/>
      <c r="O209" s="144"/>
      <c r="P209" s="144"/>
      <c r="Q209" s="144"/>
      <c r="R209" s="144"/>
      <c r="S209" s="831"/>
      <c r="T209" s="144"/>
      <c r="U209" s="144"/>
      <c r="V209" s="144"/>
      <c r="W209" s="143"/>
      <c r="X209" s="143"/>
      <c r="Y209" s="144"/>
      <c r="Z209" s="831"/>
      <c r="AA209" s="139"/>
    </row>
    <row r="210" spans="2:27" x14ac:dyDescent="0.2">
      <c r="B210" s="139"/>
      <c r="C210" s="139"/>
      <c r="D210" s="830"/>
      <c r="E210" s="144"/>
      <c r="F210" s="144"/>
      <c r="G210" s="144"/>
      <c r="H210" s="144"/>
      <c r="I210" s="144"/>
      <c r="J210" s="831"/>
      <c r="K210" s="830"/>
      <c r="L210" s="144"/>
      <c r="M210" s="144"/>
      <c r="N210" s="144"/>
      <c r="O210" s="144"/>
      <c r="P210" s="144"/>
      <c r="Q210" s="144"/>
      <c r="R210" s="144"/>
      <c r="S210" s="831"/>
      <c r="T210" s="144"/>
      <c r="U210" s="144"/>
      <c r="V210" s="144"/>
      <c r="W210" s="143"/>
      <c r="X210" s="143"/>
      <c r="Y210" s="144"/>
      <c r="Z210" s="831"/>
      <c r="AA210" s="139"/>
    </row>
    <row r="211" spans="2:27" x14ac:dyDescent="0.2">
      <c r="B211" s="139"/>
      <c r="C211" s="139"/>
      <c r="D211" s="830"/>
      <c r="E211" s="144"/>
      <c r="F211" s="144"/>
      <c r="G211" s="144"/>
      <c r="H211" s="144"/>
      <c r="I211" s="144"/>
      <c r="J211" s="831"/>
      <c r="K211" s="830"/>
      <c r="L211" s="144"/>
      <c r="M211" s="144"/>
      <c r="N211" s="144"/>
      <c r="O211" s="144"/>
      <c r="P211" s="144"/>
      <c r="Q211" s="144"/>
      <c r="R211" s="144"/>
      <c r="S211" s="831"/>
      <c r="T211" s="144"/>
      <c r="U211" s="144"/>
      <c r="V211" s="144"/>
      <c r="W211" s="143"/>
      <c r="X211" s="143"/>
      <c r="Y211" s="144"/>
      <c r="Z211" s="831"/>
      <c r="AA211" s="139"/>
    </row>
    <row r="212" spans="2:27" x14ac:dyDescent="0.2">
      <c r="B212" s="139"/>
      <c r="C212" s="139"/>
      <c r="D212" s="830"/>
      <c r="E212" s="144"/>
      <c r="F212" s="144"/>
      <c r="G212" s="144"/>
      <c r="H212" s="144"/>
      <c r="I212" s="144"/>
      <c r="J212" s="831"/>
      <c r="K212" s="830"/>
      <c r="L212" s="144"/>
      <c r="M212" s="144"/>
      <c r="N212" s="144"/>
      <c r="O212" s="144"/>
      <c r="P212" s="144"/>
      <c r="Q212" s="144"/>
      <c r="R212" s="144"/>
      <c r="S212" s="831"/>
      <c r="T212" s="144"/>
      <c r="U212" s="144"/>
      <c r="V212" s="144"/>
      <c r="W212" s="143"/>
      <c r="X212" s="143"/>
      <c r="Y212" s="144"/>
      <c r="Z212" s="831"/>
      <c r="AA212" s="139"/>
    </row>
    <row r="213" spans="2:27" x14ac:dyDescent="0.2">
      <c r="B213" s="139"/>
      <c r="C213" s="139"/>
      <c r="D213" s="830"/>
      <c r="E213" s="144"/>
      <c r="F213" s="144"/>
      <c r="G213" s="144"/>
      <c r="H213" s="144"/>
      <c r="I213" s="144"/>
      <c r="J213" s="831"/>
      <c r="K213" s="830"/>
      <c r="L213" s="144"/>
      <c r="M213" s="144"/>
      <c r="N213" s="144"/>
      <c r="O213" s="144"/>
      <c r="P213" s="144"/>
      <c r="Q213" s="144"/>
      <c r="R213" s="144"/>
      <c r="S213" s="831"/>
      <c r="T213" s="144"/>
      <c r="U213" s="144"/>
      <c r="V213" s="144"/>
      <c r="W213" s="143"/>
      <c r="X213" s="143"/>
      <c r="Y213" s="144"/>
      <c r="Z213" s="831"/>
      <c r="AA213" s="139"/>
    </row>
    <row r="214" spans="2:27" ht="13.5" thickBot="1" x14ac:dyDescent="0.25">
      <c r="B214" s="139"/>
      <c r="C214" s="139"/>
      <c r="D214" s="832"/>
      <c r="E214" s="833"/>
      <c r="F214" s="833"/>
      <c r="G214" s="833"/>
      <c r="H214" s="833"/>
      <c r="I214" s="833"/>
      <c r="J214" s="835"/>
      <c r="K214" s="832"/>
      <c r="L214" s="833"/>
      <c r="M214" s="833"/>
      <c r="N214" s="833"/>
      <c r="O214" s="833"/>
      <c r="P214" s="833"/>
      <c r="Q214" s="833"/>
      <c r="R214" s="833"/>
      <c r="S214" s="835"/>
      <c r="T214" s="833"/>
      <c r="U214" s="833"/>
      <c r="V214" s="833"/>
      <c r="W214" s="834"/>
      <c r="X214" s="834"/>
      <c r="Y214" s="833"/>
      <c r="Z214" s="835"/>
      <c r="AA214" s="139"/>
    </row>
    <row r="215" spans="2:27" ht="13.5" thickBot="1" x14ac:dyDescent="0.25">
      <c r="B215" s="139"/>
      <c r="C215" s="139"/>
      <c r="D215" s="144"/>
      <c r="E215" s="144"/>
      <c r="F215" s="144"/>
      <c r="G215" s="144"/>
      <c r="H215" s="144"/>
      <c r="I215" s="144"/>
      <c r="J215" s="144"/>
      <c r="K215" s="144"/>
      <c r="L215" s="144"/>
      <c r="M215" s="144"/>
      <c r="N215" s="144"/>
      <c r="O215" s="144"/>
      <c r="P215" s="144"/>
      <c r="Q215" s="144"/>
      <c r="R215" s="144"/>
      <c r="S215" s="144"/>
      <c r="T215" s="144"/>
      <c r="U215" s="144"/>
      <c r="V215" s="144"/>
      <c r="W215" s="143"/>
      <c r="X215" s="143"/>
      <c r="Y215" s="144"/>
      <c r="Z215" s="144"/>
      <c r="AA215" s="139"/>
    </row>
    <row r="216" spans="2:27" ht="13.5" thickBot="1" x14ac:dyDescent="0.25">
      <c r="B216" s="139"/>
      <c r="C216" s="139"/>
      <c r="D216" s="840" t="s">
        <v>1089</v>
      </c>
      <c r="E216" s="843"/>
      <c r="F216" s="843"/>
      <c r="G216" s="843"/>
      <c r="H216" s="843"/>
      <c r="I216" s="843"/>
      <c r="J216" s="844"/>
      <c r="K216" s="840" t="s">
        <v>1089</v>
      </c>
      <c r="L216" s="843"/>
      <c r="M216" s="843"/>
      <c r="N216" s="843"/>
      <c r="O216" s="843"/>
      <c r="P216" s="843"/>
      <c r="Q216" s="843"/>
      <c r="R216" s="843"/>
      <c r="S216" s="844"/>
      <c r="T216" s="840" t="s">
        <v>1089</v>
      </c>
      <c r="U216" s="843"/>
      <c r="V216" s="843"/>
      <c r="W216" s="836"/>
      <c r="X216" s="836"/>
      <c r="Y216" s="836"/>
      <c r="Z216" s="837"/>
      <c r="AA216" s="139"/>
    </row>
    <row r="217" spans="2:27" x14ac:dyDescent="0.2">
      <c r="B217" s="139"/>
      <c r="C217" s="139"/>
      <c r="D217" s="830"/>
      <c r="E217" s="144"/>
      <c r="F217" s="144"/>
      <c r="G217" s="144"/>
      <c r="H217" s="144"/>
      <c r="I217" s="144"/>
      <c r="J217" s="831"/>
      <c r="K217" s="830"/>
      <c r="L217" s="144"/>
      <c r="M217" s="144"/>
      <c r="N217" s="144"/>
      <c r="O217" s="144"/>
      <c r="P217" s="144"/>
      <c r="Q217" s="144"/>
      <c r="R217" s="144"/>
      <c r="S217" s="831"/>
      <c r="T217" s="144"/>
      <c r="U217" s="144"/>
      <c r="V217" s="144"/>
      <c r="W217" s="144"/>
      <c r="X217" s="144"/>
      <c r="Y217" s="144"/>
      <c r="Z217" s="831"/>
      <c r="AA217" s="139"/>
    </row>
    <row r="218" spans="2:27" x14ac:dyDescent="0.2">
      <c r="B218" s="139"/>
      <c r="C218" s="139"/>
      <c r="D218" s="830"/>
      <c r="E218" s="144"/>
      <c r="F218" s="144"/>
      <c r="G218" s="144"/>
      <c r="H218" s="144"/>
      <c r="I218" s="144"/>
      <c r="J218" s="831"/>
      <c r="K218" s="830"/>
      <c r="L218" s="144"/>
      <c r="M218" s="144"/>
      <c r="N218" s="144"/>
      <c r="O218" s="144"/>
      <c r="P218" s="144"/>
      <c r="Q218" s="144"/>
      <c r="R218" s="144"/>
      <c r="S218" s="831"/>
      <c r="T218" s="144"/>
      <c r="U218" s="144"/>
      <c r="V218" s="144"/>
      <c r="W218" s="144"/>
      <c r="X218" s="144"/>
      <c r="Y218" s="144"/>
      <c r="Z218" s="831"/>
      <c r="AA218" s="139"/>
    </row>
    <row r="219" spans="2:27" x14ac:dyDescent="0.2">
      <c r="B219" s="139"/>
      <c r="C219" s="139"/>
      <c r="D219" s="830"/>
      <c r="E219" s="144"/>
      <c r="F219" s="144"/>
      <c r="G219" s="144"/>
      <c r="H219" s="144"/>
      <c r="I219" s="144"/>
      <c r="J219" s="831"/>
      <c r="K219" s="830"/>
      <c r="L219" s="144"/>
      <c r="M219" s="144"/>
      <c r="N219" s="144"/>
      <c r="O219" s="144"/>
      <c r="P219" s="144"/>
      <c r="Q219" s="144"/>
      <c r="R219" s="144"/>
      <c r="S219" s="831"/>
      <c r="T219" s="144"/>
      <c r="U219" s="143"/>
      <c r="V219" s="143"/>
      <c r="W219" s="143"/>
      <c r="X219" s="143"/>
      <c r="Y219" s="144"/>
      <c r="Z219" s="831"/>
      <c r="AA219" s="139"/>
    </row>
    <row r="220" spans="2:27" x14ac:dyDescent="0.2">
      <c r="B220" s="139"/>
      <c r="C220" s="139"/>
      <c r="D220" s="830"/>
      <c r="E220" s="143"/>
      <c r="F220" s="143"/>
      <c r="G220" s="143"/>
      <c r="H220" s="143"/>
      <c r="I220" s="143"/>
      <c r="J220" s="838"/>
      <c r="K220" s="839"/>
      <c r="L220" s="143"/>
      <c r="M220" s="143"/>
      <c r="N220" s="143"/>
      <c r="O220" s="143"/>
      <c r="P220" s="143"/>
      <c r="Q220" s="143"/>
      <c r="R220" s="143"/>
      <c r="S220" s="838"/>
      <c r="T220" s="143"/>
      <c r="U220" s="143"/>
      <c r="V220" s="143"/>
      <c r="W220" s="143"/>
      <c r="X220" s="143"/>
      <c r="Y220" s="144"/>
      <c r="Z220" s="831"/>
      <c r="AA220" s="139"/>
    </row>
    <row r="221" spans="2:27" x14ac:dyDescent="0.2">
      <c r="B221" s="139"/>
      <c r="C221" s="139"/>
      <c r="D221" s="830"/>
      <c r="E221" s="144"/>
      <c r="F221" s="143"/>
      <c r="G221" s="143"/>
      <c r="H221" s="143"/>
      <c r="I221" s="143"/>
      <c r="J221" s="838"/>
      <c r="K221" s="839"/>
      <c r="L221" s="143"/>
      <c r="M221" s="143"/>
      <c r="N221" s="143"/>
      <c r="O221" s="143"/>
      <c r="P221" s="143"/>
      <c r="Q221" s="143"/>
      <c r="R221" s="143"/>
      <c r="S221" s="838"/>
      <c r="T221" s="143"/>
      <c r="U221" s="143"/>
      <c r="V221" s="143"/>
      <c r="W221" s="143"/>
      <c r="X221" s="143"/>
      <c r="Y221" s="144"/>
      <c r="Z221" s="831"/>
      <c r="AA221" s="139"/>
    </row>
    <row r="222" spans="2:27" x14ac:dyDescent="0.2">
      <c r="B222" s="139"/>
      <c r="C222" s="139"/>
      <c r="D222" s="830"/>
      <c r="E222" s="144"/>
      <c r="F222" s="144"/>
      <c r="G222" s="144"/>
      <c r="H222" s="144"/>
      <c r="I222" s="144"/>
      <c r="J222" s="831"/>
      <c r="K222" s="830"/>
      <c r="L222" s="144"/>
      <c r="M222" s="144"/>
      <c r="N222" s="144"/>
      <c r="O222" s="144"/>
      <c r="P222" s="144"/>
      <c r="Q222" s="144"/>
      <c r="R222" s="144"/>
      <c r="S222" s="831"/>
      <c r="T222" s="144"/>
      <c r="U222" s="144"/>
      <c r="V222" s="144"/>
      <c r="W222" s="143"/>
      <c r="X222" s="143"/>
      <c r="Y222" s="144"/>
      <c r="Z222" s="831"/>
      <c r="AA222" s="139"/>
    </row>
    <row r="223" spans="2:27" x14ac:dyDescent="0.2">
      <c r="B223" s="139"/>
      <c r="C223" s="139"/>
      <c r="D223" s="830"/>
      <c r="E223" s="144"/>
      <c r="F223" s="144"/>
      <c r="G223" s="144"/>
      <c r="H223" s="144"/>
      <c r="I223" s="144"/>
      <c r="J223" s="831"/>
      <c r="K223" s="830"/>
      <c r="L223" s="144"/>
      <c r="M223" s="144"/>
      <c r="N223" s="144"/>
      <c r="O223" s="144"/>
      <c r="P223" s="144"/>
      <c r="Q223" s="144"/>
      <c r="R223" s="144"/>
      <c r="S223" s="831"/>
      <c r="T223" s="144"/>
      <c r="U223" s="144"/>
      <c r="V223" s="144"/>
      <c r="W223" s="143"/>
      <c r="X223" s="143"/>
      <c r="Y223" s="144"/>
      <c r="Z223" s="831"/>
      <c r="AA223" s="139"/>
    </row>
    <row r="224" spans="2:27" x14ac:dyDescent="0.2">
      <c r="B224" s="139"/>
      <c r="C224" s="139"/>
      <c r="D224" s="830"/>
      <c r="E224" s="144"/>
      <c r="F224" s="144"/>
      <c r="G224" s="144"/>
      <c r="H224" s="144"/>
      <c r="I224" s="144"/>
      <c r="J224" s="831"/>
      <c r="K224" s="830"/>
      <c r="L224" s="144"/>
      <c r="M224" s="144"/>
      <c r="N224" s="144"/>
      <c r="O224" s="144"/>
      <c r="P224" s="144"/>
      <c r="Q224" s="144"/>
      <c r="R224" s="144"/>
      <c r="S224" s="831"/>
      <c r="T224" s="144"/>
      <c r="U224" s="144"/>
      <c r="V224" s="144"/>
      <c r="W224" s="143"/>
      <c r="X224" s="143"/>
      <c r="Y224" s="144"/>
      <c r="Z224" s="831"/>
      <c r="AA224" s="139"/>
    </row>
    <row r="225" spans="2:27" x14ac:dyDescent="0.2">
      <c r="B225" s="139"/>
      <c r="C225" s="139"/>
      <c r="D225" s="830"/>
      <c r="E225" s="144"/>
      <c r="F225" s="144"/>
      <c r="G225" s="144"/>
      <c r="H225" s="144"/>
      <c r="I225" s="144"/>
      <c r="J225" s="831"/>
      <c r="K225" s="830"/>
      <c r="L225" s="144"/>
      <c r="M225" s="144"/>
      <c r="N225" s="144"/>
      <c r="O225" s="144"/>
      <c r="P225" s="144"/>
      <c r="Q225" s="144"/>
      <c r="R225" s="144"/>
      <c r="S225" s="831"/>
      <c r="T225" s="144"/>
      <c r="U225" s="144"/>
      <c r="V225" s="144"/>
      <c r="W225" s="143"/>
      <c r="X225" s="143"/>
      <c r="Y225" s="144"/>
      <c r="Z225" s="831"/>
      <c r="AA225" s="139"/>
    </row>
    <row r="226" spans="2:27" x14ac:dyDescent="0.2">
      <c r="B226" s="139"/>
      <c r="C226" s="139"/>
      <c r="D226" s="830"/>
      <c r="E226" s="144"/>
      <c r="F226" s="144"/>
      <c r="G226" s="144"/>
      <c r="H226" s="144"/>
      <c r="I226" s="144"/>
      <c r="J226" s="831"/>
      <c r="K226" s="830"/>
      <c r="L226" s="144"/>
      <c r="M226" s="144"/>
      <c r="N226" s="144"/>
      <c r="O226" s="144"/>
      <c r="P226" s="144"/>
      <c r="Q226" s="144"/>
      <c r="R226" s="144"/>
      <c r="S226" s="831"/>
      <c r="T226" s="144"/>
      <c r="U226" s="144"/>
      <c r="V226" s="144"/>
      <c r="W226" s="143"/>
      <c r="X226" s="143"/>
      <c r="Y226" s="144"/>
      <c r="Z226" s="831"/>
      <c r="AA226" s="139"/>
    </row>
    <row r="227" spans="2:27" ht="13.5" thickBot="1" x14ac:dyDescent="0.25">
      <c r="B227" s="139"/>
      <c r="C227" s="139"/>
      <c r="D227" s="832"/>
      <c r="E227" s="833"/>
      <c r="F227" s="833"/>
      <c r="G227" s="833"/>
      <c r="H227" s="833"/>
      <c r="I227" s="833"/>
      <c r="J227" s="835"/>
      <c r="K227" s="832"/>
      <c r="L227" s="833"/>
      <c r="M227" s="833"/>
      <c r="N227" s="833"/>
      <c r="O227" s="833"/>
      <c r="P227" s="833"/>
      <c r="Q227" s="833"/>
      <c r="R227" s="833"/>
      <c r="S227" s="835"/>
      <c r="T227" s="833"/>
      <c r="U227" s="833"/>
      <c r="V227" s="833"/>
      <c r="W227" s="834"/>
      <c r="X227" s="834"/>
      <c r="Y227" s="833"/>
      <c r="Z227" s="835"/>
      <c r="AA227" s="139"/>
    </row>
    <row r="228" spans="2:27" x14ac:dyDescent="0.2">
      <c r="B228" s="139"/>
      <c r="C228" s="139"/>
      <c r="D228" s="144"/>
      <c r="E228" s="144"/>
      <c r="F228" s="144"/>
      <c r="G228" s="144"/>
      <c r="H228" s="144"/>
      <c r="I228" s="144"/>
      <c r="J228" s="144"/>
      <c r="K228" s="144"/>
      <c r="L228" s="144"/>
      <c r="M228" s="144"/>
      <c r="N228" s="144"/>
      <c r="O228" s="144"/>
      <c r="P228" s="144"/>
      <c r="Q228" s="144"/>
      <c r="R228" s="144"/>
      <c r="S228" s="144"/>
      <c r="T228" s="144"/>
      <c r="U228" s="144"/>
      <c r="V228" s="144"/>
      <c r="W228" s="143"/>
      <c r="X228" s="143"/>
      <c r="Y228" s="144"/>
      <c r="Z228" s="144"/>
      <c r="AA228" s="139"/>
    </row>
    <row r="229" spans="2:27" x14ac:dyDescent="0.2">
      <c r="B229" s="139"/>
      <c r="C229" s="139"/>
      <c r="D229" s="144"/>
      <c r="E229" s="144"/>
      <c r="F229" s="144"/>
      <c r="G229" s="144"/>
      <c r="H229" s="144"/>
      <c r="I229" s="144"/>
      <c r="J229" s="144"/>
      <c r="K229" s="144"/>
      <c r="L229" s="144"/>
      <c r="M229" s="144"/>
      <c r="N229" s="144"/>
      <c r="O229" s="144"/>
      <c r="P229" s="144"/>
      <c r="Q229" s="144"/>
      <c r="R229" s="144"/>
      <c r="S229" s="144"/>
      <c r="T229" s="144"/>
      <c r="U229" s="144"/>
      <c r="V229" s="144"/>
      <c r="W229" s="143"/>
      <c r="X229" s="143"/>
      <c r="Y229" s="144"/>
      <c r="Z229" s="144"/>
      <c r="AA229" s="139"/>
    </row>
    <row r="230" spans="2:27" x14ac:dyDescent="0.2">
      <c r="B230" s="139"/>
      <c r="C230" s="139"/>
      <c r="D230" s="144"/>
      <c r="E230" s="144"/>
      <c r="F230" s="144"/>
      <c r="G230" s="144"/>
      <c r="H230" s="144"/>
      <c r="I230" s="144"/>
      <c r="J230" s="144"/>
      <c r="K230" s="144"/>
      <c r="L230" s="144"/>
      <c r="M230" s="144"/>
      <c r="N230" s="144"/>
      <c r="O230" s="144"/>
      <c r="P230" s="144"/>
      <c r="Q230" s="144"/>
      <c r="R230" s="144"/>
      <c r="S230" s="144"/>
      <c r="T230" s="144"/>
      <c r="U230" s="144"/>
      <c r="V230" s="144"/>
      <c r="W230" s="143"/>
      <c r="X230" s="143"/>
      <c r="Y230" s="144"/>
      <c r="Z230" s="144"/>
      <c r="AA230" s="139"/>
    </row>
    <row r="231" spans="2:27" x14ac:dyDescent="0.2">
      <c r="B231" s="139"/>
      <c r="C231" s="139"/>
      <c r="D231" s="144"/>
      <c r="E231" s="144"/>
      <c r="F231" s="144"/>
      <c r="G231" s="144"/>
      <c r="H231" s="144"/>
      <c r="I231" s="144"/>
      <c r="J231" s="144"/>
      <c r="K231" s="144"/>
      <c r="L231" s="144"/>
      <c r="M231" s="144"/>
      <c r="N231" s="144"/>
      <c r="O231" s="144"/>
      <c r="P231" s="144"/>
      <c r="Q231" s="144"/>
      <c r="R231" s="144"/>
      <c r="S231" s="144"/>
      <c r="T231" s="144"/>
      <c r="U231" s="144"/>
      <c r="V231" s="144"/>
      <c r="W231" s="143"/>
      <c r="X231" s="143"/>
      <c r="Y231" s="144"/>
      <c r="Z231" s="144"/>
      <c r="AA231" s="139"/>
    </row>
    <row r="232" spans="2:27" x14ac:dyDescent="0.2">
      <c r="B232" s="139"/>
      <c r="C232" s="139"/>
      <c r="D232" s="139"/>
      <c r="E232" s="139"/>
      <c r="F232" s="139"/>
      <c r="G232" s="139"/>
      <c r="H232" s="139"/>
      <c r="I232" s="139"/>
      <c r="J232" s="139"/>
      <c r="K232" s="139"/>
      <c r="L232" s="139"/>
      <c r="M232" s="139"/>
      <c r="N232" s="139"/>
      <c r="O232" s="139"/>
      <c r="P232" s="139"/>
      <c r="Q232" s="139"/>
      <c r="R232" s="139"/>
      <c r="S232" s="139"/>
      <c r="T232" s="139"/>
      <c r="U232" s="139"/>
      <c r="V232" s="139"/>
      <c r="W232" s="139"/>
      <c r="X232" s="139"/>
      <c r="Y232" s="139"/>
      <c r="Z232" s="139"/>
      <c r="AA232" s="139"/>
    </row>
    <row r="233" spans="2:27" x14ac:dyDescent="0.2">
      <c r="B233" s="139"/>
      <c r="C233" s="139"/>
      <c r="D233" s="139"/>
      <c r="E233" s="139"/>
      <c r="F233" s="139"/>
      <c r="G233" s="139"/>
      <c r="H233" s="139"/>
      <c r="I233" s="139"/>
      <c r="J233" s="139"/>
      <c r="K233" s="139"/>
      <c r="L233" s="139"/>
      <c r="M233" s="139"/>
      <c r="N233" s="139"/>
      <c r="O233" s="139"/>
      <c r="P233" s="139"/>
      <c r="Q233" s="139"/>
      <c r="R233" s="139"/>
      <c r="S233" s="139"/>
      <c r="T233" s="139"/>
      <c r="U233" s="139"/>
      <c r="V233" s="139"/>
      <c r="W233" s="139"/>
      <c r="X233" s="139"/>
      <c r="Y233" s="139"/>
      <c r="Z233" s="139"/>
      <c r="AA233" s="139"/>
    </row>
    <row r="234" spans="2:27" ht="15.75" x14ac:dyDescent="0.2">
      <c r="B234" s="139"/>
      <c r="C234" s="139"/>
      <c r="D234" s="477" t="s">
        <v>547</v>
      </c>
      <c r="E234" s="478"/>
      <c r="F234" s="478"/>
      <c r="G234" s="478"/>
      <c r="H234" s="478"/>
      <c r="I234" s="478"/>
      <c r="J234" s="478"/>
      <c r="K234" s="478"/>
      <c r="L234" s="478"/>
      <c r="M234" s="478"/>
      <c r="N234" s="478"/>
      <c r="O234" s="478"/>
      <c r="P234" s="478"/>
      <c r="Q234" s="478"/>
      <c r="R234" s="478"/>
      <c r="S234" s="478"/>
      <c r="T234" s="478"/>
      <c r="U234" s="478"/>
      <c r="V234" s="478"/>
      <c r="W234" s="478"/>
      <c r="X234" s="478"/>
      <c r="Y234" s="478"/>
      <c r="Z234" s="478"/>
      <c r="AA234" s="139"/>
    </row>
    <row r="235" spans="2:27" x14ac:dyDescent="0.2">
      <c r="B235" s="139"/>
      <c r="C235" s="139"/>
      <c r="D235" s="139"/>
      <c r="E235" s="139"/>
      <c r="F235" s="139"/>
      <c r="G235" s="139"/>
      <c r="H235" s="139"/>
      <c r="I235" s="139"/>
      <c r="J235" s="139"/>
      <c r="K235" s="139"/>
      <c r="L235" s="139"/>
      <c r="M235" s="139"/>
      <c r="N235" s="139"/>
      <c r="O235" s="139"/>
      <c r="P235" s="139"/>
      <c r="Q235" s="139"/>
      <c r="R235" s="139"/>
      <c r="S235" s="139"/>
      <c r="T235" s="139"/>
      <c r="U235" s="139"/>
      <c r="V235" s="139"/>
      <c r="W235" s="139"/>
      <c r="X235" s="139"/>
      <c r="Y235" s="139"/>
      <c r="Z235" s="139"/>
      <c r="AA235" s="139"/>
    </row>
    <row r="236" spans="2:27" ht="12.75" customHeight="1" x14ac:dyDescent="0.2">
      <c r="B236" s="139"/>
      <c r="C236" s="139"/>
      <c r="D236" s="1008"/>
      <c r="E236" s="1009"/>
      <c r="F236" s="1009"/>
      <c r="G236" s="1009"/>
      <c r="H236" s="1009"/>
      <c r="I236" s="1009"/>
      <c r="J236" s="1009"/>
      <c r="K236" s="1009"/>
      <c r="L236" s="1009"/>
      <c r="M236" s="1009"/>
      <c r="N236" s="1009"/>
      <c r="O236" s="1009"/>
      <c r="P236" s="1009"/>
      <c r="Q236" s="1009"/>
      <c r="R236" s="1009"/>
      <c r="S236" s="1009"/>
      <c r="T236" s="1009"/>
      <c r="U236" s="1009"/>
      <c r="V236" s="1009"/>
      <c r="W236" s="1009"/>
      <c r="X236" s="1009"/>
      <c r="Y236" s="1009"/>
      <c r="Z236" s="1010"/>
      <c r="AA236" s="139"/>
    </row>
    <row r="237" spans="2:27" ht="12.75" customHeight="1" x14ac:dyDescent="0.2">
      <c r="B237" s="139"/>
      <c r="C237" s="139"/>
      <c r="D237" s="1011"/>
      <c r="E237" s="1012"/>
      <c r="F237" s="1012"/>
      <c r="G237" s="1012"/>
      <c r="H237" s="1012"/>
      <c r="I237" s="1012"/>
      <c r="J237" s="1012"/>
      <c r="K237" s="1012"/>
      <c r="L237" s="1012"/>
      <c r="M237" s="1012"/>
      <c r="N237" s="1012"/>
      <c r="O237" s="1012"/>
      <c r="P237" s="1012"/>
      <c r="Q237" s="1012"/>
      <c r="R237" s="1012"/>
      <c r="S237" s="1012"/>
      <c r="T237" s="1012"/>
      <c r="U237" s="1012"/>
      <c r="V237" s="1012"/>
      <c r="W237" s="1012"/>
      <c r="X237" s="1012"/>
      <c r="Y237" s="1012"/>
      <c r="Z237" s="1013"/>
      <c r="AA237" s="139"/>
    </row>
    <row r="238" spans="2:27" ht="12.75" customHeight="1" x14ac:dyDescent="0.2">
      <c r="B238" s="139"/>
      <c r="C238" s="139"/>
      <c r="D238" s="1011"/>
      <c r="E238" s="1012"/>
      <c r="F238" s="1012"/>
      <c r="G238" s="1012"/>
      <c r="H238" s="1012"/>
      <c r="I238" s="1012"/>
      <c r="J238" s="1012"/>
      <c r="K238" s="1012"/>
      <c r="L238" s="1012"/>
      <c r="M238" s="1012"/>
      <c r="N238" s="1012"/>
      <c r="O238" s="1012"/>
      <c r="P238" s="1012"/>
      <c r="Q238" s="1012"/>
      <c r="R238" s="1012"/>
      <c r="S238" s="1012"/>
      <c r="T238" s="1012"/>
      <c r="U238" s="1012"/>
      <c r="V238" s="1012"/>
      <c r="W238" s="1012"/>
      <c r="X238" s="1012"/>
      <c r="Y238" s="1012"/>
      <c r="Z238" s="1013"/>
      <c r="AA238" s="139"/>
    </row>
    <row r="239" spans="2:27" ht="12.75" customHeight="1" x14ac:dyDescent="0.2">
      <c r="B239" s="139"/>
      <c r="C239" s="139"/>
      <c r="D239" s="1011"/>
      <c r="E239" s="1012"/>
      <c r="F239" s="1012"/>
      <c r="G239" s="1012"/>
      <c r="H239" s="1012"/>
      <c r="I239" s="1012"/>
      <c r="J239" s="1012"/>
      <c r="K239" s="1012"/>
      <c r="L239" s="1012"/>
      <c r="M239" s="1012"/>
      <c r="N239" s="1012"/>
      <c r="O239" s="1012"/>
      <c r="P239" s="1012"/>
      <c r="Q239" s="1012"/>
      <c r="R239" s="1012"/>
      <c r="S239" s="1012"/>
      <c r="T239" s="1012"/>
      <c r="U239" s="1012"/>
      <c r="V239" s="1012"/>
      <c r="W239" s="1012"/>
      <c r="X239" s="1012"/>
      <c r="Y239" s="1012"/>
      <c r="Z239" s="1013"/>
      <c r="AA239" s="139"/>
    </row>
    <row r="240" spans="2:27" ht="12.75" customHeight="1" x14ac:dyDescent="0.2">
      <c r="B240" s="139"/>
      <c r="C240" s="139"/>
      <c r="D240" s="1011"/>
      <c r="E240" s="1012"/>
      <c r="F240" s="1012"/>
      <c r="G240" s="1012"/>
      <c r="H240" s="1012"/>
      <c r="I240" s="1012"/>
      <c r="J240" s="1012"/>
      <c r="K240" s="1012"/>
      <c r="L240" s="1012"/>
      <c r="M240" s="1012"/>
      <c r="N240" s="1012"/>
      <c r="O240" s="1012"/>
      <c r="P240" s="1012"/>
      <c r="Q240" s="1012"/>
      <c r="R240" s="1012"/>
      <c r="S240" s="1012"/>
      <c r="T240" s="1012"/>
      <c r="U240" s="1012"/>
      <c r="V240" s="1012"/>
      <c r="W240" s="1012"/>
      <c r="X240" s="1012"/>
      <c r="Y240" s="1012"/>
      <c r="Z240" s="1013"/>
      <c r="AA240" s="139"/>
    </row>
    <row r="241" spans="2:27" x14ac:dyDescent="0.2">
      <c r="B241" s="139"/>
      <c r="C241" s="139"/>
      <c r="D241" s="1011"/>
      <c r="E241" s="1012"/>
      <c r="F241" s="1012"/>
      <c r="G241" s="1012"/>
      <c r="H241" s="1012"/>
      <c r="I241" s="1012"/>
      <c r="J241" s="1012"/>
      <c r="K241" s="1012"/>
      <c r="L241" s="1012"/>
      <c r="M241" s="1012"/>
      <c r="N241" s="1012"/>
      <c r="O241" s="1012"/>
      <c r="P241" s="1012"/>
      <c r="Q241" s="1012"/>
      <c r="R241" s="1012"/>
      <c r="S241" s="1012"/>
      <c r="T241" s="1012"/>
      <c r="U241" s="1012"/>
      <c r="V241" s="1012"/>
      <c r="W241" s="1012"/>
      <c r="X241" s="1012"/>
      <c r="Y241" s="1012"/>
      <c r="Z241" s="1013"/>
      <c r="AA241" s="139"/>
    </row>
    <row r="242" spans="2:27" x14ac:dyDescent="0.2">
      <c r="B242" s="139"/>
      <c r="C242" s="139"/>
      <c r="D242" s="1011"/>
      <c r="E242" s="1012"/>
      <c r="F242" s="1012"/>
      <c r="G242" s="1012"/>
      <c r="H242" s="1012"/>
      <c r="I242" s="1012"/>
      <c r="J242" s="1012"/>
      <c r="K242" s="1012"/>
      <c r="L242" s="1012"/>
      <c r="M242" s="1012"/>
      <c r="N242" s="1012"/>
      <c r="O242" s="1012"/>
      <c r="P242" s="1012"/>
      <c r="Q242" s="1012"/>
      <c r="R242" s="1012"/>
      <c r="S242" s="1012"/>
      <c r="T242" s="1012"/>
      <c r="U242" s="1012"/>
      <c r="V242" s="1012"/>
      <c r="W242" s="1012"/>
      <c r="X242" s="1012"/>
      <c r="Y242" s="1012"/>
      <c r="Z242" s="1013"/>
      <c r="AA242" s="139"/>
    </row>
    <row r="243" spans="2:27" x14ac:dyDescent="0.2">
      <c r="B243" s="139"/>
      <c r="C243" s="139"/>
      <c r="D243" s="1011"/>
      <c r="E243" s="1012"/>
      <c r="F243" s="1012"/>
      <c r="G243" s="1012"/>
      <c r="H243" s="1012"/>
      <c r="I243" s="1012"/>
      <c r="J243" s="1012"/>
      <c r="K243" s="1012"/>
      <c r="L243" s="1012"/>
      <c r="M243" s="1012"/>
      <c r="N243" s="1012"/>
      <c r="O243" s="1012"/>
      <c r="P243" s="1012"/>
      <c r="Q243" s="1012"/>
      <c r="R243" s="1012"/>
      <c r="S243" s="1012"/>
      <c r="T243" s="1012"/>
      <c r="U243" s="1012"/>
      <c r="V243" s="1012"/>
      <c r="W243" s="1012"/>
      <c r="X243" s="1012"/>
      <c r="Y243" s="1012"/>
      <c r="Z243" s="1013"/>
      <c r="AA243" s="139"/>
    </row>
    <row r="244" spans="2:27" x14ac:dyDescent="0.2">
      <c r="B244" s="139"/>
      <c r="C244" s="139"/>
      <c r="D244" s="1011"/>
      <c r="E244" s="1012"/>
      <c r="F244" s="1012"/>
      <c r="G244" s="1012"/>
      <c r="H244" s="1012"/>
      <c r="I244" s="1012"/>
      <c r="J244" s="1012"/>
      <c r="K244" s="1012"/>
      <c r="L244" s="1012"/>
      <c r="M244" s="1012"/>
      <c r="N244" s="1012"/>
      <c r="O244" s="1012"/>
      <c r="P244" s="1012"/>
      <c r="Q244" s="1012"/>
      <c r="R244" s="1012"/>
      <c r="S244" s="1012"/>
      <c r="T244" s="1012"/>
      <c r="U244" s="1012"/>
      <c r="V244" s="1012"/>
      <c r="W244" s="1012"/>
      <c r="X244" s="1012"/>
      <c r="Y244" s="1012"/>
      <c r="Z244" s="1013"/>
      <c r="AA244" s="139"/>
    </row>
    <row r="245" spans="2:27" x14ac:dyDescent="0.2">
      <c r="B245" s="139"/>
      <c r="C245" s="139"/>
      <c r="D245" s="1014"/>
      <c r="E245" s="1015"/>
      <c r="F245" s="1015"/>
      <c r="G245" s="1015"/>
      <c r="H245" s="1015"/>
      <c r="I245" s="1015"/>
      <c r="J245" s="1015"/>
      <c r="K245" s="1015"/>
      <c r="L245" s="1015"/>
      <c r="M245" s="1015"/>
      <c r="N245" s="1015"/>
      <c r="O245" s="1015"/>
      <c r="P245" s="1015"/>
      <c r="Q245" s="1015"/>
      <c r="R245" s="1015"/>
      <c r="S245" s="1015"/>
      <c r="T245" s="1015"/>
      <c r="U245" s="1015"/>
      <c r="V245" s="1015"/>
      <c r="W245" s="1015"/>
      <c r="X245" s="1015"/>
      <c r="Y245" s="1015"/>
      <c r="Z245" s="1016"/>
      <c r="AA245" s="139"/>
    </row>
    <row r="246" spans="2:27" x14ac:dyDescent="0.2">
      <c r="B246" s="139"/>
      <c r="C246" s="139"/>
      <c r="D246" s="139"/>
      <c r="E246" s="139"/>
      <c r="F246" s="139"/>
      <c r="G246" s="139"/>
      <c r="H246" s="139"/>
      <c r="I246" s="139"/>
      <c r="J246" s="139"/>
      <c r="K246" s="139"/>
      <c r="L246" s="139"/>
      <c r="M246" s="139"/>
      <c r="N246" s="139"/>
      <c r="O246" s="139"/>
      <c r="P246" s="139"/>
      <c r="Q246" s="139"/>
      <c r="R246" s="139"/>
      <c r="S246" s="139"/>
      <c r="T246" s="139"/>
      <c r="U246" s="139"/>
      <c r="V246" s="139"/>
      <c r="W246" s="139"/>
      <c r="X246" s="139"/>
      <c r="Y246" s="139"/>
      <c r="Z246" s="139"/>
      <c r="AA246" s="139"/>
    </row>
    <row r="247" spans="2:27" x14ac:dyDescent="0.2">
      <c r="B247" s="139"/>
      <c r="C247" s="139"/>
      <c r="D247" s="139"/>
      <c r="E247" s="139"/>
      <c r="F247" s="139"/>
      <c r="G247" s="139"/>
      <c r="H247" s="139"/>
      <c r="I247" s="139"/>
      <c r="J247" s="139"/>
      <c r="K247" s="139"/>
      <c r="L247" s="139"/>
      <c r="M247" s="139"/>
      <c r="N247" s="139"/>
      <c r="O247" s="139"/>
      <c r="P247" s="139"/>
      <c r="Q247" s="139"/>
      <c r="R247" s="139"/>
      <c r="S247" s="139"/>
      <c r="T247" s="139"/>
      <c r="U247" s="139"/>
      <c r="V247" s="139"/>
      <c r="W247" s="139"/>
      <c r="X247" s="139"/>
      <c r="Y247" s="139"/>
      <c r="Z247" s="139"/>
      <c r="AA247" s="139"/>
    </row>
    <row r="248" spans="2:27" x14ac:dyDescent="0.2">
      <c r="B248" s="139"/>
      <c r="C248" s="139"/>
      <c r="D248" s="139"/>
      <c r="E248" s="139"/>
      <c r="F248" s="139"/>
      <c r="G248" s="139"/>
      <c r="H248" s="142"/>
      <c r="I248" s="142"/>
      <c r="J248" s="142"/>
      <c r="K248" s="142"/>
      <c r="L248" s="143"/>
      <c r="M248" s="143"/>
      <c r="N248" s="143"/>
      <c r="O248" s="143"/>
      <c r="P248" s="143"/>
      <c r="Q248" s="143"/>
      <c r="R248" s="143"/>
      <c r="S248" s="143"/>
      <c r="T248" s="143"/>
      <c r="U248" s="139"/>
      <c r="V248" s="139"/>
      <c r="W248" s="139"/>
      <c r="X248" s="139"/>
      <c r="Y248" s="139"/>
      <c r="Z248" s="139"/>
      <c r="AA248" s="139"/>
    </row>
    <row r="249" spans="2:27" x14ac:dyDescent="0.2">
      <c r="B249" s="139"/>
      <c r="C249" s="139"/>
      <c r="D249" s="139"/>
      <c r="E249" s="139"/>
      <c r="F249" s="139"/>
      <c r="G249" s="139"/>
      <c r="H249" s="142"/>
      <c r="I249" s="142"/>
      <c r="J249" s="142"/>
      <c r="K249" s="142"/>
      <c r="L249" s="143"/>
      <c r="M249" s="143"/>
      <c r="N249" s="143"/>
      <c r="O249" s="143"/>
      <c r="P249" s="143"/>
      <c r="Q249" s="143"/>
      <c r="R249" s="143"/>
      <c r="S249" s="143"/>
      <c r="T249" s="143"/>
      <c r="U249" s="139"/>
      <c r="V249" s="139"/>
      <c r="W249" s="139"/>
      <c r="X249" s="139"/>
      <c r="Y249" s="139"/>
      <c r="Z249" s="139"/>
      <c r="AA249" s="139"/>
    </row>
    <row r="250" spans="2:27" x14ac:dyDescent="0.2">
      <c r="B250" s="139"/>
      <c r="C250" s="139"/>
      <c r="D250" s="139"/>
      <c r="E250" s="139"/>
      <c r="F250" s="139"/>
      <c r="G250" s="139"/>
      <c r="H250" s="142"/>
      <c r="I250" s="142"/>
      <c r="J250" s="142"/>
      <c r="K250" s="142"/>
      <c r="L250" s="143"/>
      <c r="M250" s="143"/>
      <c r="N250" s="143"/>
      <c r="O250" s="143"/>
      <c r="P250" s="143"/>
      <c r="Q250" s="143"/>
      <c r="R250" s="143"/>
      <c r="S250" s="143"/>
      <c r="T250" s="143"/>
      <c r="U250" s="139"/>
      <c r="V250" s="139"/>
      <c r="W250" s="139"/>
      <c r="X250" s="139"/>
      <c r="Y250" s="139"/>
      <c r="Z250" s="139"/>
      <c r="AA250" s="139"/>
    </row>
    <row r="251" spans="2:27" x14ac:dyDescent="0.2">
      <c r="B251" s="139"/>
      <c r="C251" s="139"/>
      <c r="D251" s="139"/>
      <c r="E251" s="139"/>
      <c r="F251" s="139"/>
      <c r="G251" s="139"/>
      <c r="H251" s="142"/>
      <c r="I251" s="142"/>
      <c r="J251" s="142"/>
      <c r="K251" s="142"/>
      <c r="L251" s="142"/>
      <c r="M251" s="142"/>
      <c r="N251" s="142"/>
      <c r="O251" s="142"/>
      <c r="P251" s="142"/>
      <c r="Q251" s="142"/>
      <c r="R251" s="139"/>
      <c r="S251" s="139"/>
      <c r="T251" s="139"/>
      <c r="U251" s="139"/>
      <c r="V251" s="144"/>
      <c r="W251" s="144"/>
      <c r="X251" s="143"/>
      <c r="Y251" s="139"/>
      <c r="Z251" s="139"/>
      <c r="AA251" s="139"/>
    </row>
    <row r="252" spans="2:27" x14ac:dyDescent="0.2">
      <c r="B252" s="139"/>
      <c r="C252" s="139"/>
      <c r="D252" s="139"/>
      <c r="E252" s="139"/>
      <c r="F252" s="139"/>
      <c r="G252" s="139"/>
      <c r="H252" s="142"/>
      <c r="I252" s="142"/>
      <c r="J252" s="142"/>
      <c r="K252" s="142"/>
      <c r="L252" s="142"/>
      <c r="M252" s="142"/>
      <c r="N252" s="142"/>
      <c r="O252" s="142"/>
      <c r="P252" s="142"/>
      <c r="Q252" s="142"/>
      <c r="R252" s="139"/>
      <c r="S252" s="139"/>
      <c r="T252" s="139"/>
      <c r="U252" s="139"/>
      <c r="V252" s="139"/>
      <c r="W252" s="139"/>
      <c r="X252" s="139"/>
      <c r="Y252" s="139"/>
      <c r="Z252" s="139"/>
      <c r="AA252" s="139"/>
    </row>
    <row r="253" spans="2:27" x14ac:dyDescent="0.2">
      <c r="H253" s="136"/>
      <c r="I253" s="136"/>
      <c r="J253" s="136"/>
      <c r="K253" s="136"/>
      <c r="L253" s="136"/>
      <c r="M253" s="136"/>
      <c r="N253" s="136"/>
      <c r="O253" s="136"/>
      <c r="P253" s="136"/>
      <c r="Q253" s="136"/>
    </row>
    <row r="262" spans="2:28" hidden="1" x14ac:dyDescent="0.2">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row>
    <row r="263" spans="2:28" hidden="1" x14ac:dyDescent="0.2">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row>
    <row r="264" spans="2:28" hidden="1" x14ac:dyDescent="0.2">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row>
    <row r="265" spans="2:28" hidden="1" x14ac:dyDescent="0.2">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row>
    <row r="266" spans="2:28" hidden="1" x14ac:dyDescent="0.2">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row>
    <row r="267" spans="2:28" hidden="1" x14ac:dyDescent="0.2">
      <c r="B267" s="44"/>
      <c r="C267" s="44"/>
      <c r="D267" s="44" t="s">
        <v>1121</v>
      </c>
      <c r="E267" s="44" t="s">
        <v>1122</v>
      </c>
      <c r="F267" s="44" t="s">
        <v>1123</v>
      </c>
      <c r="G267" s="44" t="s">
        <v>1124</v>
      </c>
      <c r="H267" s="44" t="s">
        <v>2</v>
      </c>
      <c r="I267" s="44"/>
      <c r="J267" s="44"/>
      <c r="K267" s="44"/>
      <c r="L267" s="44"/>
      <c r="M267" s="44"/>
      <c r="N267" s="44"/>
      <c r="O267" s="44"/>
      <c r="P267" s="44"/>
      <c r="Q267" s="44"/>
      <c r="R267" s="44"/>
      <c r="S267" s="44"/>
      <c r="T267" s="44"/>
      <c r="U267" s="44"/>
      <c r="V267" s="44"/>
      <c r="W267" s="44"/>
      <c r="X267" s="44"/>
      <c r="Y267" s="44"/>
      <c r="Z267" s="44"/>
      <c r="AA267" s="44"/>
      <c r="AB267" s="44"/>
    </row>
    <row r="268" spans="2:28" hidden="1" x14ac:dyDescent="0.2">
      <c r="B268" s="44"/>
      <c r="C268" s="44"/>
      <c r="D268" s="44" t="s">
        <v>207</v>
      </c>
      <c r="E268" s="44" t="s">
        <v>226</v>
      </c>
      <c r="F268" s="44">
        <v>17180006</v>
      </c>
      <c r="G268" s="44" t="s">
        <v>1155</v>
      </c>
      <c r="H268" s="44">
        <v>17180006</v>
      </c>
      <c r="I268" s="44"/>
      <c r="J268" s="44"/>
      <c r="K268" s="44"/>
      <c r="L268" s="44"/>
      <c r="M268" s="44"/>
      <c r="N268" s="44"/>
      <c r="O268" s="44"/>
      <c r="P268" s="44"/>
      <c r="Q268" s="44"/>
      <c r="R268" s="44"/>
      <c r="S268" s="44"/>
      <c r="T268" s="44"/>
      <c r="U268" s="44"/>
      <c r="V268" s="44"/>
      <c r="W268" s="44"/>
      <c r="X268" s="44"/>
      <c r="Y268" s="44"/>
      <c r="Z268" s="44"/>
      <c r="AA268" s="44"/>
      <c r="AB268" s="44"/>
    </row>
    <row r="269" spans="2:28" hidden="1" x14ac:dyDescent="0.2">
      <c r="B269" s="44"/>
      <c r="C269" s="44"/>
      <c r="D269" s="44" t="s">
        <v>207</v>
      </c>
      <c r="E269" s="44" t="s">
        <v>226</v>
      </c>
      <c r="F269" s="44">
        <v>17180007</v>
      </c>
      <c r="G269" s="44" t="s">
        <v>1156</v>
      </c>
      <c r="H269" s="44" t="s">
        <v>1229</v>
      </c>
      <c r="I269" s="44"/>
      <c r="J269" s="44"/>
      <c r="K269" s="44"/>
      <c r="L269" s="44"/>
      <c r="M269" s="44"/>
      <c r="N269" s="44"/>
      <c r="O269" s="44"/>
      <c r="P269" s="44"/>
      <c r="Q269" s="44"/>
      <c r="R269" s="44"/>
      <c r="S269" s="44"/>
      <c r="T269" s="44"/>
      <c r="U269" s="44"/>
      <c r="V269" s="44"/>
      <c r="W269" s="44"/>
      <c r="X269" s="44"/>
      <c r="Y269" s="44"/>
      <c r="Z269" s="44"/>
      <c r="AA269" s="44"/>
      <c r="AB269" s="44"/>
    </row>
    <row r="270" spans="2:28" hidden="1" x14ac:dyDescent="0.2">
      <c r="B270" s="44"/>
      <c r="C270" s="44"/>
      <c r="D270" s="44" t="s">
        <v>207</v>
      </c>
      <c r="E270" s="44" t="s">
        <v>226</v>
      </c>
      <c r="F270" s="44">
        <v>17180008</v>
      </c>
      <c r="G270" s="44" t="s">
        <v>1157</v>
      </c>
      <c r="H270" s="44" t="s">
        <v>1230</v>
      </c>
      <c r="I270" s="44"/>
      <c r="J270" s="44"/>
      <c r="K270" s="44"/>
      <c r="L270" s="44"/>
      <c r="M270" s="44"/>
      <c r="N270" s="44"/>
      <c r="O270" s="44"/>
      <c r="P270" s="44"/>
      <c r="Q270" s="44"/>
      <c r="R270" s="44"/>
      <c r="S270" s="44"/>
      <c r="T270" s="44"/>
      <c r="U270" s="44"/>
      <c r="V270" s="44"/>
      <c r="W270" s="44"/>
      <c r="X270" s="44"/>
      <c r="Y270" s="44"/>
      <c r="Z270" s="44"/>
      <c r="AA270" s="44"/>
      <c r="AB270" s="44"/>
    </row>
    <row r="271" spans="2:28" hidden="1" x14ac:dyDescent="0.2">
      <c r="B271" s="44"/>
      <c r="C271" s="44"/>
      <c r="D271" s="44" t="s">
        <v>207</v>
      </c>
      <c r="E271" s="44" t="s">
        <v>226</v>
      </c>
      <c r="F271" s="44">
        <v>17180010</v>
      </c>
      <c r="G271" s="44" t="s">
        <v>1158</v>
      </c>
      <c r="H271" s="44" t="s">
        <v>1231</v>
      </c>
      <c r="I271" s="44"/>
      <c r="J271" s="44"/>
      <c r="K271" s="44"/>
      <c r="L271" s="44"/>
      <c r="M271" s="44"/>
      <c r="N271" s="44"/>
      <c r="O271" s="44"/>
      <c r="P271" s="44"/>
      <c r="Q271" s="44"/>
      <c r="R271" s="44"/>
      <c r="S271" s="44"/>
      <c r="T271" s="44"/>
      <c r="U271" s="44"/>
      <c r="V271" s="44"/>
      <c r="W271" s="44"/>
      <c r="X271" s="44"/>
      <c r="Y271" s="44"/>
      <c r="Z271" s="44"/>
      <c r="AA271" s="44"/>
      <c r="AB271" s="44"/>
    </row>
    <row r="272" spans="2:28" hidden="1" x14ac:dyDescent="0.2">
      <c r="B272" s="44"/>
      <c r="C272" s="44"/>
      <c r="D272" s="44" t="s">
        <v>207</v>
      </c>
      <c r="E272" s="44" t="s">
        <v>226</v>
      </c>
      <c r="F272" s="44">
        <v>17180011</v>
      </c>
      <c r="G272" s="44" t="s">
        <v>1159</v>
      </c>
      <c r="H272" s="44" t="s">
        <v>1232</v>
      </c>
      <c r="I272" s="44"/>
      <c r="J272" s="44"/>
      <c r="K272" s="44"/>
      <c r="L272" s="44"/>
      <c r="M272" s="44"/>
      <c r="N272" s="44"/>
      <c r="O272" s="44"/>
      <c r="P272" s="44"/>
      <c r="Q272" s="44"/>
      <c r="R272" s="44"/>
      <c r="S272" s="44"/>
      <c r="T272" s="44"/>
      <c r="U272" s="44"/>
      <c r="V272" s="44"/>
      <c r="W272" s="44"/>
      <c r="X272" s="44"/>
      <c r="Y272" s="44"/>
      <c r="Z272" s="44"/>
      <c r="AA272" s="44"/>
      <c r="AB272" s="44"/>
    </row>
    <row r="273" spans="2:28" hidden="1" x14ac:dyDescent="0.2">
      <c r="B273" s="44"/>
      <c r="C273" s="44"/>
      <c r="D273" s="44" t="s">
        <v>207</v>
      </c>
      <c r="E273" s="44" t="s">
        <v>226</v>
      </c>
      <c r="F273" s="44">
        <v>17180012</v>
      </c>
      <c r="G273" s="44" t="s">
        <v>1160</v>
      </c>
      <c r="H273" s="44" t="s">
        <v>1233</v>
      </c>
      <c r="I273" s="44"/>
      <c r="J273" s="44"/>
      <c r="K273" s="44"/>
      <c r="L273" s="44"/>
      <c r="M273" s="44"/>
      <c r="N273" s="44"/>
      <c r="O273" s="44"/>
      <c r="P273" s="44"/>
      <c r="Q273" s="44"/>
      <c r="R273" s="44"/>
      <c r="S273" s="44"/>
      <c r="T273" s="44"/>
      <c r="U273" s="44"/>
      <c r="V273" s="44"/>
      <c r="W273" s="44"/>
      <c r="X273" s="44"/>
      <c r="Y273" s="44"/>
      <c r="Z273" s="44"/>
      <c r="AA273" s="44"/>
      <c r="AB273" s="44"/>
    </row>
    <row r="274" spans="2:28" hidden="1" x14ac:dyDescent="0.2">
      <c r="B274" s="44"/>
      <c r="C274" s="44"/>
      <c r="D274" s="44" t="s">
        <v>207</v>
      </c>
      <c r="E274" s="44" t="s">
        <v>226</v>
      </c>
      <c r="F274" s="44">
        <v>17180020</v>
      </c>
      <c r="G274" s="44" t="s">
        <v>1161</v>
      </c>
      <c r="H274" s="44" t="s">
        <v>1234</v>
      </c>
      <c r="I274" s="44"/>
      <c r="J274" s="44"/>
      <c r="K274" s="44"/>
      <c r="L274" s="44"/>
      <c r="M274" s="44"/>
      <c r="N274" s="44"/>
      <c r="O274" s="44"/>
      <c r="P274" s="44"/>
      <c r="Q274" s="44"/>
      <c r="R274" s="44"/>
      <c r="S274" s="44"/>
      <c r="T274" s="44"/>
      <c r="U274" s="44"/>
      <c r="V274" s="44"/>
      <c r="W274" s="44"/>
      <c r="X274" s="44"/>
      <c r="Y274" s="44"/>
      <c r="Z274" s="44"/>
      <c r="AA274" s="44"/>
      <c r="AB274" s="44"/>
    </row>
    <row r="275" spans="2:28" hidden="1" x14ac:dyDescent="0.2">
      <c r="B275" s="44"/>
      <c r="C275" s="44"/>
      <c r="D275" s="44" t="s">
        <v>207</v>
      </c>
      <c r="E275" s="44" t="s">
        <v>226</v>
      </c>
      <c r="F275" s="44">
        <v>17180022</v>
      </c>
      <c r="G275" s="44" t="s">
        <v>1162</v>
      </c>
      <c r="H275" s="44" t="s">
        <v>1235</v>
      </c>
      <c r="I275" s="44"/>
      <c r="J275" s="44"/>
      <c r="K275" s="44"/>
      <c r="L275" s="44"/>
      <c r="M275" s="44"/>
      <c r="N275" s="44"/>
      <c r="O275" s="44"/>
      <c r="P275" s="44"/>
      <c r="Q275" s="44"/>
      <c r="R275" s="44"/>
      <c r="S275" s="44"/>
      <c r="T275" s="44"/>
      <c r="U275" s="44"/>
      <c r="V275" s="44"/>
      <c r="W275" s="44"/>
      <c r="X275" s="44"/>
      <c r="Y275" s="44"/>
      <c r="Z275" s="44"/>
      <c r="AA275" s="44"/>
      <c r="AB275" s="44"/>
    </row>
    <row r="276" spans="2:28" hidden="1" x14ac:dyDescent="0.2">
      <c r="B276" s="44"/>
      <c r="C276" s="44"/>
      <c r="D276" s="44" t="s">
        <v>207</v>
      </c>
      <c r="E276" s="44" t="s">
        <v>226</v>
      </c>
      <c r="F276" s="44">
        <v>17180025</v>
      </c>
      <c r="G276" s="44" t="s">
        <v>1163</v>
      </c>
      <c r="H276" s="44" t="s">
        <v>1236</v>
      </c>
      <c r="I276" s="44"/>
      <c r="J276" s="44"/>
      <c r="K276" s="44"/>
      <c r="L276" s="44"/>
      <c r="M276" s="44"/>
      <c r="N276" s="44"/>
      <c r="O276" s="44"/>
      <c r="P276" s="44"/>
      <c r="Q276" s="44"/>
      <c r="R276" s="44"/>
      <c r="S276" s="44"/>
      <c r="T276" s="44"/>
      <c r="U276" s="44"/>
      <c r="V276" s="44"/>
      <c r="W276" s="44"/>
      <c r="X276" s="44"/>
      <c r="Y276" s="44"/>
      <c r="Z276" s="44"/>
      <c r="AA276" s="44"/>
      <c r="AB276" s="44"/>
    </row>
    <row r="277" spans="2:28" hidden="1" x14ac:dyDescent="0.2">
      <c r="B277" s="44"/>
      <c r="C277" s="44"/>
      <c r="D277" s="44" t="s">
        <v>207</v>
      </c>
      <c r="E277" s="44" t="s">
        <v>226</v>
      </c>
      <c r="F277" s="44">
        <v>17180027</v>
      </c>
      <c r="G277" s="44" t="s">
        <v>1164</v>
      </c>
      <c r="H277" s="44" t="s">
        <v>1237</v>
      </c>
      <c r="I277" s="44"/>
      <c r="J277" s="44"/>
      <c r="K277" s="44"/>
      <c r="L277" s="44"/>
      <c r="M277" s="44"/>
      <c r="N277" s="44"/>
      <c r="O277" s="44"/>
      <c r="P277" s="44"/>
      <c r="Q277" s="44"/>
      <c r="R277" s="44"/>
      <c r="S277" s="44"/>
      <c r="T277" s="44"/>
      <c r="U277" s="44"/>
      <c r="V277" s="44"/>
      <c r="W277" s="44"/>
      <c r="X277" s="44"/>
      <c r="Y277" s="44"/>
      <c r="Z277" s="44"/>
      <c r="AA277" s="44"/>
      <c r="AB277" s="44"/>
    </row>
    <row r="278" spans="2:28" hidden="1" x14ac:dyDescent="0.2">
      <c r="B278" s="44"/>
      <c r="C278" s="44"/>
      <c r="D278" s="44" t="s">
        <v>207</v>
      </c>
      <c r="E278" s="44" t="s">
        <v>226</v>
      </c>
      <c r="F278" s="44">
        <v>17180031</v>
      </c>
      <c r="G278" s="44" t="s">
        <v>1165</v>
      </c>
      <c r="H278" s="44" t="s">
        <v>1238</v>
      </c>
      <c r="I278" s="44"/>
      <c r="J278" s="44"/>
      <c r="K278" s="44"/>
      <c r="L278" s="44"/>
      <c r="M278" s="44"/>
      <c r="N278" s="44"/>
      <c r="O278" s="44"/>
      <c r="P278" s="44"/>
      <c r="Q278" s="44"/>
      <c r="R278" s="44"/>
      <c r="S278" s="44"/>
      <c r="T278" s="44"/>
      <c r="U278" s="44"/>
      <c r="V278" s="44"/>
      <c r="W278" s="44"/>
      <c r="X278" s="44"/>
      <c r="Y278" s="44"/>
      <c r="Z278" s="44"/>
      <c r="AA278" s="44"/>
      <c r="AB278" s="44"/>
    </row>
    <row r="279" spans="2:28" hidden="1" x14ac:dyDescent="0.2">
      <c r="B279" s="44"/>
      <c r="C279" s="44"/>
      <c r="D279" s="44" t="s">
        <v>207</v>
      </c>
      <c r="E279" s="44" t="s">
        <v>226</v>
      </c>
      <c r="F279" s="44">
        <v>17180034</v>
      </c>
      <c r="G279" s="44" t="s">
        <v>1167</v>
      </c>
      <c r="H279" s="44" t="s">
        <v>1240</v>
      </c>
      <c r="I279" s="44"/>
      <c r="J279" s="44"/>
      <c r="K279" s="44"/>
      <c r="L279" s="44"/>
      <c r="M279" s="44"/>
      <c r="N279" s="44"/>
      <c r="O279" s="44"/>
      <c r="P279" s="44"/>
      <c r="Q279" s="44"/>
      <c r="R279" s="44"/>
      <c r="S279" s="44"/>
      <c r="T279" s="44"/>
      <c r="U279" s="44"/>
      <c r="V279" s="44"/>
      <c r="W279" s="44"/>
      <c r="X279" s="44"/>
      <c r="Y279" s="44"/>
      <c r="Z279" s="44"/>
      <c r="AA279" s="44"/>
      <c r="AB279" s="44"/>
    </row>
    <row r="280" spans="2:28" hidden="1" x14ac:dyDescent="0.2">
      <c r="B280" s="44"/>
      <c r="C280" s="44"/>
      <c r="D280" s="44" t="s">
        <v>207</v>
      </c>
      <c r="E280" s="44" t="s">
        <v>226</v>
      </c>
      <c r="F280" s="44">
        <v>17180037</v>
      </c>
      <c r="G280" s="44" t="s">
        <v>1170</v>
      </c>
      <c r="H280" s="44" t="s">
        <v>1243</v>
      </c>
      <c r="I280" s="44"/>
      <c r="J280" s="44"/>
      <c r="K280" s="44"/>
      <c r="L280" s="44"/>
      <c r="M280" s="44"/>
      <c r="N280" s="44"/>
      <c r="O280" s="44"/>
      <c r="P280" s="44"/>
      <c r="Q280" s="44"/>
      <c r="R280" s="44"/>
      <c r="S280" s="44"/>
      <c r="T280" s="44"/>
      <c r="U280" s="44"/>
      <c r="V280" s="44"/>
      <c r="W280" s="44"/>
      <c r="X280" s="44"/>
      <c r="Y280" s="44"/>
      <c r="Z280" s="44"/>
      <c r="AA280" s="44"/>
      <c r="AB280" s="44"/>
    </row>
    <row r="281" spans="2:28" hidden="1" x14ac:dyDescent="0.2">
      <c r="B281" s="44"/>
      <c r="C281" s="44"/>
      <c r="D281" s="44" t="s">
        <v>207</v>
      </c>
      <c r="E281" s="44" t="s">
        <v>226</v>
      </c>
      <c r="F281" s="44">
        <v>17180038</v>
      </c>
      <c r="G281" s="44" t="s">
        <v>1171</v>
      </c>
      <c r="H281" s="44" t="s">
        <v>1244</v>
      </c>
      <c r="I281" s="44"/>
      <c r="J281" s="44"/>
      <c r="K281" s="44"/>
      <c r="L281" s="44"/>
      <c r="M281" s="44"/>
      <c r="N281" s="44"/>
      <c r="O281" s="44"/>
      <c r="P281" s="44"/>
      <c r="Q281" s="44"/>
      <c r="R281" s="44"/>
      <c r="S281" s="44"/>
      <c r="T281" s="44"/>
      <c r="U281" s="44"/>
      <c r="V281" s="44"/>
      <c r="W281" s="44"/>
      <c r="X281" s="44"/>
      <c r="Y281" s="44"/>
      <c r="Z281" s="44"/>
      <c r="AA281" s="44"/>
      <c r="AB281" s="44"/>
    </row>
    <row r="282" spans="2:28" hidden="1" x14ac:dyDescent="0.2">
      <c r="B282" s="44"/>
      <c r="C282" s="44"/>
      <c r="D282" s="44" t="s">
        <v>207</v>
      </c>
      <c r="E282" s="44" t="s">
        <v>226</v>
      </c>
      <c r="F282" s="44">
        <v>17180039</v>
      </c>
      <c r="G282" s="44" t="s">
        <v>1172</v>
      </c>
      <c r="H282" s="44" t="s">
        <v>1245</v>
      </c>
      <c r="I282" s="44"/>
      <c r="J282" s="44"/>
      <c r="K282" s="44"/>
      <c r="L282" s="44"/>
      <c r="M282" s="44"/>
      <c r="N282" s="44"/>
      <c r="O282" s="44"/>
      <c r="P282" s="44"/>
      <c r="Q282" s="44"/>
      <c r="R282" s="44"/>
      <c r="S282" s="44"/>
      <c r="T282" s="44"/>
      <c r="U282" s="44"/>
      <c r="V282" s="44"/>
      <c r="W282" s="44"/>
      <c r="X282" s="44"/>
      <c r="Y282" s="44"/>
      <c r="Z282" s="44"/>
      <c r="AA282" s="44"/>
      <c r="AB282" s="44"/>
    </row>
    <row r="283" spans="2:28" hidden="1" x14ac:dyDescent="0.2">
      <c r="B283" s="44"/>
      <c r="C283" s="44"/>
      <c r="D283" s="44" t="s">
        <v>207</v>
      </c>
      <c r="E283" s="44" t="s">
        <v>226</v>
      </c>
      <c r="F283" s="44">
        <v>17180043</v>
      </c>
      <c r="G283" s="44" t="s">
        <v>1173</v>
      </c>
      <c r="H283" s="44" t="s">
        <v>1246</v>
      </c>
      <c r="I283" s="44"/>
      <c r="J283" s="44"/>
      <c r="K283" s="44"/>
      <c r="L283" s="44"/>
      <c r="M283" s="44"/>
      <c r="N283" s="44"/>
      <c r="O283" s="44"/>
      <c r="P283" s="44"/>
      <c r="Q283" s="44"/>
      <c r="R283" s="44"/>
      <c r="S283" s="44"/>
      <c r="T283" s="44"/>
      <c r="U283" s="44"/>
      <c r="V283" s="44"/>
      <c r="W283" s="44"/>
      <c r="X283" s="44"/>
      <c r="Y283" s="44"/>
      <c r="Z283" s="44"/>
      <c r="AA283" s="44"/>
      <c r="AB283" s="44"/>
    </row>
    <row r="284" spans="2:28" hidden="1" x14ac:dyDescent="0.2">
      <c r="B284" s="44"/>
      <c r="C284" s="44"/>
      <c r="D284" s="44" t="s">
        <v>207</v>
      </c>
      <c r="E284" s="44" t="s">
        <v>226</v>
      </c>
      <c r="F284" s="44">
        <v>17180050</v>
      </c>
      <c r="G284" s="44" t="s">
        <v>1177</v>
      </c>
      <c r="H284" s="44" t="s">
        <v>1249</v>
      </c>
      <c r="I284" s="44"/>
      <c r="J284" s="44"/>
      <c r="K284" s="44"/>
      <c r="L284" s="44"/>
      <c r="M284" s="44"/>
      <c r="N284" s="44"/>
      <c r="O284" s="44"/>
      <c r="P284" s="44"/>
      <c r="Q284" s="44"/>
      <c r="R284" s="44"/>
      <c r="S284" s="44"/>
      <c r="T284" s="44"/>
      <c r="U284" s="44"/>
      <c r="V284" s="44"/>
      <c r="W284" s="44"/>
      <c r="X284" s="44"/>
      <c r="Y284" s="44"/>
      <c r="Z284" s="44"/>
      <c r="AA284" s="44"/>
      <c r="AB284" s="44"/>
    </row>
    <row r="285" spans="2:28" hidden="1" x14ac:dyDescent="0.2">
      <c r="B285" s="44"/>
      <c r="C285" s="44"/>
      <c r="D285" s="44" t="s">
        <v>207</v>
      </c>
      <c r="E285" s="44" t="s">
        <v>226</v>
      </c>
      <c r="F285" s="44">
        <v>17180051</v>
      </c>
      <c r="G285" s="44" t="s">
        <v>1178</v>
      </c>
      <c r="H285" s="44" t="s">
        <v>1250</v>
      </c>
      <c r="I285" s="44"/>
      <c r="J285" s="44"/>
      <c r="K285" s="44"/>
      <c r="L285" s="44"/>
      <c r="M285" s="44"/>
      <c r="N285" s="44"/>
      <c r="O285" s="44"/>
      <c r="P285" s="44"/>
      <c r="Q285" s="44"/>
      <c r="R285" s="44"/>
      <c r="S285" s="44"/>
      <c r="T285" s="44"/>
      <c r="U285" s="44"/>
      <c r="V285" s="44"/>
      <c r="W285" s="44"/>
      <c r="X285" s="44"/>
      <c r="Y285" s="44"/>
      <c r="Z285" s="44"/>
      <c r="AA285" s="44"/>
      <c r="AB285" s="44"/>
    </row>
    <row r="286" spans="2:28" hidden="1" x14ac:dyDescent="0.2">
      <c r="B286" s="44"/>
      <c r="C286" s="44"/>
      <c r="D286" s="44" t="s">
        <v>207</v>
      </c>
      <c r="E286" s="44" t="s">
        <v>226</v>
      </c>
      <c r="F286" s="44">
        <v>17180052</v>
      </c>
      <c r="G286" s="44" t="s">
        <v>1179</v>
      </c>
      <c r="H286" s="44" t="s">
        <v>1251</v>
      </c>
      <c r="I286" s="44"/>
      <c r="J286" s="44"/>
      <c r="K286" s="44"/>
      <c r="L286" s="44"/>
      <c r="M286" s="44"/>
      <c r="N286" s="44"/>
      <c r="O286" s="44"/>
      <c r="P286" s="44"/>
      <c r="Q286" s="44"/>
      <c r="R286" s="44"/>
      <c r="S286" s="44"/>
      <c r="T286" s="44"/>
      <c r="U286" s="44"/>
      <c r="V286" s="44"/>
      <c r="W286" s="44"/>
      <c r="X286" s="44"/>
      <c r="Y286" s="44"/>
      <c r="Z286" s="44"/>
      <c r="AA286" s="44"/>
      <c r="AB286" s="44"/>
    </row>
    <row r="287" spans="2:28" hidden="1" x14ac:dyDescent="0.2">
      <c r="B287" s="44"/>
      <c r="C287" s="44"/>
      <c r="D287" s="44" t="s">
        <v>207</v>
      </c>
      <c r="E287" s="44" t="s">
        <v>226</v>
      </c>
      <c r="F287" s="44">
        <v>17180053</v>
      </c>
      <c r="G287" s="44" t="s">
        <v>1180</v>
      </c>
      <c r="H287" s="44" t="s">
        <v>1252</v>
      </c>
      <c r="I287" s="44"/>
      <c r="J287" s="44"/>
      <c r="K287" s="44"/>
      <c r="L287" s="44"/>
      <c r="M287" s="44"/>
      <c r="N287" s="44"/>
      <c r="O287" s="44"/>
      <c r="P287" s="44"/>
      <c r="Q287" s="44"/>
      <c r="R287" s="44"/>
      <c r="S287" s="44"/>
      <c r="T287" s="44"/>
      <c r="U287" s="44"/>
      <c r="V287" s="44"/>
      <c r="W287" s="44"/>
      <c r="X287" s="44"/>
      <c r="Y287" s="44"/>
      <c r="Z287" s="44"/>
      <c r="AA287" s="44"/>
      <c r="AB287" s="44"/>
    </row>
    <row r="288" spans="2:28" hidden="1" x14ac:dyDescent="0.2">
      <c r="B288" s="44"/>
      <c r="C288" s="44"/>
      <c r="D288" s="44" t="s">
        <v>207</v>
      </c>
      <c r="E288" s="44" t="s">
        <v>226</v>
      </c>
      <c r="F288" s="44">
        <v>17180054</v>
      </c>
      <c r="G288" s="44" t="s">
        <v>1181</v>
      </c>
      <c r="H288" s="44" t="s">
        <v>1253</v>
      </c>
      <c r="I288" s="44"/>
      <c r="J288" s="44"/>
      <c r="K288" s="44"/>
      <c r="L288" s="44"/>
      <c r="M288" s="44"/>
      <c r="N288" s="44"/>
      <c r="O288" s="44"/>
      <c r="P288" s="44"/>
      <c r="Q288" s="44"/>
      <c r="R288" s="44"/>
      <c r="S288" s="44"/>
      <c r="T288" s="44"/>
      <c r="U288" s="44"/>
      <c r="V288" s="44"/>
      <c r="W288" s="44"/>
      <c r="X288" s="44"/>
      <c r="Y288" s="44"/>
      <c r="Z288" s="44"/>
      <c r="AA288" s="44"/>
      <c r="AB288" s="44"/>
    </row>
    <row r="289" spans="2:28" hidden="1" x14ac:dyDescent="0.2">
      <c r="B289" s="44"/>
      <c r="C289" s="44"/>
      <c r="D289" s="44" t="s">
        <v>207</v>
      </c>
      <c r="E289" s="44" t="s">
        <v>226</v>
      </c>
      <c r="F289" s="44">
        <v>17180057</v>
      </c>
      <c r="G289" s="44" t="s">
        <v>1183</v>
      </c>
      <c r="H289" s="44" t="s">
        <v>1255</v>
      </c>
      <c r="I289" s="44"/>
      <c r="J289" s="44"/>
      <c r="K289" s="44"/>
      <c r="L289" s="44"/>
      <c r="M289" s="44"/>
      <c r="N289" s="44"/>
      <c r="O289" s="44"/>
      <c r="P289" s="44"/>
      <c r="Q289" s="44"/>
      <c r="R289" s="44"/>
      <c r="S289" s="44"/>
      <c r="T289" s="44"/>
      <c r="U289" s="44"/>
      <c r="V289" s="44"/>
      <c r="W289" s="44"/>
      <c r="X289" s="44"/>
      <c r="Y289" s="44"/>
      <c r="Z289" s="44"/>
      <c r="AA289" s="44"/>
      <c r="AB289" s="44"/>
    </row>
    <row r="290" spans="2:28" hidden="1" x14ac:dyDescent="0.2">
      <c r="B290" s="44"/>
      <c r="C290" s="44"/>
      <c r="D290" s="44" t="s">
        <v>207</v>
      </c>
      <c r="E290" s="44" t="s">
        <v>226</v>
      </c>
      <c r="F290" s="44">
        <v>17180058</v>
      </c>
      <c r="G290" s="44" t="s">
        <v>1184</v>
      </c>
      <c r="H290" s="44" t="s">
        <v>1256</v>
      </c>
      <c r="I290" s="44"/>
      <c r="J290" s="44"/>
      <c r="K290" s="44"/>
      <c r="L290" s="44"/>
      <c r="M290" s="44"/>
      <c r="N290" s="44"/>
      <c r="O290" s="44"/>
      <c r="P290" s="44"/>
      <c r="Q290" s="44"/>
      <c r="R290" s="44"/>
      <c r="S290" s="44"/>
      <c r="T290" s="44"/>
      <c r="U290" s="44"/>
      <c r="V290" s="44"/>
      <c r="W290" s="44"/>
      <c r="X290" s="44"/>
      <c r="Y290" s="44"/>
      <c r="Z290" s="44"/>
      <c r="AA290" s="44"/>
      <c r="AB290" s="44"/>
    </row>
    <row r="291" spans="2:28" hidden="1" x14ac:dyDescent="0.2">
      <c r="B291" s="44"/>
      <c r="C291" s="44"/>
      <c r="D291" s="44" t="s">
        <v>207</v>
      </c>
      <c r="E291" s="44" t="s">
        <v>226</v>
      </c>
      <c r="F291" s="44">
        <v>17180059</v>
      </c>
      <c r="G291" s="44" t="s">
        <v>1185</v>
      </c>
      <c r="H291" s="44" t="s">
        <v>1257</v>
      </c>
      <c r="I291" s="44"/>
      <c r="J291" s="44"/>
      <c r="K291" s="44"/>
      <c r="L291" s="44"/>
      <c r="M291" s="44"/>
      <c r="N291" s="44"/>
      <c r="O291" s="44"/>
      <c r="P291" s="44"/>
      <c r="Q291" s="44"/>
      <c r="R291" s="44"/>
      <c r="S291" s="44"/>
      <c r="T291" s="44"/>
      <c r="U291" s="44"/>
      <c r="V291" s="44"/>
      <c r="W291" s="44"/>
      <c r="X291" s="44"/>
      <c r="Y291" s="44"/>
      <c r="Z291" s="44"/>
      <c r="AA291" s="44"/>
      <c r="AB291" s="44"/>
    </row>
    <row r="292" spans="2:28" hidden="1" x14ac:dyDescent="0.2">
      <c r="B292" s="44"/>
      <c r="C292" s="44"/>
      <c r="D292" s="44" t="s">
        <v>207</v>
      </c>
      <c r="E292" s="44" t="s">
        <v>226</v>
      </c>
      <c r="F292" s="44">
        <v>17185001</v>
      </c>
      <c r="G292" s="44" t="s">
        <v>1186</v>
      </c>
      <c r="H292" s="44" t="s">
        <v>1258</v>
      </c>
      <c r="I292" s="44"/>
      <c r="J292" s="44"/>
      <c r="K292" s="44"/>
      <c r="L292" s="44"/>
      <c r="M292" s="44"/>
      <c r="N292" s="44"/>
      <c r="O292" s="44"/>
      <c r="P292" s="44"/>
      <c r="Q292" s="44"/>
      <c r="R292" s="44"/>
      <c r="S292" s="44"/>
      <c r="T292" s="44"/>
      <c r="U292" s="44"/>
      <c r="V292" s="44"/>
      <c r="W292" s="44"/>
      <c r="X292" s="44"/>
      <c r="Y292" s="44"/>
      <c r="Z292" s="44"/>
      <c r="AA292" s="44"/>
      <c r="AB292" s="44"/>
    </row>
    <row r="293" spans="2:28" hidden="1" x14ac:dyDescent="0.2">
      <c r="B293" s="44"/>
      <c r="C293" s="44"/>
      <c r="D293" s="44" t="s">
        <v>207</v>
      </c>
      <c r="E293" s="44" t="s">
        <v>226</v>
      </c>
      <c r="F293" s="44">
        <v>17185002</v>
      </c>
      <c r="G293" s="44" t="s">
        <v>1187</v>
      </c>
      <c r="H293" s="44" t="s">
        <v>1259</v>
      </c>
      <c r="I293" s="44"/>
      <c r="J293" s="44"/>
      <c r="K293" s="44"/>
      <c r="L293" s="44"/>
      <c r="M293" s="44"/>
      <c r="N293" s="44"/>
      <c r="O293" s="44"/>
      <c r="P293" s="44"/>
      <c r="Q293" s="44"/>
      <c r="R293" s="44"/>
      <c r="S293" s="44"/>
      <c r="T293" s="44"/>
      <c r="U293" s="44"/>
      <c r="V293" s="44"/>
      <c r="W293" s="44"/>
      <c r="X293" s="44"/>
      <c r="Y293" s="44"/>
      <c r="Z293" s="44"/>
      <c r="AA293" s="44"/>
      <c r="AB293" s="44"/>
    </row>
    <row r="294" spans="2:28" hidden="1" x14ac:dyDescent="0.2">
      <c r="B294" s="44"/>
      <c r="C294" s="44"/>
      <c r="D294" s="44" t="s">
        <v>207</v>
      </c>
      <c r="E294" s="44" t="s">
        <v>226</v>
      </c>
      <c r="F294" s="44">
        <v>17185005</v>
      </c>
      <c r="G294" s="44" t="s">
        <v>1188</v>
      </c>
      <c r="H294" s="44" t="s">
        <v>1260</v>
      </c>
      <c r="I294" s="44"/>
      <c r="J294" s="44"/>
      <c r="K294" s="44"/>
      <c r="L294" s="44"/>
      <c r="M294" s="44"/>
      <c r="N294" s="44"/>
      <c r="O294" s="44"/>
      <c r="P294" s="44"/>
      <c r="Q294" s="44"/>
      <c r="R294" s="44"/>
      <c r="S294" s="44"/>
      <c r="T294" s="44"/>
      <c r="U294" s="44"/>
      <c r="V294" s="44"/>
      <c r="W294" s="44"/>
      <c r="X294" s="44"/>
      <c r="Y294" s="44"/>
      <c r="Z294" s="44"/>
      <c r="AA294" s="44"/>
      <c r="AB294" s="44"/>
    </row>
    <row r="295" spans="2:28" hidden="1" x14ac:dyDescent="0.2">
      <c r="B295" s="44"/>
      <c r="C295" s="44"/>
      <c r="D295" s="44" t="s">
        <v>207</v>
      </c>
      <c r="E295" s="44" t="s">
        <v>226</v>
      </c>
      <c r="F295" s="44">
        <v>17185006</v>
      </c>
      <c r="G295" s="44" t="s">
        <v>1189</v>
      </c>
      <c r="H295" s="44" t="s">
        <v>1261</v>
      </c>
      <c r="I295" s="44"/>
      <c r="J295" s="44"/>
      <c r="K295" s="44"/>
      <c r="L295" s="44"/>
      <c r="M295" s="44"/>
      <c r="N295" s="44"/>
      <c r="O295" s="44"/>
      <c r="P295" s="44"/>
      <c r="Q295" s="44"/>
      <c r="R295" s="44"/>
      <c r="S295" s="44"/>
      <c r="T295" s="44"/>
      <c r="U295" s="44"/>
      <c r="V295" s="44"/>
      <c r="W295" s="44"/>
      <c r="X295" s="44"/>
      <c r="Y295" s="44"/>
      <c r="Z295" s="44"/>
      <c r="AA295" s="44"/>
      <c r="AB295" s="44"/>
    </row>
    <row r="296" spans="2:28" hidden="1" x14ac:dyDescent="0.2">
      <c r="B296" s="44"/>
      <c r="C296" s="44"/>
      <c r="D296" s="44" t="s">
        <v>207</v>
      </c>
      <c r="E296" s="44" t="s">
        <v>226</v>
      </c>
      <c r="F296" s="44">
        <v>17185007</v>
      </c>
      <c r="G296" s="44" t="s">
        <v>1190</v>
      </c>
      <c r="H296" s="44">
        <v>17185007</v>
      </c>
      <c r="I296" s="44"/>
      <c r="J296" s="44"/>
      <c r="K296" s="44"/>
      <c r="L296" s="44"/>
      <c r="M296" s="44"/>
      <c r="N296" s="44"/>
      <c r="O296" s="44"/>
      <c r="P296" s="44"/>
      <c r="Q296" s="44"/>
      <c r="R296" s="44"/>
      <c r="S296" s="44"/>
      <c r="T296" s="44"/>
      <c r="U296" s="44"/>
      <c r="V296" s="44"/>
      <c r="W296" s="44"/>
      <c r="X296" s="44"/>
      <c r="Y296" s="44"/>
      <c r="Z296" s="44"/>
      <c r="AA296" s="44"/>
      <c r="AB296" s="44"/>
    </row>
    <row r="297" spans="2:28" hidden="1" x14ac:dyDescent="0.2">
      <c r="B297" s="44"/>
      <c r="C297" s="44"/>
      <c r="D297" s="44" t="s">
        <v>207</v>
      </c>
      <c r="E297" s="44" t="s">
        <v>226</v>
      </c>
      <c r="F297" s="44">
        <v>17185008</v>
      </c>
      <c r="G297" s="44" t="s">
        <v>1191</v>
      </c>
      <c r="H297" s="44" t="s">
        <v>1262</v>
      </c>
      <c r="I297" s="44"/>
      <c r="J297" s="44"/>
      <c r="K297" s="44"/>
      <c r="L297" s="44"/>
      <c r="M297" s="44"/>
      <c r="N297" s="44"/>
      <c r="O297" s="44"/>
      <c r="P297" s="44"/>
      <c r="Q297" s="44"/>
      <c r="R297" s="44"/>
      <c r="S297" s="44"/>
      <c r="T297" s="44"/>
      <c r="U297" s="44"/>
      <c r="V297" s="44"/>
      <c r="W297" s="44"/>
      <c r="X297" s="44"/>
      <c r="Y297" s="44"/>
      <c r="Z297" s="44"/>
      <c r="AA297" s="44"/>
      <c r="AB297" s="44"/>
    </row>
    <row r="298" spans="2:28" hidden="1" x14ac:dyDescent="0.2">
      <c r="B298" s="44"/>
      <c r="C298" s="44"/>
      <c r="D298" s="39" t="s">
        <v>207</v>
      </c>
      <c r="E298" s="39" t="s">
        <v>226</v>
      </c>
      <c r="F298" s="39">
        <v>17185011</v>
      </c>
      <c r="G298" s="39" t="s">
        <v>1194</v>
      </c>
      <c r="H298" s="39" t="s">
        <v>1263</v>
      </c>
      <c r="I298" s="44"/>
      <c r="J298" s="44"/>
      <c r="K298" s="44"/>
      <c r="L298" s="44"/>
      <c r="M298" s="44"/>
      <c r="N298" s="44"/>
      <c r="O298" s="44"/>
      <c r="P298" s="44"/>
      <c r="Q298" s="44"/>
      <c r="R298" s="44"/>
      <c r="S298" s="44"/>
      <c r="T298" s="44"/>
      <c r="U298" s="44"/>
      <c r="V298" s="44"/>
      <c r="W298" s="44"/>
      <c r="X298" s="44"/>
      <c r="Y298" s="44"/>
      <c r="Z298" s="44"/>
      <c r="AA298" s="44"/>
      <c r="AB298" s="44"/>
    </row>
    <row r="299" spans="2:28" hidden="1" x14ac:dyDescent="0.2">
      <c r="B299" s="44"/>
      <c r="C299" s="44"/>
      <c r="D299" s="39" t="s">
        <v>207</v>
      </c>
      <c r="E299" s="39" t="s">
        <v>226</v>
      </c>
      <c r="F299" s="39">
        <v>17185013</v>
      </c>
      <c r="G299" s="39" t="s">
        <v>1196</v>
      </c>
      <c r="H299" s="39">
        <v>17185013</v>
      </c>
      <c r="I299" s="44"/>
      <c r="J299" s="44"/>
      <c r="K299" s="44"/>
      <c r="L299" s="44"/>
      <c r="M299" s="44"/>
      <c r="N299" s="44"/>
      <c r="O299" s="44"/>
      <c r="P299" s="44"/>
      <c r="Q299" s="44"/>
      <c r="R299" s="44"/>
      <c r="S299" s="44"/>
      <c r="T299" s="44"/>
      <c r="U299" s="44"/>
      <c r="V299" s="44"/>
      <c r="W299" s="44"/>
      <c r="X299" s="44"/>
      <c r="Y299" s="44"/>
      <c r="Z299" s="44"/>
      <c r="AA299" s="44"/>
      <c r="AB299" s="44"/>
    </row>
    <row r="300" spans="2:28" hidden="1" x14ac:dyDescent="0.2">
      <c r="B300" s="44"/>
      <c r="C300" s="44"/>
      <c r="D300" s="39" t="s">
        <v>207</v>
      </c>
      <c r="E300" s="39" t="s">
        <v>226</v>
      </c>
      <c r="F300" s="39">
        <v>17185014</v>
      </c>
      <c r="G300" s="39" t="s">
        <v>1197</v>
      </c>
      <c r="H300" s="39">
        <v>17185014</v>
      </c>
      <c r="I300" s="44"/>
      <c r="J300" s="44"/>
      <c r="K300" s="44"/>
      <c r="L300" s="44"/>
      <c r="M300" s="44"/>
      <c r="N300" s="44"/>
      <c r="O300" s="44"/>
      <c r="P300" s="44"/>
      <c r="Q300" s="44"/>
      <c r="R300" s="44"/>
      <c r="S300" s="44"/>
      <c r="T300" s="44"/>
      <c r="U300" s="44"/>
      <c r="V300" s="44"/>
      <c r="W300" s="44"/>
      <c r="X300" s="44"/>
      <c r="Y300" s="44"/>
      <c r="Z300" s="44"/>
      <c r="AA300" s="44"/>
      <c r="AB300" s="44"/>
    </row>
    <row r="301" spans="2:28" hidden="1" x14ac:dyDescent="0.2">
      <c r="B301" s="44"/>
      <c r="C301" s="44"/>
      <c r="D301" s="39" t="s">
        <v>207</v>
      </c>
      <c r="E301" s="39" t="s">
        <v>226</v>
      </c>
      <c r="F301" s="39">
        <v>17185015</v>
      </c>
      <c r="G301" s="39" t="s">
        <v>1198</v>
      </c>
      <c r="H301" s="39">
        <v>17185015</v>
      </c>
      <c r="I301" s="44"/>
      <c r="J301" s="44"/>
      <c r="K301" s="44"/>
      <c r="L301" s="44"/>
      <c r="M301" s="44"/>
      <c r="N301" s="44"/>
      <c r="O301" s="44"/>
      <c r="P301" s="44"/>
      <c r="Q301" s="44"/>
      <c r="R301" s="44"/>
      <c r="S301" s="44"/>
      <c r="T301" s="44"/>
      <c r="U301" s="44"/>
      <c r="V301" s="44"/>
      <c r="W301" s="44"/>
      <c r="X301" s="44"/>
      <c r="Y301" s="44"/>
      <c r="Z301" s="44"/>
      <c r="AA301" s="44"/>
      <c r="AB301" s="44"/>
    </row>
    <row r="302" spans="2:28" hidden="1" x14ac:dyDescent="0.2">
      <c r="B302" s="44"/>
      <c r="C302" s="44"/>
      <c r="D302" s="39" t="s">
        <v>207</v>
      </c>
      <c r="E302" s="39" t="s">
        <v>226</v>
      </c>
      <c r="F302" s="39">
        <v>17185016</v>
      </c>
      <c r="G302" s="39" t="s">
        <v>1199</v>
      </c>
      <c r="H302" s="39">
        <v>17185016</v>
      </c>
      <c r="I302" s="44"/>
      <c r="J302" s="44"/>
      <c r="K302" s="44"/>
      <c r="L302" s="44"/>
      <c r="M302" s="44"/>
      <c r="N302" s="44"/>
      <c r="O302" s="44"/>
      <c r="P302" s="44"/>
      <c r="Q302" s="44"/>
      <c r="R302" s="44"/>
      <c r="S302" s="44"/>
      <c r="T302" s="44"/>
      <c r="U302" s="44"/>
      <c r="V302" s="44"/>
      <c r="W302" s="44"/>
      <c r="X302" s="44"/>
      <c r="Y302" s="44"/>
      <c r="Z302" s="44"/>
      <c r="AA302" s="44"/>
      <c r="AB302" s="44"/>
    </row>
    <row r="303" spans="2:28" hidden="1" x14ac:dyDescent="0.2">
      <c r="B303" s="44"/>
      <c r="C303" s="44"/>
      <c r="D303" s="39" t="s">
        <v>207</v>
      </c>
      <c r="E303" s="39" t="s">
        <v>226</v>
      </c>
      <c r="F303" s="39">
        <v>17185017</v>
      </c>
      <c r="G303" s="39" t="s">
        <v>1200</v>
      </c>
      <c r="H303" s="39">
        <v>17185017</v>
      </c>
      <c r="I303" s="44"/>
      <c r="J303" s="44"/>
      <c r="K303" s="44"/>
      <c r="L303" s="44"/>
      <c r="M303" s="44"/>
      <c r="N303" s="44"/>
      <c r="O303" s="44"/>
      <c r="P303" s="44"/>
      <c r="Q303" s="44"/>
      <c r="R303" s="44"/>
      <c r="S303" s="44"/>
      <c r="T303" s="44"/>
      <c r="U303" s="44"/>
      <c r="V303" s="44"/>
      <c r="W303" s="44"/>
      <c r="X303" s="44"/>
      <c r="Y303" s="44"/>
      <c r="Z303" s="44"/>
      <c r="AA303" s="44"/>
      <c r="AB303" s="44"/>
    </row>
    <row r="304" spans="2:28" hidden="1" x14ac:dyDescent="0.2">
      <c r="B304" s="44"/>
      <c r="C304" s="44"/>
      <c r="D304" s="39" t="s">
        <v>207</v>
      </c>
      <c r="E304" s="39" t="s">
        <v>226</v>
      </c>
      <c r="F304" s="39">
        <v>17185018</v>
      </c>
      <c r="G304" s="39" t="s">
        <v>1201</v>
      </c>
      <c r="H304" s="39" t="s">
        <v>1265</v>
      </c>
      <c r="I304" s="44"/>
      <c r="J304" s="44"/>
      <c r="K304" s="44"/>
      <c r="L304" s="44"/>
      <c r="M304" s="44"/>
      <c r="N304" s="44"/>
      <c r="O304" s="44"/>
      <c r="P304" s="44"/>
      <c r="Q304" s="44"/>
      <c r="R304" s="44"/>
      <c r="S304" s="44"/>
      <c r="T304" s="44"/>
      <c r="U304" s="44"/>
      <c r="V304" s="44"/>
      <c r="W304" s="44"/>
      <c r="X304" s="44"/>
      <c r="Y304" s="44"/>
      <c r="Z304" s="44"/>
      <c r="AA304" s="44"/>
      <c r="AB304" s="44"/>
    </row>
    <row r="305" spans="2:28" hidden="1" x14ac:dyDescent="0.2">
      <c r="B305" s="44"/>
      <c r="C305" s="44"/>
      <c r="D305" s="39" t="s">
        <v>207</v>
      </c>
      <c r="E305" s="39" t="s">
        <v>226</v>
      </c>
      <c r="F305" s="39">
        <v>17185019</v>
      </c>
      <c r="G305" s="39" t="s">
        <v>1202</v>
      </c>
      <c r="H305" s="39">
        <v>17185019</v>
      </c>
      <c r="I305" s="44"/>
      <c r="J305" s="44"/>
      <c r="K305" s="44"/>
      <c r="L305" s="44"/>
      <c r="M305" s="44"/>
      <c r="N305" s="44"/>
      <c r="O305" s="44"/>
      <c r="P305" s="44"/>
      <c r="Q305" s="44"/>
      <c r="R305" s="44"/>
      <c r="S305" s="44"/>
      <c r="T305" s="44"/>
      <c r="U305" s="44"/>
      <c r="V305" s="44"/>
      <c r="W305" s="44"/>
      <c r="X305" s="44"/>
      <c r="Y305" s="44"/>
      <c r="Z305" s="44"/>
      <c r="AA305" s="44"/>
      <c r="AB305" s="44"/>
    </row>
    <row r="306" spans="2:28" hidden="1" x14ac:dyDescent="0.2">
      <c r="B306" s="44"/>
      <c r="C306" s="44"/>
      <c r="D306" s="39" t="s">
        <v>207</v>
      </c>
      <c r="E306" s="39" t="s">
        <v>226</v>
      </c>
      <c r="F306" s="39">
        <v>17185022</v>
      </c>
      <c r="G306" s="39" t="s">
        <v>1205</v>
      </c>
      <c r="H306" s="39">
        <v>17185022</v>
      </c>
      <c r="I306" s="44"/>
      <c r="J306" s="44"/>
      <c r="K306" s="44"/>
      <c r="L306" s="44"/>
      <c r="M306" s="44"/>
      <c r="N306" s="44"/>
      <c r="O306" s="44"/>
      <c r="P306" s="44"/>
      <c r="Q306" s="44"/>
      <c r="R306" s="44"/>
      <c r="S306" s="44"/>
      <c r="T306" s="44"/>
      <c r="U306" s="44"/>
      <c r="V306" s="44"/>
      <c r="W306" s="44"/>
      <c r="X306" s="44"/>
      <c r="Y306" s="44"/>
      <c r="Z306" s="44"/>
      <c r="AA306" s="44"/>
      <c r="AB306" s="44"/>
    </row>
    <row r="307" spans="2:28" hidden="1" x14ac:dyDescent="0.2">
      <c r="B307" s="44"/>
      <c r="C307" s="44"/>
      <c r="D307" s="39" t="s">
        <v>207</v>
      </c>
      <c r="E307" s="39" t="s">
        <v>226</v>
      </c>
      <c r="F307" s="39">
        <v>17185023</v>
      </c>
      <c r="G307" s="39" t="s">
        <v>1206</v>
      </c>
      <c r="H307" s="39">
        <v>17185023</v>
      </c>
      <c r="I307" s="44"/>
      <c r="J307" s="44"/>
      <c r="K307" s="44"/>
      <c r="L307" s="44"/>
      <c r="M307" s="44"/>
      <c r="N307" s="44"/>
      <c r="O307" s="44"/>
      <c r="P307" s="44"/>
      <c r="Q307" s="44"/>
      <c r="R307" s="44"/>
      <c r="S307" s="44"/>
      <c r="T307" s="44"/>
      <c r="U307" s="44"/>
      <c r="V307" s="44"/>
      <c r="W307" s="44"/>
      <c r="X307" s="44"/>
      <c r="Y307" s="44"/>
      <c r="Z307" s="44"/>
      <c r="AA307" s="44"/>
      <c r="AB307" s="44"/>
    </row>
    <row r="308" spans="2:28" hidden="1" x14ac:dyDescent="0.2">
      <c r="B308" s="44"/>
      <c r="C308" s="44"/>
      <c r="D308" s="39" t="s">
        <v>207</v>
      </c>
      <c r="E308" s="39" t="s">
        <v>226</v>
      </c>
      <c r="F308" s="39">
        <v>17185025</v>
      </c>
      <c r="G308" s="39" t="s">
        <v>1207</v>
      </c>
      <c r="H308" s="39" t="s">
        <v>1266</v>
      </c>
      <c r="I308" s="44"/>
      <c r="J308" s="44"/>
      <c r="K308" s="44"/>
      <c r="L308" s="44"/>
      <c r="M308" s="44"/>
      <c r="N308" s="44"/>
      <c r="O308" s="44"/>
      <c r="P308" s="44"/>
      <c r="Q308" s="44"/>
      <c r="R308" s="44"/>
      <c r="S308" s="44"/>
      <c r="T308" s="44"/>
      <c r="U308" s="44"/>
      <c r="V308" s="44"/>
      <c r="W308" s="44"/>
      <c r="X308" s="44"/>
      <c r="Y308" s="44"/>
      <c r="Z308" s="44"/>
      <c r="AA308" s="44"/>
      <c r="AB308" s="44"/>
    </row>
    <row r="309" spans="2:28" hidden="1" x14ac:dyDescent="0.2">
      <c r="B309" s="44"/>
      <c r="C309" s="44"/>
      <c r="D309" s="39" t="s">
        <v>207</v>
      </c>
      <c r="E309" s="39" t="s">
        <v>226</v>
      </c>
      <c r="F309" s="39">
        <v>17200017</v>
      </c>
      <c r="G309" s="39" t="s">
        <v>1208</v>
      </c>
      <c r="H309" s="39" t="s">
        <v>1267</v>
      </c>
      <c r="I309" s="44"/>
      <c r="J309" s="44"/>
      <c r="K309" s="44"/>
      <c r="L309" s="44"/>
      <c r="M309" s="44"/>
      <c r="N309" s="44"/>
      <c r="O309" s="44"/>
      <c r="P309" s="44"/>
      <c r="Q309" s="44"/>
      <c r="R309" s="44"/>
      <c r="S309" s="44"/>
      <c r="T309" s="44"/>
      <c r="U309" s="44"/>
      <c r="V309" s="44"/>
      <c r="W309" s="44"/>
      <c r="X309" s="44"/>
      <c r="Y309" s="44"/>
      <c r="Z309" s="44"/>
      <c r="AA309" s="44"/>
      <c r="AB309" s="44"/>
    </row>
    <row r="310" spans="2:28" hidden="1" x14ac:dyDescent="0.2">
      <c r="B310" s="44"/>
      <c r="C310" s="44"/>
      <c r="D310" s="39" t="s">
        <v>207</v>
      </c>
      <c r="E310" s="39" t="s">
        <v>226</v>
      </c>
      <c r="F310" s="39">
        <v>17200018</v>
      </c>
      <c r="G310" s="39" t="s">
        <v>1209</v>
      </c>
      <c r="H310" s="39" t="s">
        <v>1268</v>
      </c>
      <c r="I310" s="44"/>
      <c r="J310" s="44"/>
      <c r="K310" s="44"/>
      <c r="L310" s="44"/>
      <c r="M310" s="44"/>
      <c r="N310" s="44"/>
      <c r="O310" s="44"/>
      <c r="P310" s="44"/>
      <c r="Q310" s="44"/>
      <c r="R310" s="44"/>
      <c r="S310" s="44"/>
      <c r="T310" s="44"/>
      <c r="U310" s="44"/>
      <c r="V310" s="44"/>
      <c r="W310" s="44"/>
      <c r="X310" s="44"/>
      <c r="Y310" s="44"/>
      <c r="Z310" s="44"/>
      <c r="AA310" s="44"/>
      <c r="AB310" s="44"/>
    </row>
    <row r="311" spans="2:28" hidden="1" x14ac:dyDescent="0.2">
      <c r="B311" s="44"/>
      <c r="C311" s="44"/>
      <c r="D311" s="39" t="s">
        <v>207</v>
      </c>
      <c r="E311" s="39" t="s">
        <v>226</v>
      </c>
      <c r="F311" s="39">
        <v>17200019</v>
      </c>
      <c r="G311" s="39" t="s">
        <v>1210</v>
      </c>
      <c r="H311" s="39" t="s">
        <v>1269</v>
      </c>
      <c r="I311" s="44"/>
      <c r="J311" s="44"/>
      <c r="K311" s="44"/>
      <c r="L311" s="44"/>
      <c r="M311" s="44"/>
      <c r="N311" s="44"/>
      <c r="O311" s="44"/>
      <c r="P311" s="44"/>
      <c r="Q311" s="44"/>
      <c r="R311" s="44"/>
      <c r="S311" s="44"/>
      <c r="T311" s="44"/>
      <c r="U311" s="44"/>
      <c r="V311" s="44"/>
      <c r="W311" s="44"/>
      <c r="X311" s="44"/>
      <c r="Y311" s="44"/>
      <c r="Z311" s="44"/>
      <c r="AA311" s="44"/>
      <c r="AB311" s="44"/>
    </row>
    <row r="312" spans="2:28" hidden="1" x14ac:dyDescent="0.2">
      <c r="B312" s="44"/>
      <c r="C312" s="44"/>
      <c r="D312" s="39" t="s">
        <v>207</v>
      </c>
      <c r="E312" s="39" t="s">
        <v>226</v>
      </c>
      <c r="F312" s="39">
        <v>17200020</v>
      </c>
      <c r="G312" s="39" t="s">
        <v>1211</v>
      </c>
      <c r="H312" s="39" t="s">
        <v>1270</v>
      </c>
      <c r="I312" s="44"/>
      <c r="J312" s="44"/>
      <c r="K312" s="44"/>
      <c r="L312" s="44"/>
      <c r="M312" s="44"/>
      <c r="N312" s="44"/>
      <c r="O312" s="44"/>
      <c r="P312" s="44"/>
      <c r="Q312" s="44"/>
      <c r="R312" s="44"/>
      <c r="S312" s="44"/>
      <c r="T312" s="44"/>
      <c r="U312" s="44"/>
      <c r="V312" s="44"/>
      <c r="W312" s="44"/>
      <c r="X312" s="44"/>
      <c r="Y312" s="44"/>
      <c r="Z312" s="44"/>
      <c r="AA312" s="44"/>
      <c r="AB312" s="44"/>
    </row>
    <row r="313" spans="2:28" hidden="1" x14ac:dyDescent="0.2">
      <c r="B313" s="44"/>
      <c r="C313" s="44"/>
      <c r="D313" s="39" t="s">
        <v>207</v>
      </c>
      <c r="E313" s="39" t="s">
        <v>226</v>
      </c>
      <c r="F313" s="39">
        <v>17200022</v>
      </c>
      <c r="G313" s="39" t="s">
        <v>1212</v>
      </c>
      <c r="H313" s="39" t="s">
        <v>1271</v>
      </c>
      <c r="I313" s="44"/>
      <c r="J313" s="44"/>
      <c r="K313" s="44"/>
      <c r="L313" s="44"/>
      <c r="M313" s="44"/>
      <c r="N313" s="44"/>
      <c r="O313" s="44"/>
      <c r="P313" s="44"/>
      <c r="Q313" s="44"/>
      <c r="R313" s="44"/>
      <c r="S313" s="44"/>
      <c r="T313" s="44"/>
      <c r="U313" s="44"/>
      <c r="V313" s="44"/>
      <c r="W313" s="44"/>
      <c r="X313" s="44"/>
      <c r="Y313" s="44"/>
      <c r="Z313" s="44"/>
      <c r="AA313" s="44"/>
      <c r="AB313" s="44"/>
    </row>
    <row r="314" spans="2:28" hidden="1" x14ac:dyDescent="0.2">
      <c r="B314" s="44"/>
      <c r="C314" s="44"/>
      <c r="D314" s="39" t="s">
        <v>207</v>
      </c>
      <c r="E314" s="39" t="s">
        <v>226</v>
      </c>
      <c r="F314" s="39">
        <v>17200023</v>
      </c>
      <c r="G314" s="39" t="s">
        <v>1213</v>
      </c>
      <c r="H314" s="39" t="s">
        <v>1272</v>
      </c>
      <c r="I314" s="44"/>
      <c r="J314" s="44"/>
      <c r="K314" s="44"/>
      <c r="L314" s="44"/>
      <c r="M314" s="44"/>
      <c r="N314" s="44"/>
      <c r="O314" s="44"/>
      <c r="P314" s="44"/>
      <c r="Q314" s="44"/>
      <c r="R314" s="44"/>
      <c r="S314" s="44"/>
      <c r="T314" s="44"/>
      <c r="U314" s="44"/>
      <c r="V314" s="44"/>
      <c r="W314" s="44"/>
      <c r="X314" s="44"/>
      <c r="Y314" s="44"/>
      <c r="Z314" s="44"/>
      <c r="AA314" s="44"/>
      <c r="AB314" s="44"/>
    </row>
    <row r="315" spans="2:28" hidden="1" x14ac:dyDescent="0.2">
      <c r="B315" s="44"/>
      <c r="C315" s="44"/>
      <c r="D315" s="39" t="s">
        <v>207</v>
      </c>
      <c r="E315" s="39" t="s">
        <v>226</v>
      </c>
      <c r="F315" s="39">
        <v>17200024</v>
      </c>
      <c r="G315" s="39" t="s">
        <v>1214</v>
      </c>
      <c r="H315" s="39" t="s">
        <v>1273</v>
      </c>
      <c r="I315" s="44"/>
      <c r="J315" s="44"/>
      <c r="K315" s="44"/>
      <c r="L315" s="44"/>
      <c r="M315" s="44"/>
      <c r="N315" s="44"/>
      <c r="O315" s="44"/>
      <c r="P315" s="44"/>
      <c r="Q315" s="44"/>
      <c r="R315" s="44"/>
      <c r="S315" s="44"/>
      <c r="T315" s="44"/>
      <c r="U315" s="44"/>
      <c r="V315" s="44"/>
      <c r="W315" s="44"/>
      <c r="X315" s="44"/>
      <c r="Y315" s="44"/>
      <c r="Z315" s="44"/>
      <c r="AA315" s="44"/>
      <c r="AB315" s="44"/>
    </row>
    <row r="316" spans="2:28" hidden="1" x14ac:dyDescent="0.2">
      <c r="B316" s="44"/>
      <c r="C316" s="44"/>
      <c r="D316" s="39" t="s">
        <v>207</v>
      </c>
      <c r="E316" s="39" t="s">
        <v>226</v>
      </c>
      <c r="F316" s="39">
        <v>17200026</v>
      </c>
      <c r="G316" s="39" t="s">
        <v>1216</v>
      </c>
      <c r="H316" s="39" t="s">
        <v>1275</v>
      </c>
      <c r="I316" s="44"/>
      <c r="J316" s="44"/>
      <c r="K316" s="44"/>
      <c r="L316" s="44"/>
      <c r="M316" s="44"/>
      <c r="N316" s="44"/>
      <c r="O316" s="44"/>
      <c r="P316" s="44"/>
      <c r="Q316" s="44"/>
      <c r="R316" s="44"/>
      <c r="S316" s="44"/>
      <c r="T316" s="44"/>
      <c r="U316" s="44"/>
      <c r="V316" s="44"/>
      <c r="W316" s="44"/>
      <c r="X316" s="44"/>
      <c r="Y316" s="44"/>
      <c r="Z316" s="44"/>
      <c r="AA316" s="44"/>
      <c r="AB316" s="44"/>
    </row>
    <row r="317" spans="2:28" hidden="1" x14ac:dyDescent="0.2">
      <c r="B317" s="44"/>
      <c r="C317" s="44"/>
      <c r="D317" s="44" t="s">
        <v>207</v>
      </c>
      <c r="E317" s="44" t="s">
        <v>227</v>
      </c>
      <c r="F317" s="44">
        <v>17190079</v>
      </c>
      <c r="G317" s="44" t="s">
        <v>1125</v>
      </c>
      <c r="H317" s="44" t="s">
        <v>1217</v>
      </c>
      <c r="I317" s="44"/>
      <c r="J317" s="44"/>
      <c r="K317" s="44"/>
      <c r="L317" s="44"/>
      <c r="M317" s="44"/>
      <c r="N317" s="44"/>
      <c r="O317" s="44"/>
      <c r="P317" s="44"/>
      <c r="Q317" s="44"/>
      <c r="R317" s="44"/>
      <c r="S317" s="44"/>
      <c r="T317" s="44"/>
      <c r="U317" s="44"/>
      <c r="V317" s="44"/>
      <c r="W317" s="44"/>
      <c r="X317" s="44"/>
      <c r="Y317" s="44"/>
      <c r="Z317" s="44"/>
      <c r="AA317" s="44"/>
      <c r="AB317" s="44"/>
    </row>
    <row r="318" spans="2:28" hidden="1" x14ac:dyDescent="0.2">
      <c r="B318" s="44"/>
      <c r="C318" s="44"/>
      <c r="D318" s="44" t="s">
        <v>207</v>
      </c>
      <c r="E318" s="44" t="s">
        <v>227</v>
      </c>
      <c r="F318" s="44">
        <v>17195001</v>
      </c>
      <c r="G318" s="44" t="s">
        <v>1126</v>
      </c>
      <c r="H318" s="44" t="s">
        <v>1218</v>
      </c>
      <c r="I318" s="44"/>
      <c r="J318" s="44"/>
      <c r="K318" s="44"/>
      <c r="L318" s="44"/>
      <c r="M318" s="44"/>
      <c r="N318" s="44"/>
      <c r="O318" s="44"/>
      <c r="P318" s="44"/>
      <c r="Q318" s="44"/>
      <c r="R318" s="44"/>
      <c r="S318" s="44"/>
      <c r="T318" s="44"/>
      <c r="U318" s="44"/>
      <c r="V318" s="44"/>
      <c r="W318" s="44"/>
      <c r="X318" s="44"/>
      <c r="Y318" s="44"/>
      <c r="Z318" s="44"/>
      <c r="AA318" s="44"/>
      <c r="AB318" s="44"/>
    </row>
    <row r="319" spans="2:28" hidden="1" x14ac:dyDescent="0.2">
      <c r="B319" s="44"/>
      <c r="C319" s="44"/>
      <c r="D319" s="44" t="s">
        <v>207</v>
      </c>
      <c r="E319" s="44" t="s">
        <v>227</v>
      </c>
      <c r="F319" s="44">
        <v>17195002</v>
      </c>
      <c r="G319" s="44" t="s">
        <v>1127</v>
      </c>
      <c r="H319" s="44" t="s">
        <v>1219</v>
      </c>
      <c r="I319" s="44"/>
      <c r="J319" s="44"/>
      <c r="K319" s="44"/>
      <c r="L319" s="44"/>
      <c r="M319" s="44"/>
      <c r="N319" s="44"/>
      <c r="O319" s="44"/>
      <c r="P319" s="44"/>
      <c r="Q319" s="44"/>
      <c r="R319" s="44"/>
      <c r="S319" s="44"/>
      <c r="T319" s="44"/>
      <c r="U319" s="44"/>
      <c r="V319" s="44"/>
      <c r="W319" s="44"/>
      <c r="X319" s="44"/>
      <c r="Y319" s="44"/>
      <c r="Z319" s="44"/>
      <c r="AA319" s="44"/>
      <c r="AB319" s="44"/>
    </row>
    <row r="320" spans="2:28" hidden="1" x14ac:dyDescent="0.2">
      <c r="B320" s="44"/>
      <c r="C320" s="44"/>
      <c r="D320" s="44" t="s">
        <v>207</v>
      </c>
      <c r="E320" s="44" t="s">
        <v>227</v>
      </c>
      <c r="F320" s="44">
        <v>17195003</v>
      </c>
      <c r="G320" s="44" t="s">
        <v>1128</v>
      </c>
      <c r="H320" s="44">
        <v>17195003</v>
      </c>
      <c r="I320" s="44"/>
      <c r="J320" s="44"/>
      <c r="K320" s="44"/>
      <c r="L320" s="44"/>
      <c r="M320" s="44"/>
      <c r="N320" s="44"/>
      <c r="O320" s="44"/>
      <c r="P320" s="44"/>
      <c r="Q320" s="44"/>
      <c r="R320" s="44"/>
      <c r="S320" s="44"/>
      <c r="T320" s="44"/>
      <c r="U320" s="44"/>
      <c r="V320" s="44"/>
      <c r="W320" s="44"/>
      <c r="X320" s="44"/>
      <c r="Y320" s="44"/>
      <c r="Z320" s="44"/>
      <c r="AA320" s="44"/>
      <c r="AB320" s="44"/>
    </row>
    <row r="321" spans="2:28" hidden="1" x14ac:dyDescent="0.2">
      <c r="B321" s="44"/>
      <c r="C321" s="44"/>
      <c r="D321" s="44" t="s">
        <v>207</v>
      </c>
      <c r="E321" s="44" t="s">
        <v>227</v>
      </c>
      <c r="F321" s="44">
        <v>17195004</v>
      </c>
      <c r="G321" s="44" t="s">
        <v>1129</v>
      </c>
      <c r="H321" s="44" t="s">
        <v>1220</v>
      </c>
      <c r="I321" s="44"/>
      <c r="J321" s="44"/>
      <c r="K321" s="44"/>
      <c r="L321" s="44"/>
      <c r="M321" s="44"/>
      <c r="N321" s="44"/>
      <c r="O321" s="44"/>
      <c r="P321" s="44"/>
      <c r="Q321" s="44"/>
      <c r="R321" s="44"/>
      <c r="S321" s="44"/>
      <c r="T321" s="44"/>
      <c r="U321" s="44"/>
      <c r="V321" s="44"/>
      <c r="W321" s="44"/>
      <c r="X321" s="44"/>
      <c r="Y321" s="44"/>
      <c r="Z321" s="44"/>
      <c r="AA321" s="44"/>
      <c r="AB321" s="44"/>
    </row>
    <row r="322" spans="2:28" hidden="1" x14ac:dyDescent="0.2">
      <c r="B322" s="44"/>
      <c r="C322" s="44"/>
      <c r="D322" s="44" t="s">
        <v>207</v>
      </c>
      <c r="E322" s="44" t="s">
        <v>227</v>
      </c>
      <c r="F322" s="44">
        <v>17195005</v>
      </c>
      <c r="G322" s="44" t="s">
        <v>1130</v>
      </c>
      <c r="H322" s="44" t="s">
        <v>1221</v>
      </c>
      <c r="I322" s="44"/>
      <c r="J322" s="44"/>
      <c r="K322" s="44"/>
      <c r="L322" s="44"/>
      <c r="M322" s="44"/>
      <c r="N322" s="44"/>
      <c r="O322" s="44"/>
      <c r="P322" s="44"/>
      <c r="Q322" s="44"/>
      <c r="R322" s="44"/>
      <c r="S322" s="44"/>
      <c r="T322" s="44"/>
      <c r="U322" s="44"/>
      <c r="V322" s="44"/>
      <c r="W322" s="44"/>
      <c r="X322" s="44"/>
      <c r="Y322" s="44"/>
      <c r="Z322" s="44"/>
      <c r="AA322" s="44"/>
      <c r="AB322" s="44"/>
    </row>
    <row r="323" spans="2:28" hidden="1" x14ac:dyDescent="0.2">
      <c r="B323" s="44"/>
      <c r="C323" s="44"/>
      <c r="D323" s="44" t="s">
        <v>207</v>
      </c>
      <c r="E323" s="44" t="s">
        <v>227</v>
      </c>
      <c r="F323" s="44">
        <v>17195007</v>
      </c>
      <c r="G323" s="44" t="s">
        <v>1132</v>
      </c>
      <c r="H323" s="44">
        <v>17195007</v>
      </c>
      <c r="I323" s="44"/>
      <c r="J323" s="44"/>
      <c r="K323" s="44"/>
      <c r="L323" s="44"/>
      <c r="M323" s="44"/>
      <c r="N323" s="44"/>
      <c r="O323" s="44"/>
      <c r="P323" s="44"/>
      <c r="Q323" s="44"/>
      <c r="R323" s="44"/>
      <c r="S323" s="44"/>
      <c r="T323" s="44"/>
      <c r="U323" s="44"/>
      <c r="V323" s="44"/>
      <c r="W323" s="44"/>
      <c r="X323" s="44"/>
      <c r="Y323" s="44"/>
      <c r="Z323" s="44"/>
      <c r="AA323" s="44"/>
      <c r="AB323" s="44"/>
    </row>
    <row r="324" spans="2:28" hidden="1" x14ac:dyDescent="0.2">
      <c r="B324" s="44"/>
      <c r="C324" s="44"/>
      <c r="D324" s="44" t="s">
        <v>207</v>
      </c>
      <c r="E324" s="44" t="s">
        <v>227</v>
      </c>
      <c r="F324" s="44">
        <v>17195008</v>
      </c>
      <c r="G324" s="44" t="s">
        <v>1133</v>
      </c>
      <c r="H324" s="44" t="s">
        <v>1223</v>
      </c>
      <c r="I324" s="44"/>
      <c r="J324" s="44"/>
      <c r="K324" s="44"/>
      <c r="L324" s="44"/>
      <c r="M324" s="44"/>
      <c r="N324" s="44"/>
      <c r="O324" s="44"/>
      <c r="P324" s="44"/>
      <c r="Q324" s="44"/>
      <c r="R324" s="44"/>
      <c r="S324" s="44"/>
      <c r="T324" s="44"/>
      <c r="U324" s="44"/>
      <c r="V324" s="44"/>
      <c r="W324" s="44"/>
      <c r="X324" s="44"/>
      <c r="Y324" s="44"/>
      <c r="Z324" s="44"/>
      <c r="AA324" s="44"/>
      <c r="AB324" s="44"/>
    </row>
    <row r="325" spans="2:28" hidden="1" x14ac:dyDescent="0.2">
      <c r="B325" s="44"/>
      <c r="C325" s="44"/>
      <c r="D325" s="44" t="s">
        <v>207</v>
      </c>
      <c r="E325" s="44" t="s">
        <v>227</v>
      </c>
      <c r="F325" s="44">
        <v>17195009</v>
      </c>
      <c r="G325" s="44" t="s">
        <v>1134</v>
      </c>
      <c r="H325" s="44">
        <v>17195009</v>
      </c>
      <c r="I325" s="44"/>
      <c r="J325" s="44"/>
      <c r="K325" s="44"/>
      <c r="L325" s="44"/>
      <c r="M325" s="44"/>
      <c r="N325" s="44"/>
      <c r="O325" s="44"/>
      <c r="P325" s="44"/>
      <c r="Q325" s="44"/>
      <c r="R325" s="44"/>
      <c r="S325" s="44"/>
      <c r="T325" s="44"/>
      <c r="U325" s="44"/>
      <c r="V325" s="44"/>
      <c r="W325" s="44"/>
      <c r="X325" s="44"/>
      <c r="Y325" s="44"/>
      <c r="Z325" s="44"/>
      <c r="AA325" s="44"/>
      <c r="AB325" s="44"/>
    </row>
    <row r="326" spans="2:28" hidden="1" x14ac:dyDescent="0.2">
      <c r="B326" s="44"/>
      <c r="C326" s="44"/>
      <c r="D326" s="44" t="s">
        <v>207</v>
      </c>
      <c r="E326" s="44" t="s">
        <v>227</v>
      </c>
      <c r="F326" s="44">
        <v>17195012</v>
      </c>
      <c r="G326" s="44" t="s">
        <v>1136</v>
      </c>
      <c r="H326" s="44">
        <v>17195012</v>
      </c>
      <c r="I326" s="44"/>
      <c r="J326" s="44"/>
      <c r="K326" s="44"/>
      <c r="L326" s="44"/>
      <c r="M326" s="44"/>
      <c r="N326" s="44"/>
      <c r="O326" s="44"/>
      <c r="P326" s="44"/>
      <c r="Q326" s="44"/>
      <c r="R326" s="44"/>
      <c r="S326" s="44"/>
      <c r="T326" s="44"/>
      <c r="U326" s="44"/>
      <c r="V326" s="44"/>
      <c r="W326" s="44"/>
      <c r="X326" s="44"/>
      <c r="Y326" s="44"/>
      <c r="Z326" s="44"/>
      <c r="AA326" s="44"/>
      <c r="AB326" s="44"/>
    </row>
    <row r="327" spans="2:28" hidden="1" x14ac:dyDescent="0.2">
      <c r="B327" s="44"/>
      <c r="C327" s="44"/>
      <c r="D327" s="44" t="s">
        <v>207</v>
      </c>
      <c r="E327" s="44" t="s">
        <v>227</v>
      </c>
      <c r="F327" s="44">
        <v>17195014</v>
      </c>
      <c r="G327" s="44" t="s">
        <v>1138</v>
      </c>
      <c r="H327" s="44">
        <v>17195014</v>
      </c>
      <c r="I327" s="44"/>
      <c r="J327" s="44"/>
      <c r="K327" s="44"/>
      <c r="L327" s="44"/>
      <c r="M327" s="44"/>
      <c r="N327" s="44"/>
      <c r="O327" s="44"/>
      <c r="P327" s="44"/>
      <c r="Q327" s="44"/>
      <c r="R327" s="44"/>
      <c r="S327" s="44"/>
      <c r="T327" s="44"/>
      <c r="U327" s="44"/>
      <c r="V327" s="44"/>
      <c r="W327" s="44"/>
      <c r="X327" s="44"/>
      <c r="Y327" s="44"/>
      <c r="Z327" s="44"/>
      <c r="AA327" s="44"/>
      <c r="AB327" s="44"/>
    </row>
    <row r="328" spans="2:28" hidden="1" x14ac:dyDescent="0.2">
      <c r="B328" s="44"/>
      <c r="C328" s="44"/>
      <c r="D328" s="44" t="s">
        <v>207</v>
      </c>
      <c r="E328" s="44" t="s">
        <v>227</v>
      </c>
      <c r="F328" s="44">
        <v>17195015</v>
      </c>
      <c r="G328" s="44" t="s">
        <v>1139</v>
      </c>
      <c r="H328" s="44">
        <v>17195015</v>
      </c>
      <c r="I328" s="44"/>
      <c r="J328" s="44"/>
      <c r="K328" s="44"/>
      <c r="L328" s="44"/>
      <c r="M328" s="44"/>
      <c r="N328" s="44"/>
      <c r="O328" s="44"/>
      <c r="P328" s="44"/>
      <c r="Q328" s="44"/>
      <c r="R328" s="44"/>
      <c r="S328" s="44"/>
      <c r="T328" s="44"/>
      <c r="U328" s="44"/>
      <c r="V328" s="44"/>
      <c r="W328" s="44"/>
      <c r="X328" s="44"/>
      <c r="Y328" s="44"/>
      <c r="Z328" s="44"/>
      <c r="AA328" s="44"/>
      <c r="AB328" s="44"/>
    </row>
    <row r="329" spans="2:28" hidden="1" x14ac:dyDescent="0.2">
      <c r="B329" s="44"/>
      <c r="C329" s="44"/>
      <c r="D329" s="44" t="s">
        <v>207</v>
      </c>
      <c r="E329" s="44" t="s">
        <v>227</v>
      </c>
      <c r="F329" s="44">
        <v>17195016</v>
      </c>
      <c r="G329" s="44" t="s">
        <v>1140</v>
      </c>
      <c r="H329" s="44">
        <v>17195016</v>
      </c>
      <c r="I329" s="44"/>
      <c r="J329" s="44"/>
      <c r="K329" s="44"/>
      <c r="L329" s="44"/>
      <c r="M329" s="44"/>
      <c r="N329" s="44"/>
      <c r="O329" s="44"/>
      <c r="P329" s="44"/>
      <c r="Q329" s="44"/>
      <c r="R329" s="44"/>
      <c r="S329" s="44"/>
      <c r="T329" s="44"/>
      <c r="U329" s="44"/>
      <c r="V329" s="44"/>
      <c r="W329" s="44"/>
      <c r="X329" s="44"/>
      <c r="Y329" s="44"/>
      <c r="Z329" s="44"/>
      <c r="AA329" s="44"/>
      <c r="AB329" s="44"/>
    </row>
    <row r="330" spans="2:28" hidden="1" x14ac:dyDescent="0.2">
      <c r="B330" s="44"/>
      <c r="C330" s="44"/>
      <c r="D330" s="44" t="s">
        <v>207</v>
      </c>
      <c r="E330" s="44" t="s">
        <v>227</v>
      </c>
      <c r="F330" s="44">
        <v>17195017</v>
      </c>
      <c r="G330" s="44" t="s">
        <v>1141</v>
      </c>
      <c r="H330" s="44">
        <v>17195017</v>
      </c>
      <c r="I330" s="44"/>
      <c r="J330" s="44"/>
      <c r="K330" s="44"/>
      <c r="L330" s="44"/>
      <c r="M330" s="44"/>
      <c r="N330" s="44"/>
      <c r="O330" s="44"/>
      <c r="P330" s="44"/>
      <c r="Q330" s="44"/>
      <c r="R330" s="44"/>
      <c r="S330" s="44"/>
      <c r="T330" s="44"/>
      <c r="U330" s="44"/>
      <c r="V330" s="44"/>
      <c r="W330" s="44"/>
      <c r="X330" s="44"/>
      <c r="Y330" s="44"/>
      <c r="Z330" s="44"/>
      <c r="AA330" s="44"/>
      <c r="AB330" s="44"/>
    </row>
    <row r="331" spans="2:28" hidden="1" x14ac:dyDescent="0.2">
      <c r="B331" s="44"/>
      <c r="C331" s="44"/>
      <c r="D331" s="44" t="s">
        <v>207</v>
      </c>
      <c r="E331" s="44" t="s">
        <v>227</v>
      </c>
      <c r="F331" s="44">
        <v>17195018</v>
      </c>
      <c r="G331" s="44" t="s">
        <v>1142</v>
      </c>
      <c r="H331" s="44">
        <v>17195018</v>
      </c>
      <c r="I331" s="44"/>
      <c r="J331" s="44"/>
      <c r="K331" s="44"/>
      <c r="L331" s="44"/>
      <c r="M331" s="44"/>
      <c r="N331" s="44"/>
      <c r="O331" s="44"/>
      <c r="P331" s="44"/>
      <c r="Q331" s="44"/>
      <c r="R331" s="44"/>
      <c r="S331" s="44"/>
      <c r="T331" s="44"/>
      <c r="U331" s="44"/>
      <c r="V331" s="44"/>
      <c r="W331" s="44"/>
      <c r="X331" s="44"/>
      <c r="Y331" s="44"/>
      <c r="Z331" s="44"/>
      <c r="AA331" s="44"/>
      <c r="AB331" s="44"/>
    </row>
    <row r="332" spans="2:28" hidden="1" x14ac:dyDescent="0.2">
      <c r="B332" s="44"/>
      <c r="C332" s="44"/>
      <c r="D332" s="44" t="s">
        <v>207</v>
      </c>
      <c r="E332" s="44" t="s">
        <v>227</v>
      </c>
      <c r="F332" s="44">
        <v>17195019</v>
      </c>
      <c r="G332" s="44" t="s">
        <v>1143</v>
      </c>
      <c r="H332" s="44">
        <v>17195019</v>
      </c>
      <c r="I332" s="44"/>
      <c r="J332" s="44"/>
      <c r="K332" s="44"/>
      <c r="L332" s="44"/>
      <c r="M332" s="44"/>
      <c r="N332" s="44"/>
      <c r="O332" s="44"/>
      <c r="P332" s="44"/>
      <c r="Q332" s="44"/>
      <c r="R332" s="44"/>
      <c r="S332" s="44"/>
      <c r="T332" s="44"/>
      <c r="U332" s="44"/>
      <c r="V332" s="44"/>
      <c r="W332" s="44"/>
      <c r="X332" s="44"/>
      <c r="Y332" s="44"/>
      <c r="Z332" s="44"/>
      <c r="AA332" s="44"/>
      <c r="AB332" s="44"/>
    </row>
    <row r="333" spans="2:28" hidden="1" x14ac:dyDescent="0.2">
      <c r="B333" s="44"/>
      <c r="C333" s="44"/>
      <c r="D333" s="44" t="s">
        <v>207</v>
      </c>
      <c r="E333" s="44" t="s">
        <v>227</v>
      </c>
      <c r="F333" s="44">
        <v>17195020</v>
      </c>
      <c r="G333" s="44" t="s">
        <v>1144</v>
      </c>
      <c r="H333" s="44">
        <v>17195020</v>
      </c>
      <c r="I333" s="44"/>
      <c r="J333" s="44"/>
      <c r="K333" s="44"/>
      <c r="L333" s="44"/>
      <c r="M333" s="44"/>
      <c r="N333" s="44"/>
      <c r="O333" s="44"/>
      <c r="P333" s="44"/>
      <c r="Q333" s="44"/>
      <c r="R333" s="44"/>
      <c r="S333" s="44"/>
      <c r="T333" s="44"/>
      <c r="U333" s="44"/>
      <c r="V333" s="44"/>
      <c r="W333" s="44"/>
      <c r="X333" s="44"/>
      <c r="Y333" s="44"/>
      <c r="Z333" s="44"/>
      <c r="AA333" s="44"/>
      <c r="AB333" s="44"/>
    </row>
    <row r="334" spans="2:28" hidden="1" x14ac:dyDescent="0.2">
      <c r="B334" s="44"/>
      <c r="C334" s="44"/>
      <c r="D334" s="44" t="s">
        <v>207</v>
      </c>
      <c r="E334" s="44" t="s">
        <v>227</v>
      </c>
      <c r="F334" s="44">
        <v>17195021</v>
      </c>
      <c r="G334" s="44" t="s">
        <v>1145</v>
      </c>
      <c r="H334" s="44">
        <v>17195021</v>
      </c>
      <c r="I334" s="44"/>
      <c r="J334" s="44"/>
      <c r="K334" s="44"/>
      <c r="L334" s="44"/>
      <c r="M334" s="44"/>
      <c r="N334" s="44"/>
      <c r="O334" s="44"/>
      <c r="P334" s="44"/>
      <c r="Q334" s="44"/>
      <c r="R334" s="44"/>
      <c r="S334" s="44"/>
      <c r="T334" s="44"/>
      <c r="U334" s="44"/>
      <c r="V334" s="44"/>
      <c r="W334" s="44"/>
      <c r="X334" s="44"/>
      <c r="Y334" s="44"/>
      <c r="Z334" s="44"/>
      <c r="AA334" s="44"/>
      <c r="AB334" s="44"/>
    </row>
    <row r="335" spans="2:28" hidden="1" x14ac:dyDescent="0.2">
      <c r="B335" s="44"/>
      <c r="C335" s="44"/>
      <c r="D335" s="44" t="s">
        <v>207</v>
      </c>
      <c r="E335" s="44" t="s">
        <v>227</v>
      </c>
      <c r="F335" s="44">
        <v>17195022</v>
      </c>
      <c r="G335" s="44" t="s">
        <v>1146</v>
      </c>
      <c r="H335" s="44">
        <v>17195022</v>
      </c>
      <c r="I335" s="44"/>
      <c r="J335" s="44"/>
      <c r="K335" s="44"/>
      <c r="L335" s="44"/>
      <c r="M335" s="44"/>
      <c r="N335" s="44"/>
      <c r="O335" s="44"/>
      <c r="P335" s="44"/>
      <c r="Q335" s="44"/>
      <c r="R335" s="44"/>
      <c r="S335" s="44"/>
      <c r="T335" s="44"/>
      <c r="U335" s="44"/>
      <c r="V335" s="44"/>
      <c r="W335" s="44"/>
      <c r="X335" s="44"/>
      <c r="Y335" s="44"/>
      <c r="Z335" s="44"/>
      <c r="AA335" s="44"/>
      <c r="AB335" s="44"/>
    </row>
    <row r="336" spans="2:28" hidden="1" x14ac:dyDescent="0.2">
      <c r="B336" s="44"/>
      <c r="C336" s="44"/>
      <c r="D336" s="44" t="s">
        <v>207</v>
      </c>
      <c r="E336" s="44" t="s">
        <v>227</v>
      </c>
      <c r="F336" s="44">
        <v>17195023</v>
      </c>
      <c r="G336" s="44" t="s">
        <v>1147</v>
      </c>
      <c r="H336" s="44">
        <v>17195023</v>
      </c>
      <c r="I336" s="44"/>
      <c r="J336" s="44"/>
      <c r="K336" s="44"/>
      <c r="L336" s="44"/>
      <c r="M336" s="44"/>
      <c r="N336" s="44"/>
      <c r="O336" s="44"/>
      <c r="P336" s="44"/>
      <c r="Q336" s="44"/>
      <c r="R336" s="44"/>
      <c r="S336" s="44"/>
      <c r="T336" s="44"/>
      <c r="U336" s="44"/>
      <c r="V336" s="44"/>
      <c r="W336" s="44"/>
      <c r="X336" s="44"/>
      <c r="Y336" s="44"/>
      <c r="Z336" s="44"/>
      <c r="AA336" s="44"/>
      <c r="AB336" s="44"/>
    </row>
    <row r="337" spans="2:28" hidden="1" x14ac:dyDescent="0.2">
      <c r="B337" s="44"/>
      <c r="C337" s="44"/>
      <c r="D337" s="44" t="s">
        <v>207</v>
      </c>
      <c r="E337" s="44" t="s">
        <v>227</v>
      </c>
      <c r="F337" s="44">
        <v>17195026</v>
      </c>
      <c r="G337" s="44" t="s">
        <v>1150</v>
      </c>
      <c r="H337" s="44" t="s">
        <v>1225</v>
      </c>
      <c r="I337" s="44"/>
      <c r="J337" s="44"/>
      <c r="K337" s="44"/>
      <c r="L337" s="44"/>
      <c r="M337" s="44"/>
      <c r="N337" s="44"/>
      <c r="O337" s="44"/>
      <c r="P337" s="44"/>
      <c r="Q337" s="44"/>
      <c r="R337" s="44"/>
      <c r="S337" s="44"/>
      <c r="T337" s="44"/>
      <c r="U337" s="44"/>
      <c r="V337" s="44"/>
      <c r="W337" s="44"/>
      <c r="X337" s="44"/>
      <c r="Y337" s="44"/>
      <c r="Z337" s="44"/>
      <c r="AA337" s="44"/>
      <c r="AB337" s="44"/>
    </row>
    <row r="338" spans="2:28" hidden="1" x14ac:dyDescent="0.2">
      <c r="D338" s="44" t="s">
        <v>207</v>
      </c>
      <c r="E338" s="44" t="s">
        <v>227</v>
      </c>
      <c r="F338" s="44">
        <v>17195027</v>
      </c>
      <c r="G338" s="44" t="s">
        <v>1151</v>
      </c>
      <c r="H338" s="44" t="s">
        <v>1226</v>
      </c>
    </row>
    <row r="339" spans="2:28" hidden="1" x14ac:dyDescent="0.2">
      <c r="D339" s="44" t="s">
        <v>207</v>
      </c>
      <c r="E339" s="44" t="s">
        <v>227</v>
      </c>
      <c r="F339" s="44">
        <v>17195028</v>
      </c>
      <c r="G339" s="44" t="s">
        <v>1152</v>
      </c>
      <c r="H339" s="44" t="s">
        <v>1227</v>
      </c>
    </row>
    <row r="340" spans="2:28" hidden="1" x14ac:dyDescent="0.2">
      <c r="D340" s="44" t="s">
        <v>207</v>
      </c>
      <c r="E340" s="44" t="s">
        <v>227</v>
      </c>
      <c r="F340" s="44">
        <v>17195029</v>
      </c>
      <c r="G340" s="44" t="s">
        <v>1153</v>
      </c>
      <c r="H340" s="44" t="s">
        <v>1227</v>
      </c>
    </row>
    <row r="341" spans="2:28" hidden="1" x14ac:dyDescent="0.2">
      <c r="D341" s="44" t="s">
        <v>208</v>
      </c>
      <c r="E341" s="44" t="s">
        <v>226</v>
      </c>
      <c r="F341" s="44">
        <v>17180001</v>
      </c>
      <c r="G341" s="44" t="s">
        <v>1154</v>
      </c>
      <c r="H341" s="44" t="s">
        <v>1228</v>
      </c>
    </row>
    <row r="342" spans="2:28" hidden="1" x14ac:dyDescent="0.2">
      <c r="D342" s="44" t="s">
        <v>208</v>
      </c>
      <c r="E342" s="44" t="s">
        <v>226</v>
      </c>
      <c r="F342" s="44">
        <v>17180032</v>
      </c>
      <c r="G342" s="44" t="s">
        <v>1166</v>
      </c>
      <c r="H342" s="44" t="s">
        <v>1239</v>
      </c>
    </row>
    <row r="343" spans="2:28" hidden="1" x14ac:dyDescent="0.2">
      <c r="D343" s="44" t="s">
        <v>208</v>
      </c>
      <c r="E343" s="44" t="s">
        <v>226</v>
      </c>
      <c r="F343" s="44">
        <v>17180035</v>
      </c>
      <c r="G343" s="44" t="s">
        <v>1168</v>
      </c>
      <c r="H343" s="44" t="s">
        <v>1241</v>
      </c>
    </row>
    <row r="344" spans="2:28" hidden="1" x14ac:dyDescent="0.2">
      <c r="D344" s="44" t="s">
        <v>208</v>
      </c>
      <c r="E344" s="44" t="s">
        <v>226</v>
      </c>
      <c r="F344" s="44">
        <v>17180036</v>
      </c>
      <c r="G344" s="44" t="s">
        <v>1169</v>
      </c>
      <c r="H344" s="44" t="s">
        <v>1242</v>
      </c>
    </row>
    <row r="345" spans="2:28" hidden="1" x14ac:dyDescent="0.2">
      <c r="D345" s="44" t="s">
        <v>208</v>
      </c>
      <c r="E345" s="44" t="s">
        <v>226</v>
      </c>
      <c r="F345" s="44">
        <v>17180045</v>
      </c>
      <c r="G345" s="44" t="s">
        <v>1174</v>
      </c>
      <c r="H345" s="44" t="s">
        <v>1247</v>
      </c>
    </row>
    <row r="346" spans="2:28" hidden="1" x14ac:dyDescent="0.2">
      <c r="D346" s="44" t="s">
        <v>208</v>
      </c>
      <c r="E346" s="44" t="s">
        <v>226</v>
      </c>
      <c r="F346" s="44">
        <v>17180046</v>
      </c>
      <c r="G346" s="44" t="s">
        <v>1175</v>
      </c>
      <c r="H346" s="44"/>
    </row>
    <row r="347" spans="2:28" hidden="1" x14ac:dyDescent="0.2">
      <c r="D347" s="44" t="s">
        <v>208</v>
      </c>
      <c r="E347" s="44" t="s">
        <v>226</v>
      </c>
      <c r="F347" s="44">
        <v>17180047</v>
      </c>
      <c r="G347" s="44" t="s">
        <v>1176</v>
      </c>
      <c r="H347" s="44" t="s">
        <v>1248</v>
      </c>
    </row>
    <row r="348" spans="2:28" hidden="1" x14ac:dyDescent="0.2">
      <c r="D348" s="44" t="s">
        <v>208</v>
      </c>
      <c r="E348" s="44" t="s">
        <v>226</v>
      </c>
      <c r="F348" s="44">
        <v>17180048</v>
      </c>
      <c r="G348" s="44" t="s">
        <v>1176</v>
      </c>
      <c r="H348" s="44"/>
    </row>
    <row r="349" spans="2:28" hidden="1" x14ac:dyDescent="0.2">
      <c r="D349" s="44" t="s">
        <v>208</v>
      </c>
      <c r="E349" s="44" t="s">
        <v>226</v>
      </c>
      <c r="F349" s="44">
        <v>17180055</v>
      </c>
      <c r="G349" s="44" t="s">
        <v>1182</v>
      </c>
      <c r="H349" s="44" t="s">
        <v>1254</v>
      </c>
    </row>
    <row r="350" spans="2:28" hidden="1" x14ac:dyDescent="0.2">
      <c r="D350" s="44" t="s">
        <v>208</v>
      </c>
      <c r="E350" s="44" t="s">
        <v>226</v>
      </c>
      <c r="F350" s="44">
        <v>17185009</v>
      </c>
      <c r="G350" s="44" t="s">
        <v>1192</v>
      </c>
      <c r="H350" s="44">
        <v>17185009</v>
      </c>
    </row>
    <row r="351" spans="2:28" hidden="1" x14ac:dyDescent="0.2">
      <c r="D351" s="44" t="s">
        <v>208</v>
      </c>
      <c r="E351" s="44" t="s">
        <v>226</v>
      </c>
      <c r="F351" s="44">
        <v>17185010</v>
      </c>
      <c r="G351" s="44" t="s">
        <v>1193</v>
      </c>
      <c r="H351" s="44">
        <v>17185010</v>
      </c>
    </row>
    <row r="352" spans="2:28" hidden="1" x14ac:dyDescent="0.2">
      <c r="D352" s="39" t="s">
        <v>208</v>
      </c>
      <c r="E352" s="39" t="s">
        <v>226</v>
      </c>
      <c r="F352" s="39">
        <v>17185012</v>
      </c>
      <c r="G352" s="39" t="s">
        <v>1195</v>
      </c>
      <c r="H352" s="39" t="s">
        <v>1264</v>
      </c>
    </row>
    <row r="353" spans="4:8" hidden="1" x14ac:dyDescent="0.2">
      <c r="D353" s="39" t="s">
        <v>208</v>
      </c>
      <c r="E353" s="39" t="s">
        <v>226</v>
      </c>
      <c r="F353" s="39">
        <v>17185020</v>
      </c>
      <c r="G353" s="39" t="s">
        <v>1203</v>
      </c>
      <c r="H353" s="39">
        <v>17185020</v>
      </c>
    </row>
    <row r="354" spans="4:8" hidden="1" x14ac:dyDescent="0.2">
      <c r="D354" s="39" t="s">
        <v>208</v>
      </c>
      <c r="E354" s="39" t="s">
        <v>226</v>
      </c>
      <c r="F354" s="39">
        <v>17185021</v>
      </c>
      <c r="G354" s="39" t="s">
        <v>1204</v>
      </c>
      <c r="H354" s="39">
        <v>17185021</v>
      </c>
    </row>
    <row r="355" spans="4:8" hidden="1" x14ac:dyDescent="0.2">
      <c r="D355" s="39" t="s">
        <v>208</v>
      </c>
      <c r="E355" s="39" t="s">
        <v>226</v>
      </c>
      <c r="F355" s="39">
        <v>17200025</v>
      </c>
      <c r="G355" s="39" t="s">
        <v>1215</v>
      </c>
      <c r="H355" s="39" t="s">
        <v>1274</v>
      </c>
    </row>
    <row r="356" spans="4:8" hidden="1" x14ac:dyDescent="0.2">
      <c r="D356" s="44" t="s">
        <v>208</v>
      </c>
      <c r="E356" s="44" t="s">
        <v>227</v>
      </c>
      <c r="F356" s="44">
        <v>17195006</v>
      </c>
      <c r="G356" s="44" t="s">
        <v>1131</v>
      </c>
      <c r="H356" s="44" t="s">
        <v>1222</v>
      </c>
    </row>
    <row r="357" spans="4:8" hidden="1" x14ac:dyDescent="0.2">
      <c r="D357" s="44" t="s">
        <v>208</v>
      </c>
      <c r="E357" s="44" t="s">
        <v>227</v>
      </c>
      <c r="F357" s="44">
        <v>17195011</v>
      </c>
      <c r="G357" s="44" t="s">
        <v>1135</v>
      </c>
      <c r="H357" s="44">
        <v>17195011</v>
      </c>
    </row>
    <row r="358" spans="4:8" hidden="1" x14ac:dyDescent="0.2">
      <c r="D358" s="44" t="s">
        <v>208</v>
      </c>
      <c r="E358" s="44" t="s">
        <v>227</v>
      </c>
      <c r="F358" s="44">
        <v>17195013</v>
      </c>
      <c r="G358" s="44" t="s">
        <v>1137</v>
      </c>
      <c r="H358" s="44" t="s">
        <v>1224</v>
      </c>
    </row>
    <row r="359" spans="4:8" hidden="1" x14ac:dyDescent="0.2">
      <c r="D359" s="44" t="s">
        <v>208</v>
      </c>
      <c r="E359" s="44" t="s">
        <v>227</v>
      </c>
      <c r="F359" s="44">
        <v>17195024</v>
      </c>
      <c r="G359" s="44" t="s">
        <v>1148</v>
      </c>
      <c r="H359" s="44">
        <v>17195024</v>
      </c>
    </row>
    <row r="360" spans="4:8" hidden="1" x14ac:dyDescent="0.2">
      <c r="D360" s="44" t="s">
        <v>208</v>
      </c>
      <c r="E360" s="44" t="s">
        <v>227</v>
      </c>
      <c r="F360" s="44">
        <v>17195025</v>
      </c>
      <c r="G360" s="44" t="s">
        <v>1149</v>
      </c>
      <c r="H360" s="44">
        <v>17195025</v>
      </c>
    </row>
    <row r="361" spans="4:8" hidden="1" x14ac:dyDescent="0.2"/>
  </sheetData>
  <sheetProtection password="C583" sheet="1" insertRows="0" selectLockedCells="1"/>
  <sortState xmlns:xlrd2="http://schemas.microsoft.com/office/spreadsheetml/2017/richdata2" ref="D268:H360">
    <sortCondition ref="D268:D360"/>
    <sortCondition ref="E268:E360"/>
  </sortState>
  <mergeCells count="45">
    <mergeCell ref="D179:F180"/>
    <mergeCell ref="D47:E49"/>
    <mergeCell ref="K51:O51"/>
    <mergeCell ref="Q51:U51"/>
    <mergeCell ref="D53:E55"/>
    <mergeCell ref="K53:O53"/>
    <mergeCell ref="Q53:U53"/>
    <mergeCell ref="K54:O54"/>
    <mergeCell ref="Q54:U54"/>
    <mergeCell ref="K55:O55"/>
    <mergeCell ref="Q55:U55"/>
    <mergeCell ref="Q48:U48"/>
    <mergeCell ref="J68:L68"/>
    <mergeCell ref="J70:L70"/>
    <mergeCell ref="J72:L72"/>
    <mergeCell ref="I135:J135"/>
    <mergeCell ref="K57:O57"/>
    <mergeCell ref="I31:N31"/>
    <mergeCell ref="K40:O40"/>
    <mergeCell ref="Q47:U47"/>
    <mergeCell ref="Q45:U45"/>
    <mergeCell ref="K45:O45"/>
    <mergeCell ref="K42:O42"/>
    <mergeCell ref="Q57:U57"/>
    <mergeCell ref="K47:O47"/>
    <mergeCell ref="K38:O38"/>
    <mergeCell ref="K48:O48"/>
    <mergeCell ref="K49:O49"/>
    <mergeCell ref="Q49:U49"/>
    <mergeCell ref="G135:H135"/>
    <mergeCell ref="G134:J134"/>
    <mergeCell ref="D236:Z245"/>
    <mergeCell ref="J64:L64"/>
    <mergeCell ref="C169:D169"/>
    <mergeCell ref="D176:E176"/>
    <mergeCell ref="M177:N177"/>
    <mergeCell ref="X135:Y135"/>
    <mergeCell ref="Y128:Z128"/>
    <mergeCell ref="G125:H125"/>
    <mergeCell ref="J66:L66"/>
    <mergeCell ref="J79:L79"/>
    <mergeCell ref="J81:L81"/>
    <mergeCell ref="J83:L83"/>
    <mergeCell ref="G136:H136"/>
    <mergeCell ref="I136:J136"/>
  </mergeCells>
  <conditionalFormatting sqref="J64:L64">
    <cfRule type="containsBlanks" dxfId="161" priority="16">
      <formula>LEN(TRIM(J64))=0</formula>
    </cfRule>
  </conditionalFormatting>
  <conditionalFormatting sqref="D236:Z245">
    <cfRule type="containsBlanks" dxfId="160" priority="15">
      <formula>LEN(TRIM(D236))=0</formula>
    </cfRule>
  </conditionalFormatting>
  <conditionalFormatting sqref="K38">
    <cfRule type="containsBlanks" dxfId="159" priority="14">
      <formula>LEN(TRIM(K38))=0</formula>
    </cfRule>
  </conditionalFormatting>
  <conditionalFormatting sqref="K40">
    <cfRule type="containsBlanks" dxfId="158" priority="13">
      <formula>LEN(TRIM(K40))=0</formula>
    </cfRule>
  </conditionalFormatting>
  <conditionalFormatting sqref="K57">
    <cfRule type="containsBlanks" dxfId="157" priority="10">
      <formula>LEN(TRIM(K57))=0</formula>
    </cfRule>
  </conditionalFormatting>
  <conditionalFormatting sqref="Q57">
    <cfRule type="containsBlanks" dxfId="156" priority="9">
      <formula>LEN(TRIM(Q57))=0</formula>
    </cfRule>
  </conditionalFormatting>
  <conditionalFormatting sqref="J66:L66">
    <cfRule type="containsBlanks" dxfId="155" priority="8">
      <formula>LEN(TRIM(J66))=0</formula>
    </cfRule>
  </conditionalFormatting>
  <conditionalFormatting sqref="J79:L79">
    <cfRule type="containsBlanks" dxfId="154" priority="7">
      <formula>LEN(TRIM(J79))=0</formula>
    </cfRule>
  </conditionalFormatting>
  <conditionalFormatting sqref="J81:L81">
    <cfRule type="containsBlanks" dxfId="153" priority="6">
      <formula>LEN(TRIM(J81))=0</formula>
    </cfRule>
  </conditionalFormatting>
  <conditionalFormatting sqref="J83:L83">
    <cfRule type="containsBlanks" dxfId="152" priority="5">
      <formula>LEN(TRIM(J83))=0</formula>
    </cfRule>
  </conditionalFormatting>
  <conditionalFormatting sqref="J68:L68">
    <cfRule type="containsBlanks" dxfId="151" priority="4">
      <formula>LEN(TRIM(J68))=0</formula>
    </cfRule>
  </conditionalFormatting>
  <conditionalFormatting sqref="J70:L70">
    <cfRule type="containsBlanks" dxfId="150" priority="3">
      <formula>LEN(TRIM(J70))=0</formula>
    </cfRule>
  </conditionalFormatting>
  <conditionalFormatting sqref="J72:L72">
    <cfRule type="containsBlanks" dxfId="149" priority="2">
      <formula>LEN(TRIM(J72))=0</formula>
    </cfRule>
  </conditionalFormatting>
  <conditionalFormatting sqref="K42">
    <cfRule type="containsBlanks" dxfId="148" priority="1">
      <formula>LEN(TRIM(K42))=0</formula>
    </cfRule>
  </conditionalFormatting>
  <dataValidations disablePrompts="1" count="5">
    <dataValidation type="list" allowBlank="1" showInputMessage="1" showErrorMessage="1" sqref="K38:O38" xr:uid="{00000000-0002-0000-0100-000000000000}">
      <formula1>"Paper (indoor only), Synthetic (outdoor)"</formula1>
    </dataValidation>
    <dataValidation type="list" allowBlank="1" showInputMessage="1" showErrorMessage="1" sqref="Q53:U53 K53:O53" xr:uid="{00000000-0002-0000-0100-000001000000}">
      <formula1>$G$341:$G$355</formula1>
    </dataValidation>
    <dataValidation type="list" allowBlank="1" showInputMessage="1" showErrorMessage="1" sqref="Q55:U55 K55:O55" xr:uid="{00000000-0002-0000-0100-000002000000}">
      <formula1>$G$356:$G$360</formula1>
    </dataValidation>
    <dataValidation type="list" allowBlank="1" showInputMessage="1" showErrorMessage="1" sqref="K47:O47 Q47:U47" xr:uid="{00000000-0002-0000-0100-000003000000}">
      <formula1>$G$268:$G$316</formula1>
    </dataValidation>
    <dataValidation type="list" allowBlank="1" showInputMessage="1" showErrorMessage="1" sqref="K49:O49 Q49:U49" xr:uid="{00000000-0002-0000-0100-000004000000}">
      <formula1>$G$317:$G$340</formula1>
    </dataValidation>
  </dataValidations>
  <pageMargins left="0.70866141732283472" right="0.70866141732283472" top="0.74803149606299213" bottom="0.74803149606299213" header="0.31496062992125984" footer="0.31496062992125984"/>
  <pageSetup paperSize="9" scale="67" fitToHeight="3" orientation="portrait" r:id="rId1"/>
  <rowBreaks count="3" manualBreakCount="3">
    <brk id="87" min="2" max="26" man="1"/>
    <brk id="140" min="2" max="26" man="1"/>
    <brk id="183" min="2" max="26" man="1"/>
  </rowBreaks>
  <ignoredErrors>
    <ignoredError sqref="D171:E177 N179 H127 I136 Y137 Z130 Q57 Q50:U52 Q48:U48 Q47:U47 Q49:U49 Q54:U54 Q53:U53 Q55:U55 E17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156" r:id="rId4" name="Group Box 36">
              <controlPr defaultSize="0" autoFill="0" autoPict="0">
                <anchor moveWithCells="1">
                  <from>
                    <xdr:col>7</xdr:col>
                    <xdr:colOff>19050</xdr:colOff>
                    <xdr:row>23</xdr:row>
                    <xdr:rowOff>133350</xdr:rowOff>
                  </from>
                  <to>
                    <xdr:col>20</xdr:col>
                    <xdr:colOff>247650</xdr:colOff>
                    <xdr:row>32</xdr:row>
                    <xdr:rowOff>19050</xdr:rowOff>
                  </to>
                </anchor>
              </controlPr>
            </control>
          </mc:Choice>
        </mc:AlternateContent>
        <mc:AlternateContent xmlns:mc="http://schemas.openxmlformats.org/markup-compatibility/2006">
          <mc:Choice Requires="x14">
            <control shapeId="5157" r:id="rId5" name="Option Button 37">
              <controlPr defaultSize="0" autoFill="0" autoLine="0" autoPict="0">
                <anchor moveWithCells="1">
                  <from>
                    <xdr:col>7</xdr:col>
                    <xdr:colOff>209550</xdr:colOff>
                    <xdr:row>25</xdr:row>
                    <xdr:rowOff>76200</xdr:rowOff>
                  </from>
                  <to>
                    <xdr:col>11</xdr:col>
                    <xdr:colOff>142875</xdr:colOff>
                    <xdr:row>26</xdr:row>
                    <xdr:rowOff>142875</xdr:rowOff>
                  </to>
                </anchor>
              </controlPr>
            </control>
          </mc:Choice>
        </mc:AlternateContent>
        <mc:AlternateContent xmlns:mc="http://schemas.openxmlformats.org/markup-compatibility/2006">
          <mc:Choice Requires="x14">
            <control shapeId="5159" r:id="rId6" name="Option Button 39">
              <controlPr defaultSize="0" autoFill="0" autoLine="0" autoPict="0">
                <anchor moveWithCells="1">
                  <from>
                    <xdr:col>13</xdr:col>
                    <xdr:colOff>228600</xdr:colOff>
                    <xdr:row>25</xdr:row>
                    <xdr:rowOff>76200</xdr:rowOff>
                  </from>
                  <to>
                    <xdr:col>17</xdr:col>
                    <xdr:colOff>171450</xdr:colOff>
                    <xdr:row>26</xdr:row>
                    <xdr:rowOff>142875</xdr:rowOff>
                  </to>
                </anchor>
              </controlPr>
            </control>
          </mc:Choice>
        </mc:AlternateContent>
        <mc:AlternateContent xmlns:mc="http://schemas.openxmlformats.org/markup-compatibility/2006">
          <mc:Choice Requires="x14">
            <control shapeId="5160" r:id="rId7" name="Option Button 40">
              <controlPr defaultSize="0" autoFill="0" autoLine="0" autoPict="0">
                <anchor moveWithCells="1">
                  <from>
                    <xdr:col>7</xdr:col>
                    <xdr:colOff>209550</xdr:colOff>
                    <xdr:row>28</xdr:row>
                    <xdr:rowOff>95250</xdr:rowOff>
                  </from>
                  <to>
                    <xdr:col>15</xdr:col>
                    <xdr:colOff>228600</xdr:colOff>
                    <xdr:row>29</xdr:row>
                    <xdr:rowOff>142875</xdr:rowOff>
                  </to>
                </anchor>
              </controlPr>
            </control>
          </mc:Choice>
        </mc:AlternateContent>
        <mc:AlternateContent xmlns:mc="http://schemas.openxmlformats.org/markup-compatibility/2006">
          <mc:Choice Requires="x14">
            <control shapeId="5161" r:id="rId8" name="Option Button 41">
              <controlPr defaultSize="0" autoFill="0" autoLine="0" autoPict="0">
                <anchor moveWithCells="1">
                  <from>
                    <xdr:col>7</xdr:col>
                    <xdr:colOff>209550</xdr:colOff>
                    <xdr:row>23</xdr:row>
                    <xdr:rowOff>171450</xdr:rowOff>
                  </from>
                  <to>
                    <xdr:col>11</xdr:col>
                    <xdr:colOff>142875</xdr:colOff>
                    <xdr:row>25</xdr:row>
                    <xdr:rowOff>57150</xdr:rowOff>
                  </to>
                </anchor>
              </controlPr>
            </control>
          </mc:Choice>
        </mc:AlternateContent>
        <mc:AlternateContent xmlns:mc="http://schemas.openxmlformats.org/markup-compatibility/2006">
          <mc:Choice Requires="x14">
            <control shapeId="5162" r:id="rId9" name="Option Button 42">
              <controlPr defaultSize="0" autoFill="0" autoLine="0" autoPict="0">
                <anchor moveWithCells="1">
                  <from>
                    <xdr:col>13</xdr:col>
                    <xdr:colOff>228600</xdr:colOff>
                    <xdr:row>23</xdr:row>
                    <xdr:rowOff>171450</xdr:rowOff>
                  </from>
                  <to>
                    <xdr:col>17</xdr:col>
                    <xdr:colOff>171450</xdr:colOff>
                    <xdr:row>25</xdr:row>
                    <xdr:rowOff>66675</xdr:rowOff>
                  </to>
                </anchor>
              </controlPr>
            </control>
          </mc:Choice>
        </mc:AlternateContent>
        <mc:AlternateContent xmlns:mc="http://schemas.openxmlformats.org/markup-compatibility/2006">
          <mc:Choice Requires="x14">
            <control shapeId="5164" r:id="rId10" name="Option Button 44">
              <controlPr defaultSize="0" autoFill="0" autoLine="0" autoPict="0">
                <anchor moveWithCells="1">
                  <from>
                    <xdr:col>7</xdr:col>
                    <xdr:colOff>209550</xdr:colOff>
                    <xdr:row>26</xdr:row>
                    <xdr:rowOff>171450</xdr:rowOff>
                  </from>
                  <to>
                    <xdr:col>11</xdr:col>
                    <xdr:colOff>142875</xdr:colOff>
                    <xdr:row>28</xdr:row>
                    <xdr:rowOff>57150</xdr:rowOff>
                  </to>
                </anchor>
              </controlPr>
            </control>
          </mc:Choice>
        </mc:AlternateContent>
        <mc:AlternateContent xmlns:mc="http://schemas.openxmlformats.org/markup-compatibility/2006">
          <mc:Choice Requires="x14">
            <control shapeId="5169" r:id="rId11" name="Check Box 49">
              <controlPr defaultSize="0" autoFill="0" autoLine="0" autoPict="0">
                <anchor moveWithCells="1">
                  <from>
                    <xdr:col>6</xdr:col>
                    <xdr:colOff>209550</xdr:colOff>
                    <xdr:row>11</xdr:row>
                    <xdr:rowOff>142875</xdr:rowOff>
                  </from>
                  <to>
                    <xdr:col>9</xdr:col>
                    <xdr:colOff>28575</xdr:colOff>
                    <xdr:row>13</xdr:row>
                    <xdr:rowOff>28575</xdr:rowOff>
                  </to>
                </anchor>
              </controlPr>
            </control>
          </mc:Choice>
        </mc:AlternateContent>
        <mc:AlternateContent xmlns:mc="http://schemas.openxmlformats.org/markup-compatibility/2006">
          <mc:Choice Requires="x14">
            <control shapeId="5170" r:id="rId12" name="Check Box 50">
              <controlPr defaultSize="0" autoFill="0" autoLine="0" autoPict="0">
                <anchor moveWithCells="1">
                  <from>
                    <xdr:col>10</xdr:col>
                    <xdr:colOff>142875</xdr:colOff>
                    <xdr:row>11</xdr:row>
                    <xdr:rowOff>142875</xdr:rowOff>
                  </from>
                  <to>
                    <xdr:col>13</xdr:col>
                    <xdr:colOff>180975</xdr:colOff>
                    <xdr:row>13</xdr:row>
                    <xdr:rowOff>28575</xdr:rowOff>
                  </to>
                </anchor>
              </controlPr>
            </control>
          </mc:Choice>
        </mc:AlternateContent>
        <mc:AlternateContent xmlns:mc="http://schemas.openxmlformats.org/markup-compatibility/2006">
          <mc:Choice Requires="x14">
            <control shapeId="5171" r:id="rId13" name="Check Box 51">
              <controlPr defaultSize="0" autoFill="0" autoLine="0" autoPict="0">
                <anchor moveWithCells="1">
                  <from>
                    <xdr:col>15</xdr:col>
                    <xdr:colOff>28575</xdr:colOff>
                    <xdr:row>11</xdr:row>
                    <xdr:rowOff>142875</xdr:rowOff>
                  </from>
                  <to>
                    <xdr:col>20</xdr:col>
                    <xdr:colOff>180975</xdr:colOff>
                    <xdr:row>13</xdr:row>
                    <xdr:rowOff>28575</xdr:rowOff>
                  </to>
                </anchor>
              </controlPr>
            </control>
          </mc:Choice>
        </mc:AlternateContent>
        <mc:AlternateContent xmlns:mc="http://schemas.openxmlformats.org/markup-compatibility/2006">
          <mc:Choice Requires="x14">
            <control shapeId="5174" r:id="rId14" name="Check Box 54">
              <controlPr defaultSize="0" autoFill="0" autoLine="0" autoPict="0">
                <anchor moveWithCells="1">
                  <from>
                    <xdr:col>6</xdr:col>
                    <xdr:colOff>209550</xdr:colOff>
                    <xdr:row>14</xdr:row>
                    <xdr:rowOff>0</xdr:rowOff>
                  </from>
                  <to>
                    <xdr:col>9</xdr:col>
                    <xdr:colOff>28575</xdr:colOff>
                    <xdr:row>15</xdr:row>
                    <xdr:rowOff>57150</xdr:rowOff>
                  </to>
                </anchor>
              </controlPr>
            </control>
          </mc:Choice>
        </mc:AlternateContent>
        <mc:AlternateContent xmlns:mc="http://schemas.openxmlformats.org/markup-compatibility/2006">
          <mc:Choice Requires="x14">
            <control shapeId="5175" r:id="rId15" name="Check Box 55">
              <controlPr defaultSize="0" autoFill="0" autoLine="0" autoPict="0">
                <anchor moveWithCells="1">
                  <from>
                    <xdr:col>10</xdr:col>
                    <xdr:colOff>142875</xdr:colOff>
                    <xdr:row>14</xdr:row>
                    <xdr:rowOff>0</xdr:rowOff>
                  </from>
                  <to>
                    <xdr:col>14</xdr:col>
                    <xdr:colOff>180975</xdr:colOff>
                    <xdr:row>15</xdr:row>
                    <xdr:rowOff>57150</xdr:rowOff>
                  </to>
                </anchor>
              </controlPr>
            </control>
          </mc:Choice>
        </mc:AlternateContent>
        <mc:AlternateContent xmlns:mc="http://schemas.openxmlformats.org/markup-compatibility/2006">
          <mc:Choice Requires="x14">
            <control shapeId="5176" r:id="rId16" name="Check Box 56">
              <controlPr defaultSize="0" autoFill="0" autoLine="0" autoPict="0">
                <anchor moveWithCells="1">
                  <from>
                    <xdr:col>15</xdr:col>
                    <xdr:colOff>28575</xdr:colOff>
                    <xdr:row>14</xdr:row>
                    <xdr:rowOff>0</xdr:rowOff>
                  </from>
                  <to>
                    <xdr:col>20</xdr:col>
                    <xdr:colOff>180975</xdr:colOff>
                    <xdr:row>15</xdr:row>
                    <xdr:rowOff>57150</xdr:rowOff>
                  </to>
                </anchor>
              </controlPr>
            </control>
          </mc:Choice>
        </mc:AlternateContent>
        <mc:AlternateContent xmlns:mc="http://schemas.openxmlformats.org/markup-compatibility/2006">
          <mc:Choice Requires="x14">
            <control shapeId="5183" r:id="rId17" name="Check Box 63">
              <controlPr defaultSize="0" autoFill="0" autoLine="0" autoPict="0">
                <anchor moveWithCells="1">
                  <from>
                    <xdr:col>6</xdr:col>
                    <xdr:colOff>209550</xdr:colOff>
                    <xdr:row>17</xdr:row>
                    <xdr:rowOff>142875</xdr:rowOff>
                  </from>
                  <to>
                    <xdr:col>9</xdr:col>
                    <xdr:colOff>38100</xdr:colOff>
                    <xdr:row>19</xdr:row>
                    <xdr:rowOff>28575</xdr:rowOff>
                  </to>
                </anchor>
              </controlPr>
            </control>
          </mc:Choice>
        </mc:AlternateContent>
        <mc:AlternateContent xmlns:mc="http://schemas.openxmlformats.org/markup-compatibility/2006">
          <mc:Choice Requires="x14">
            <control shapeId="5184" r:id="rId18" name="Check Box 64">
              <controlPr defaultSize="0" autoFill="0" autoLine="0" autoPict="0">
                <anchor moveWithCells="1">
                  <from>
                    <xdr:col>10</xdr:col>
                    <xdr:colOff>142875</xdr:colOff>
                    <xdr:row>17</xdr:row>
                    <xdr:rowOff>142875</xdr:rowOff>
                  </from>
                  <to>
                    <xdr:col>15</xdr:col>
                    <xdr:colOff>0</xdr:colOff>
                    <xdr:row>19</xdr:row>
                    <xdr:rowOff>28575</xdr:rowOff>
                  </to>
                </anchor>
              </controlPr>
            </control>
          </mc:Choice>
        </mc:AlternateContent>
        <mc:AlternateContent xmlns:mc="http://schemas.openxmlformats.org/markup-compatibility/2006">
          <mc:Choice Requires="x14">
            <control shapeId="5185" r:id="rId19" name="Check Box 65">
              <controlPr defaultSize="0" autoFill="0" autoLine="0" autoPict="0">
                <anchor moveWithCells="1">
                  <from>
                    <xdr:col>15</xdr:col>
                    <xdr:colOff>28575</xdr:colOff>
                    <xdr:row>17</xdr:row>
                    <xdr:rowOff>142875</xdr:rowOff>
                  </from>
                  <to>
                    <xdr:col>18</xdr:col>
                    <xdr:colOff>219075</xdr:colOff>
                    <xdr:row>19</xdr:row>
                    <xdr:rowOff>28575</xdr:rowOff>
                  </to>
                </anchor>
              </controlPr>
            </control>
          </mc:Choice>
        </mc:AlternateContent>
        <mc:AlternateContent xmlns:mc="http://schemas.openxmlformats.org/markup-compatibility/2006">
          <mc:Choice Requires="x14">
            <control shapeId="5189" r:id="rId20" name="Check Box 69">
              <controlPr defaultSize="0" autoFill="0" autoLine="0" autoPict="0">
                <anchor moveWithCells="1">
                  <from>
                    <xdr:col>19</xdr:col>
                    <xdr:colOff>142875</xdr:colOff>
                    <xdr:row>17</xdr:row>
                    <xdr:rowOff>142875</xdr:rowOff>
                  </from>
                  <to>
                    <xdr:col>23</xdr:col>
                    <xdr:colOff>180975</xdr:colOff>
                    <xdr:row>19</xdr:row>
                    <xdr:rowOff>28575</xdr:rowOff>
                  </to>
                </anchor>
              </controlPr>
            </control>
          </mc:Choice>
        </mc:AlternateContent>
        <mc:AlternateContent xmlns:mc="http://schemas.openxmlformats.org/markup-compatibility/2006">
          <mc:Choice Requires="x14">
            <control shapeId="5190" r:id="rId21" name="Check Box 70">
              <controlPr defaultSize="0" autoFill="0" autoLine="0" autoPict="0">
                <anchor moveWithCells="1">
                  <from>
                    <xdr:col>6</xdr:col>
                    <xdr:colOff>209550</xdr:colOff>
                    <xdr:row>9</xdr:row>
                    <xdr:rowOff>142875</xdr:rowOff>
                  </from>
                  <to>
                    <xdr:col>9</xdr:col>
                    <xdr:colOff>247650</xdr:colOff>
                    <xdr:row>11</xdr:row>
                    <xdr:rowOff>28575</xdr:rowOff>
                  </to>
                </anchor>
              </controlPr>
            </control>
          </mc:Choice>
        </mc:AlternateContent>
        <mc:AlternateContent xmlns:mc="http://schemas.openxmlformats.org/markup-compatibility/2006">
          <mc:Choice Requires="x14">
            <control shapeId="5191" r:id="rId22" name="Check Box 71">
              <controlPr defaultSize="0" autoFill="0" autoLine="0" autoPict="0">
                <anchor moveWithCells="1">
                  <from>
                    <xdr:col>10</xdr:col>
                    <xdr:colOff>142875</xdr:colOff>
                    <xdr:row>9</xdr:row>
                    <xdr:rowOff>142875</xdr:rowOff>
                  </from>
                  <to>
                    <xdr:col>13</xdr:col>
                    <xdr:colOff>257175</xdr:colOff>
                    <xdr:row>11</xdr:row>
                    <xdr:rowOff>28575</xdr:rowOff>
                  </to>
                </anchor>
              </controlPr>
            </control>
          </mc:Choice>
        </mc:AlternateContent>
        <mc:AlternateContent xmlns:mc="http://schemas.openxmlformats.org/markup-compatibility/2006">
          <mc:Choice Requires="x14">
            <control shapeId="5193" r:id="rId23" name="Check Box 73">
              <controlPr defaultSize="0" autoFill="0" autoLine="0" autoPict="0">
                <anchor moveWithCells="1">
                  <from>
                    <xdr:col>6</xdr:col>
                    <xdr:colOff>209550</xdr:colOff>
                    <xdr:row>15</xdr:row>
                    <xdr:rowOff>171450</xdr:rowOff>
                  </from>
                  <to>
                    <xdr:col>9</xdr:col>
                    <xdr:colOff>38100</xdr:colOff>
                    <xdr:row>17</xdr:row>
                    <xdr:rowOff>57150</xdr:rowOff>
                  </to>
                </anchor>
              </controlPr>
            </control>
          </mc:Choice>
        </mc:AlternateContent>
        <mc:AlternateContent xmlns:mc="http://schemas.openxmlformats.org/markup-compatibility/2006">
          <mc:Choice Requires="x14">
            <control shapeId="5194" r:id="rId24" name="Check Box 74">
              <controlPr defaultSize="0" autoFill="0" autoLine="0" autoPict="0">
                <anchor moveWithCells="1">
                  <from>
                    <xdr:col>10</xdr:col>
                    <xdr:colOff>142875</xdr:colOff>
                    <xdr:row>15</xdr:row>
                    <xdr:rowOff>171450</xdr:rowOff>
                  </from>
                  <to>
                    <xdr:col>14</xdr:col>
                    <xdr:colOff>180975</xdr:colOff>
                    <xdr:row>17</xdr:row>
                    <xdr:rowOff>57150</xdr:rowOff>
                  </to>
                </anchor>
              </controlPr>
            </control>
          </mc:Choice>
        </mc:AlternateContent>
        <mc:AlternateContent xmlns:mc="http://schemas.openxmlformats.org/markup-compatibility/2006">
          <mc:Choice Requires="x14">
            <control shapeId="5195" r:id="rId25" name="Check Box 75">
              <controlPr defaultSize="0" autoFill="0" autoLine="0" autoPict="0">
                <anchor moveWithCells="1">
                  <from>
                    <xdr:col>9</xdr:col>
                    <xdr:colOff>0</xdr:colOff>
                    <xdr:row>72</xdr:row>
                    <xdr:rowOff>133350</xdr:rowOff>
                  </from>
                  <to>
                    <xdr:col>11</xdr:col>
                    <xdr:colOff>285750</xdr:colOff>
                    <xdr:row>74</xdr:row>
                    <xdr:rowOff>19050</xdr:rowOff>
                  </to>
                </anchor>
              </controlPr>
            </control>
          </mc:Choice>
        </mc:AlternateContent>
        <mc:AlternateContent xmlns:mc="http://schemas.openxmlformats.org/markup-compatibility/2006">
          <mc:Choice Requires="x14">
            <control shapeId="5196" r:id="rId26" name="Check Box 76">
              <controlPr defaultSize="0" autoFill="0" autoLine="0" autoPict="0">
                <anchor moveWithCells="1">
                  <from>
                    <xdr:col>12</xdr:col>
                    <xdr:colOff>180975</xdr:colOff>
                    <xdr:row>72</xdr:row>
                    <xdr:rowOff>133350</xdr:rowOff>
                  </from>
                  <to>
                    <xdr:col>15</xdr:col>
                    <xdr:colOff>190500</xdr:colOff>
                    <xdr:row>74</xdr:row>
                    <xdr:rowOff>19050</xdr:rowOff>
                  </to>
                </anchor>
              </controlPr>
            </control>
          </mc:Choice>
        </mc:AlternateContent>
        <mc:AlternateContent xmlns:mc="http://schemas.openxmlformats.org/markup-compatibility/2006">
          <mc:Choice Requires="x14">
            <control shapeId="5197" r:id="rId27" name="Check Box 77">
              <controlPr defaultSize="0" autoFill="0" autoLine="0" autoPict="0">
                <anchor moveWithCells="1">
                  <from>
                    <xdr:col>12</xdr:col>
                    <xdr:colOff>180975</xdr:colOff>
                    <xdr:row>74</xdr:row>
                    <xdr:rowOff>133350</xdr:rowOff>
                  </from>
                  <to>
                    <xdr:col>18</xdr:col>
                    <xdr:colOff>38100</xdr:colOff>
                    <xdr:row>76</xdr:row>
                    <xdr:rowOff>19050</xdr:rowOff>
                  </to>
                </anchor>
              </controlPr>
            </control>
          </mc:Choice>
        </mc:AlternateContent>
        <mc:AlternateContent xmlns:mc="http://schemas.openxmlformats.org/markup-compatibility/2006">
          <mc:Choice Requires="x14">
            <control shapeId="5198" r:id="rId28" name="Check Box 78">
              <controlPr defaultSize="0" autoFill="0" autoLine="0" autoPict="0">
                <anchor moveWithCells="1">
                  <from>
                    <xdr:col>9</xdr:col>
                    <xdr:colOff>0</xdr:colOff>
                    <xdr:row>74</xdr:row>
                    <xdr:rowOff>133350</xdr:rowOff>
                  </from>
                  <to>
                    <xdr:col>11</xdr:col>
                    <xdr:colOff>285750</xdr:colOff>
                    <xdr:row>76</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tabColor theme="6" tint="0.39997558519241921"/>
    <pageSetUpPr fitToPage="1"/>
  </sheetPr>
  <dimension ref="B3:N41"/>
  <sheetViews>
    <sheetView showGridLines="0" showRowColHeaders="0" zoomScaleNormal="100" workbookViewId="0">
      <selection activeCell="F10" sqref="F10"/>
    </sheetView>
  </sheetViews>
  <sheetFormatPr defaultColWidth="9.28515625" defaultRowHeight="12.75" x14ac:dyDescent="0.2"/>
  <cols>
    <col min="1" max="2" width="9.28515625" style="280"/>
    <col min="3" max="3" width="33.28515625" style="280" bestFit="1" customWidth="1"/>
    <col min="4" max="13" width="9.28515625" style="280"/>
    <col min="14" max="14" width="33.42578125" style="280" bestFit="1" customWidth="1"/>
    <col min="15" max="16384" width="9.28515625" style="280"/>
  </cols>
  <sheetData>
    <row r="3" spans="2:14" x14ac:dyDescent="0.2">
      <c r="B3" s="116"/>
      <c r="C3" s="116"/>
      <c r="D3" s="116"/>
      <c r="E3" s="116"/>
      <c r="F3" s="116"/>
      <c r="G3" s="116"/>
      <c r="H3" s="116"/>
      <c r="I3" s="116"/>
      <c r="J3" s="116"/>
      <c r="K3" s="116"/>
    </row>
    <row r="4" spans="2:14" x14ac:dyDescent="0.2">
      <c r="B4" s="116"/>
      <c r="C4" s="116"/>
      <c r="D4" s="116"/>
      <c r="E4" s="116"/>
      <c r="F4" s="116"/>
      <c r="G4" s="116"/>
      <c r="H4" s="116"/>
      <c r="I4" s="116"/>
      <c r="J4" s="116"/>
      <c r="K4" s="116"/>
    </row>
    <row r="5" spans="2:14" x14ac:dyDescent="0.2">
      <c r="B5" s="116"/>
      <c r="C5" s="116"/>
      <c r="D5" s="116"/>
      <c r="E5" s="116"/>
      <c r="F5" s="116"/>
      <c r="G5" s="116"/>
      <c r="H5" s="281"/>
      <c r="I5" s="116"/>
      <c r="J5" s="116"/>
      <c r="K5" s="116"/>
    </row>
    <row r="6" spans="2:14" x14ac:dyDescent="0.2">
      <c r="B6" s="116"/>
      <c r="C6" s="116"/>
      <c r="D6" s="116"/>
      <c r="E6" s="116"/>
      <c r="F6" s="116"/>
      <c r="G6" s="116"/>
      <c r="H6" s="116"/>
      <c r="I6" s="116"/>
      <c r="J6" s="116"/>
      <c r="K6" s="116"/>
    </row>
    <row r="7" spans="2:14" x14ac:dyDescent="0.2">
      <c r="B7" s="116"/>
      <c r="C7" s="116"/>
      <c r="D7" s="116"/>
      <c r="E7" s="116"/>
      <c r="F7" s="116"/>
      <c r="G7" s="116"/>
      <c r="H7" s="281"/>
      <c r="I7" s="116"/>
      <c r="J7" s="116"/>
      <c r="K7" s="116"/>
      <c r="N7" s="282" t="s">
        <v>282</v>
      </c>
    </row>
    <row r="8" spans="2:14" ht="20.25" customHeight="1" x14ac:dyDescent="0.2">
      <c r="B8" s="116"/>
      <c r="C8" s="283" t="s">
        <v>283</v>
      </c>
      <c r="D8" s="116"/>
      <c r="E8" s="284"/>
      <c r="F8" s="285"/>
      <c r="G8" s="116"/>
      <c r="H8" s="286"/>
      <c r="I8" s="116"/>
      <c r="J8" s="116"/>
      <c r="K8" s="116"/>
      <c r="N8" s="287">
        <v>41732</v>
      </c>
    </row>
    <row r="9" spans="2:14" ht="20.25" customHeight="1" x14ac:dyDescent="0.2">
      <c r="B9" s="116"/>
      <c r="C9" s="283" t="s">
        <v>284</v>
      </c>
      <c r="D9" s="116"/>
      <c r="E9" s="284"/>
      <c r="F9" s="285"/>
      <c r="G9" s="116"/>
      <c r="H9" s="288"/>
      <c r="I9" s="116"/>
      <c r="J9" s="116"/>
      <c r="K9" s="116"/>
      <c r="N9" s="289" t="s">
        <v>285</v>
      </c>
    </row>
    <row r="10" spans="2:14" ht="20.25" customHeight="1" x14ac:dyDescent="0.2">
      <c r="B10" s="116"/>
      <c r="C10" s="283" t="s">
        <v>286</v>
      </c>
      <c r="D10" s="116"/>
      <c r="E10" s="284"/>
      <c r="F10" s="290" t="s">
        <v>287</v>
      </c>
      <c r="G10" s="116"/>
      <c r="H10" s="279" t="s">
        <v>288</v>
      </c>
      <c r="I10" s="116"/>
      <c r="J10" s="116"/>
      <c r="K10" s="116"/>
      <c r="N10" s="289" t="s">
        <v>289</v>
      </c>
    </row>
    <row r="11" spans="2:14" ht="20.25" customHeight="1" x14ac:dyDescent="0.2">
      <c r="B11" s="116"/>
      <c r="C11" s="283" t="s">
        <v>290</v>
      </c>
      <c r="D11" s="116"/>
      <c r="E11" s="284"/>
      <c r="F11" s="290"/>
      <c r="G11" s="116"/>
      <c r="H11" s="291"/>
      <c r="I11" s="116"/>
      <c r="J11" s="116"/>
      <c r="K11" s="116"/>
      <c r="N11" s="292">
        <v>12700</v>
      </c>
    </row>
    <row r="12" spans="2:14" ht="20.25" customHeight="1" x14ac:dyDescent="0.2">
      <c r="B12" s="116"/>
      <c r="C12" s="283" t="s">
        <v>291</v>
      </c>
      <c r="D12" s="116"/>
      <c r="E12" s="284"/>
      <c r="F12" s="285"/>
      <c r="G12" s="116"/>
      <c r="H12" s="288"/>
      <c r="I12" s="116"/>
      <c r="J12" s="116"/>
      <c r="K12" s="116"/>
      <c r="N12" s="289" t="s">
        <v>292</v>
      </c>
    </row>
    <row r="13" spans="2:14" ht="20.25" customHeight="1" x14ac:dyDescent="0.2">
      <c r="B13" s="116"/>
      <c r="C13" s="283" t="s">
        <v>293</v>
      </c>
      <c r="D13" s="116"/>
      <c r="E13" s="284"/>
      <c r="F13" s="285"/>
      <c r="G13" s="116"/>
      <c r="H13" s="288"/>
      <c r="I13" s="116"/>
      <c r="J13" s="116"/>
      <c r="K13" s="116"/>
      <c r="N13" s="289">
        <v>1220</v>
      </c>
    </row>
    <row r="14" spans="2:14" ht="20.25" customHeight="1" x14ac:dyDescent="0.2">
      <c r="B14" s="116"/>
      <c r="C14" s="283" t="s">
        <v>294</v>
      </c>
      <c r="D14" s="116"/>
      <c r="E14" s="284"/>
      <c r="F14" s="290" t="s">
        <v>287</v>
      </c>
      <c r="G14" s="116"/>
      <c r="H14" s="288"/>
      <c r="I14" s="116"/>
      <c r="J14" s="116"/>
      <c r="K14" s="116"/>
      <c r="N14" s="289" t="s">
        <v>295</v>
      </c>
    </row>
    <row r="15" spans="2:14" ht="20.25" customHeight="1" x14ac:dyDescent="0.2">
      <c r="B15" s="116"/>
      <c r="C15" s="283" t="s">
        <v>296</v>
      </c>
      <c r="D15" s="116"/>
      <c r="E15" s="284"/>
      <c r="F15" s="116"/>
      <c r="G15" s="116"/>
      <c r="H15" s="288"/>
      <c r="I15" s="116"/>
      <c r="J15" s="116"/>
      <c r="K15" s="116"/>
      <c r="N15" s="289" t="s">
        <v>297</v>
      </c>
    </row>
    <row r="16" spans="2:14" ht="20.25" customHeight="1" x14ac:dyDescent="0.2">
      <c r="B16" s="116"/>
      <c r="C16" s="1035"/>
      <c r="D16" s="1035"/>
      <c r="E16" s="1035"/>
      <c r="F16" s="1035"/>
      <c r="G16" s="1035"/>
      <c r="H16" s="1035"/>
      <c r="I16" s="1035"/>
      <c r="J16" s="1035"/>
      <c r="K16" s="116"/>
      <c r="N16" s="293"/>
    </row>
    <row r="17" spans="2:14" ht="20.25" customHeight="1" x14ac:dyDescent="0.2">
      <c r="B17" s="116"/>
      <c r="C17" s="1036"/>
      <c r="D17" s="1036"/>
      <c r="E17" s="1036"/>
      <c r="F17" s="1036"/>
      <c r="G17" s="1036"/>
      <c r="H17" s="1036"/>
      <c r="I17" s="1036"/>
      <c r="J17" s="1036"/>
      <c r="K17" s="116"/>
      <c r="N17" s="293"/>
    </row>
    <row r="18" spans="2:14" ht="20.25" customHeight="1" x14ac:dyDescent="0.2">
      <c r="B18" s="116"/>
      <c r="C18" s="1036"/>
      <c r="D18" s="1036"/>
      <c r="E18" s="1036"/>
      <c r="F18" s="1036"/>
      <c r="G18" s="1036"/>
      <c r="H18" s="1036"/>
      <c r="I18" s="1036"/>
      <c r="J18" s="1036"/>
      <c r="K18" s="116"/>
      <c r="N18" s="293"/>
    </row>
    <row r="19" spans="2:14" ht="20.25" customHeight="1" x14ac:dyDescent="0.2">
      <c r="B19" s="116"/>
      <c r="C19" s="283"/>
      <c r="D19" s="116"/>
      <c r="E19" s="284"/>
      <c r="F19" s="116"/>
      <c r="G19" s="116"/>
      <c r="H19" s="288"/>
      <c r="I19" s="116"/>
      <c r="J19" s="116"/>
      <c r="K19" s="116"/>
      <c r="N19" s="293"/>
    </row>
    <row r="20" spans="2:14" ht="20.25" customHeight="1" x14ac:dyDescent="0.2">
      <c r="B20" s="116"/>
      <c r="C20" s="283" t="s">
        <v>298</v>
      </c>
      <c r="D20" s="116"/>
      <c r="E20" s="284"/>
      <c r="F20" s="116"/>
      <c r="G20" s="116"/>
      <c r="H20" s="288"/>
      <c r="I20" s="116"/>
      <c r="J20" s="116"/>
      <c r="K20" s="116"/>
      <c r="N20" s="289" t="s">
        <v>299</v>
      </c>
    </row>
    <row r="21" spans="2:14" ht="20.25" customHeight="1" x14ac:dyDescent="0.2">
      <c r="B21" s="116"/>
      <c r="C21" s="1035"/>
      <c r="D21" s="1035"/>
      <c r="E21" s="1035"/>
      <c r="F21" s="1035"/>
      <c r="G21" s="1035"/>
      <c r="H21" s="1035"/>
      <c r="I21" s="1035"/>
      <c r="J21" s="1035"/>
      <c r="K21" s="116"/>
      <c r="N21" s="293"/>
    </row>
    <row r="22" spans="2:14" ht="20.25" customHeight="1" x14ac:dyDescent="0.2">
      <c r="B22" s="116"/>
      <c r="C22" s="1036"/>
      <c r="D22" s="1036"/>
      <c r="E22" s="1036"/>
      <c r="F22" s="1036"/>
      <c r="G22" s="1036"/>
      <c r="H22" s="1036"/>
      <c r="I22" s="1036"/>
      <c r="J22" s="1036"/>
      <c r="K22" s="116"/>
      <c r="N22" s="293"/>
    </row>
    <row r="23" spans="2:14" ht="20.25" customHeight="1" x14ac:dyDescent="0.2">
      <c r="B23" s="116"/>
      <c r="C23" s="1036"/>
      <c r="D23" s="1036"/>
      <c r="E23" s="1036"/>
      <c r="F23" s="1036"/>
      <c r="G23" s="1036"/>
      <c r="H23" s="1036"/>
      <c r="I23" s="1036"/>
      <c r="J23" s="1036"/>
      <c r="K23" s="116"/>
      <c r="N23" s="293"/>
    </row>
    <row r="24" spans="2:14" x14ac:dyDescent="0.2">
      <c r="B24" s="116"/>
      <c r="C24" s="116"/>
      <c r="D24" s="116"/>
      <c r="E24" s="116"/>
      <c r="F24" s="116"/>
      <c r="G24" s="116"/>
      <c r="H24" s="288"/>
      <c r="I24" s="116"/>
      <c r="J24" s="116"/>
      <c r="K24" s="116"/>
      <c r="N24" s="293"/>
    </row>
    <row r="25" spans="2:14" x14ac:dyDescent="0.2">
      <c r="B25" s="116"/>
      <c r="C25" s="281" t="s">
        <v>300</v>
      </c>
      <c r="D25" s="116"/>
      <c r="E25" s="116"/>
      <c r="F25" s="116"/>
      <c r="G25" s="116"/>
      <c r="H25" s="116"/>
      <c r="I25" s="116"/>
      <c r="J25" s="116"/>
      <c r="K25" s="116"/>
      <c r="N25" s="289" t="s">
        <v>301</v>
      </c>
    </row>
    <row r="26" spans="2:14" ht="5.25" customHeight="1" x14ac:dyDescent="0.2">
      <c r="B26" s="116"/>
      <c r="C26" s="281"/>
      <c r="D26" s="116"/>
      <c r="E26" s="116"/>
      <c r="F26" s="116"/>
      <c r="G26" s="116"/>
      <c r="H26" s="288"/>
      <c r="I26" s="116"/>
      <c r="J26" s="116"/>
      <c r="K26" s="116"/>
      <c r="N26" s="293"/>
    </row>
    <row r="27" spans="2:14" x14ac:dyDescent="0.2">
      <c r="B27" s="116"/>
      <c r="C27" s="1037"/>
      <c r="D27" s="1037"/>
      <c r="E27" s="1037"/>
      <c r="F27" s="1037"/>
      <c r="G27" s="1037"/>
      <c r="H27" s="1037"/>
      <c r="I27" s="1037"/>
      <c r="J27" s="1037"/>
      <c r="K27" s="116"/>
    </row>
    <row r="28" spans="2:14" x14ac:dyDescent="0.2">
      <c r="B28" s="116"/>
      <c r="C28" s="1038"/>
      <c r="D28" s="1038"/>
      <c r="E28" s="1038"/>
      <c r="F28" s="1038"/>
      <c r="G28" s="1038"/>
      <c r="H28" s="1038"/>
      <c r="I28" s="1038"/>
      <c r="J28" s="1038"/>
      <c r="K28" s="116"/>
    </row>
    <row r="29" spans="2:14" x14ac:dyDescent="0.2">
      <c r="B29" s="116"/>
      <c r="C29" s="1038"/>
      <c r="D29" s="1038"/>
      <c r="E29" s="1038"/>
      <c r="F29" s="1038"/>
      <c r="G29" s="1038"/>
      <c r="H29" s="1038"/>
      <c r="I29" s="1038"/>
      <c r="J29" s="1038"/>
      <c r="K29" s="116"/>
    </row>
    <row r="30" spans="2:14" x14ac:dyDescent="0.2">
      <c r="B30" s="116"/>
      <c r="C30" s="1038"/>
      <c r="D30" s="1038"/>
      <c r="E30" s="1038"/>
      <c r="F30" s="1038"/>
      <c r="G30" s="1038"/>
      <c r="H30" s="1038"/>
      <c r="I30" s="1038"/>
      <c r="J30" s="1038"/>
      <c r="K30" s="116"/>
    </row>
    <row r="31" spans="2:14" x14ac:dyDescent="0.2">
      <c r="B31" s="116"/>
      <c r="C31" s="1038"/>
      <c r="D31" s="1038"/>
      <c r="E31" s="1038"/>
      <c r="F31" s="1038"/>
      <c r="G31" s="1038"/>
      <c r="H31" s="1038"/>
      <c r="I31" s="1038"/>
      <c r="J31" s="1038"/>
      <c r="K31" s="116"/>
    </row>
    <row r="32" spans="2:14" x14ac:dyDescent="0.2">
      <c r="B32" s="116"/>
      <c r="C32" s="1038"/>
      <c r="D32" s="1038"/>
      <c r="E32" s="1038"/>
      <c r="F32" s="1038"/>
      <c r="G32" s="1038"/>
      <c r="H32" s="1038"/>
      <c r="I32" s="1038"/>
      <c r="J32" s="1038"/>
      <c r="K32" s="116"/>
    </row>
    <row r="33" spans="2:11" x14ac:dyDescent="0.2">
      <c r="B33" s="116"/>
      <c r="C33" s="1038"/>
      <c r="D33" s="1038"/>
      <c r="E33" s="1038"/>
      <c r="F33" s="1038"/>
      <c r="G33" s="1038"/>
      <c r="H33" s="1038"/>
      <c r="I33" s="1038"/>
      <c r="J33" s="1038"/>
      <c r="K33" s="116"/>
    </row>
    <row r="34" spans="2:11" x14ac:dyDescent="0.2">
      <c r="B34" s="116"/>
      <c r="C34" s="116"/>
      <c r="D34" s="116"/>
      <c r="E34" s="116"/>
      <c r="F34" s="116"/>
      <c r="G34" s="116"/>
      <c r="H34" s="116"/>
      <c r="I34" s="116"/>
      <c r="J34" s="116"/>
      <c r="K34" s="116"/>
    </row>
    <row r="35" spans="2:11" x14ac:dyDescent="0.2">
      <c r="B35" s="116"/>
      <c r="C35" s="116"/>
      <c r="D35" s="116"/>
      <c r="E35" s="116"/>
      <c r="F35" s="116"/>
      <c r="G35" s="116"/>
      <c r="H35" s="116"/>
      <c r="I35" s="116"/>
      <c r="J35" s="116"/>
      <c r="K35" s="116"/>
    </row>
    <row r="36" spans="2:11" x14ac:dyDescent="0.2">
      <c r="B36" s="116"/>
      <c r="C36" s="116"/>
      <c r="D36" s="116"/>
      <c r="E36" s="116"/>
      <c r="F36" s="116"/>
      <c r="G36" s="116"/>
      <c r="H36" s="116"/>
      <c r="I36" s="116"/>
      <c r="J36" s="116"/>
      <c r="K36" s="116"/>
    </row>
    <row r="37" spans="2:11" x14ac:dyDescent="0.2">
      <c r="B37" s="116"/>
      <c r="C37" s="116"/>
      <c r="D37" s="116"/>
      <c r="E37" s="116"/>
      <c r="F37" s="116"/>
      <c r="G37" s="116"/>
      <c r="H37" s="116"/>
      <c r="I37" s="116"/>
      <c r="J37" s="116"/>
      <c r="K37" s="116"/>
    </row>
    <row r="38" spans="2:11" x14ac:dyDescent="0.2">
      <c r="B38" s="116"/>
      <c r="C38" s="116"/>
      <c r="D38" s="116"/>
      <c r="E38" s="116"/>
      <c r="F38" s="116"/>
      <c r="G38" s="116"/>
      <c r="H38" s="116"/>
      <c r="I38" s="116"/>
      <c r="J38" s="116"/>
      <c r="K38" s="116"/>
    </row>
    <row r="39" spans="2:11" x14ac:dyDescent="0.2">
      <c r="B39" s="116"/>
      <c r="C39" s="116"/>
      <c r="D39" s="116"/>
      <c r="E39" s="116"/>
      <c r="F39" s="116"/>
      <c r="G39" s="116"/>
      <c r="H39" s="116"/>
      <c r="I39" s="116"/>
      <c r="J39" s="116"/>
      <c r="K39" s="116"/>
    </row>
    <row r="40" spans="2:11" x14ac:dyDescent="0.2">
      <c r="B40" s="116"/>
      <c r="C40" s="116"/>
      <c r="D40" s="116"/>
      <c r="E40" s="116"/>
      <c r="F40" s="116"/>
      <c r="G40" s="116"/>
      <c r="H40" s="116"/>
      <c r="I40" s="116"/>
      <c r="J40" s="116"/>
      <c r="K40" s="116"/>
    </row>
    <row r="41" spans="2:11" x14ac:dyDescent="0.2">
      <c r="B41" s="116"/>
      <c r="C41" s="116"/>
      <c r="D41" s="116"/>
      <c r="E41" s="116"/>
      <c r="F41" s="116"/>
      <c r="G41" s="116"/>
      <c r="H41" s="116"/>
      <c r="I41" s="116"/>
      <c r="J41" s="116"/>
      <c r="K41" s="116"/>
    </row>
  </sheetData>
  <sheetProtection password="CFD5" sheet="1" objects="1" scenarios="1" selectLockedCells="1"/>
  <mergeCells count="3">
    <mergeCell ref="C16:J18"/>
    <mergeCell ref="C21:J23"/>
    <mergeCell ref="C27:J33"/>
  </mergeCells>
  <pageMargins left="0.70866141732283472" right="0.70866141732283472" top="0.74803149606299213" bottom="0.74803149606299213" header="0.31496062992125984" footer="0.31496062992125984"/>
  <pageSetup paperSize="9" scale="86" orientation="landscape"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5" tint="0.39997558519241921"/>
  </sheetPr>
  <dimension ref="B3:AE424"/>
  <sheetViews>
    <sheetView showGridLines="0" showRowColHeaders="0" topLeftCell="A143" zoomScaleNormal="100" zoomScaleSheetLayoutView="115" workbookViewId="0">
      <selection activeCell="D17" sqref="D17:E17"/>
    </sheetView>
  </sheetViews>
  <sheetFormatPr defaultColWidth="9.28515625" defaultRowHeight="12.75" x14ac:dyDescent="0.2"/>
  <cols>
    <col min="1" max="1" width="9.28515625" style="39" customWidth="1"/>
    <col min="2" max="2" width="9.28515625" style="39"/>
    <col min="3" max="3" width="23.7109375" style="40" customWidth="1"/>
    <col min="4" max="4" width="13.28515625" style="40" customWidth="1"/>
    <col min="5" max="5" width="51.5703125" style="39" bestFit="1" customWidth="1"/>
    <col min="6" max="6" width="21.28515625" style="43" bestFit="1" customWidth="1"/>
    <col min="7" max="7" width="9.28515625" style="39" customWidth="1"/>
    <col min="8" max="8" width="3.7109375" style="39" customWidth="1"/>
    <col min="9" max="9" width="9.28515625" style="89" customWidth="1"/>
    <col min="10" max="10" width="9.28515625" style="641" hidden="1" customWidth="1"/>
    <col min="11" max="11" width="18.7109375" style="641" hidden="1" customWidth="1"/>
    <col min="12" max="13" width="9.28515625" style="641" hidden="1" customWidth="1"/>
    <col min="14" max="14" width="12.28515625" style="641" hidden="1" customWidth="1"/>
    <col min="15" max="15" width="10.28515625" style="641" hidden="1" customWidth="1"/>
    <col min="16" max="20" width="9.28515625" style="641" hidden="1" customWidth="1"/>
    <col min="21" max="21" width="10.5703125" style="641" hidden="1" customWidth="1"/>
    <col min="22" max="24" width="9.28515625" style="641" hidden="1" customWidth="1"/>
    <col min="25" max="26" width="9.28515625" style="89" hidden="1" customWidth="1"/>
    <col min="27" max="27" width="0" style="89" hidden="1" customWidth="1"/>
    <col min="28" max="32" width="0" style="39" hidden="1" customWidth="1"/>
    <col min="33" max="16384" width="9.28515625" style="39"/>
  </cols>
  <sheetData>
    <row r="3" spans="2:31" x14ac:dyDescent="0.2">
      <c r="B3"/>
      <c r="C3"/>
      <c r="D3"/>
      <c r="E3"/>
      <c r="F3"/>
      <c r="G3"/>
      <c r="H3"/>
    </row>
    <row r="4" spans="2:31" x14ac:dyDescent="0.2">
      <c r="B4"/>
      <c r="C4" s="1"/>
      <c r="D4" s="1"/>
      <c r="E4"/>
      <c r="F4" s="2"/>
      <c r="G4"/>
      <c r="H4" s="44"/>
    </row>
    <row r="5" spans="2:31" ht="20.25" x14ac:dyDescent="0.3">
      <c r="B5"/>
      <c r="C5" s="1039" t="s">
        <v>1033</v>
      </c>
      <c r="D5" s="1039"/>
      <c r="E5" s="1039"/>
      <c r="F5" s="1039"/>
      <c r="G5"/>
      <c r="H5" s="44"/>
      <c r="AB5" s="117"/>
      <c r="AC5" s="117"/>
      <c r="AD5" s="117"/>
      <c r="AE5" s="117"/>
    </row>
    <row r="6" spans="2:31" x14ac:dyDescent="0.2">
      <c r="B6"/>
      <c r="C6" s="1045"/>
      <c r="D6" s="1045"/>
      <c r="E6" s="1045"/>
      <c r="F6" s="1045"/>
      <c r="G6"/>
      <c r="H6" s="44"/>
      <c r="AB6" s="117"/>
      <c r="AC6" s="117"/>
      <c r="AD6" s="117"/>
      <c r="AE6" s="117"/>
    </row>
    <row r="7" spans="2:31" x14ac:dyDescent="0.2">
      <c r="B7"/>
      <c r="C7" s="1045"/>
      <c r="D7" s="1045"/>
      <c r="E7" s="1045"/>
      <c r="F7" s="1045"/>
      <c r="G7"/>
      <c r="H7" s="44"/>
      <c r="AB7" s="117"/>
      <c r="AC7" s="117"/>
      <c r="AD7" s="117"/>
      <c r="AE7" s="117"/>
    </row>
    <row r="8" spans="2:31" ht="16.5" thickBot="1" x14ac:dyDescent="0.3">
      <c r="B8"/>
      <c r="C8" s="106" t="s">
        <v>1048</v>
      </c>
      <c r="D8" s="107"/>
      <c r="E8" s="107"/>
      <c r="F8" s="107"/>
      <c r="G8"/>
      <c r="H8" s="44"/>
      <c r="AB8" s="117"/>
      <c r="AC8" s="117"/>
      <c r="AD8" s="117"/>
      <c r="AE8" s="117"/>
    </row>
    <row r="9" spans="2:31" ht="7.15" customHeight="1" x14ac:dyDescent="0.2">
      <c r="B9"/>
      <c r="C9"/>
      <c r="D9"/>
      <c r="E9"/>
      <c r="F9"/>
      <c r="G9"/>
      <c r="H9" s="44"/>
      <c r="AB9" s="117"/>
      <c r="AC9" s="117"/>
      <c r="AD9" s="117"/>
      <c r="AE9" s="117"/>
    </row>
    <row r="10" spans="2:31" ht="27" customHeight="1" x14ac:dyDescent="0.2">
      <c r="B10"/>
      <c r="C10" s="189" t="s">
        <v>44</v>
      </c>
      <c r="D10" s="195" t="s">
        <v>308</v>
      </c>
      <c r="E10"/>
      <c r="F10"/>
      <c r="G10"/>
      <c r="H10" s="44"/>
      <c r="AB10" s="117"/>
      <c r="AC10" s="117"/>
      <c r="AD10" s="117"/>
      <c r="AE10" s="117"/>
    </row>
    <row r="11" spans="2:31" ht="8.65" customHeight="1" x14ac:dyDescent="0.2">
      <c r="B11"/>
      <c r="C11"/>
      <c r="D11"/>
      <c r="E11"/>
      <c r="F11"/>
      <c r="G11"/>
      <c r="H11" s="44"/>
      <c r="AB11" s="117"/>
      <c r="AC11" s="117"/>
      <c r="AD11" s="117"/>
      <c r="AE11" s="117"/>
    </row>
    <row r="12" spans="2:31" ht="13.5" customHeight="1" x14ac:dyDescent="0.2">
      <c r="B12"/>
      <c r="C12" s="190" t="s">
        <v>781</v>
      </c>
      <c r="D12" s="1040">
        <v>43101</v>
      </c>
      <c r="E12" s="1041"/>
      <c r="F12"/>
      <c r="G12"/>
      <c r="H12" s="44"/>
      <c r="AB12" s="117"/>
      <c r="AC12" s="117"/>
      <c r="AD12" s="117"/>
      <c r="AE12" s="117"/>
    </row>
    <row r="13" spans="2:31" ht="13.5" customHeight="1" x14ac:dyDescent="0.2">
      <c r="B13"/>
      <c r="C13" s="191" t="s">
        <v>60</v>
      </c>
      <c r="D13" s="1040" t="s">
        <v>4</v>
      </c>
      <c r="E13" s="1041"/>
      <c r="F13"/>
      <c r="G13"/>
      <c r="H13" s="44"/>
      <c r="AB13" s="117"/>
      <c r="AC13" s="117"/>
      <c r="AD13" s="117"/>
      <c r="AE13" s="117"/>
    </row>
    <row r="14" spans="2:31" ht="13.5" customHeight="1" x14ac:dyDescent="0.2">
      <c r="B14"/>
      <c r="C14" s="190" t="s">
        <v>26</v>
      </c>
      <c r="D14" s="1044" t="s">
        <v>1468</v>
      </c>
      <c r="E14" s="1041"/>
      <c r="F14"/>
      <c r="G14"/>
      <c r="H14" s="44"/>
      <c r="AB14" s="117"/>
      <c r="AC14" s="117"/>
      <c r="AD14" s="117"/>
      <c r="AE14" s="117"/>
    </row>
    <row r="15" spans="2:31" ht="13.5" customHeight="1" x14ac:dyDescent="0.2">
      <c r="B15"/>
      <c r="C15" s="190" t="s">
        <v>74</v>
      </c>
      <c r="D15" s="1044" t="s">
        <v>1474</v>
      </c>
      <c r="E15" s="1041"/>
      <c r="F15"/>
      <c r="G15"/>
      <c r="H15" s="44"/>
      <c r="AB15" s="117"/>
      <c r="AC15" s="117"/>
      <c r="AD15" s="117"/>
      <c r="AE15" s="117"/>
    </row>
    <row r="16" spans="2:31" ht="13.5" customHeight="1" x14ac:dyDescent="0.2">
      <c r="B16"/>
      <c r="C16" s="190" t="s">
        <v>1095</v>
      </c>
      <c r="D16" s="1040" t="s">
        <v>1113</v>
      </c>
      <c r="E16" s="1041"/>
      <c r="F16" s="851">
        <f>VLOOKUP(D16,E331:G350,3,FALSE)</f>
        <v>112</v>
      </c>
      <c r="G16"/>
      <c r="H16" s="44"/>
      <c r="AB16" s="117"/>
      <c r="AC16" s="117"/>
      <c r="AD16" s="117"/>
      <c r="AE16" s="117"/>
    </row>
    <row r="17" spans="2:31" ht="13.5" customHeight="1" x14ac:dyDescent="0.2">
      <c r="B17"/>
      <c r="C17" s="191" t="s">
        <v>61</v>
      </c>
      <c r="D17" s="1040" t="s">
        <v>1478</v>
      </c>
      <c r="E17" s="1041"/>
      <c r="F17"/>
      <c r="G17"/>
      <c r="H17" s="44"/>
      <c r="AB17" s="117"/>
      <c r="AC17" s="117"/>
      <c r="AD17" s="117"/>
      <c r="AE17" s="117"/>
    </row>
    <row r="18" spans="2:31" ht="13.5" customHeight="1" x14ac:dyDescent="0.2">
      <c r="B18"/>
      <c r="C18" s="191" t="s">
        <v>59</v>
      </c>
      <c r="D18" s="1044" t="s">
        <v>1465</v>
      </c>
      <c r="E18" s="1041"/>
      <c r="F18"/>
      <c r="G18"/>
      <c r="H18" s="44"/>
      <c r="AB18" s="117"/>
      <c r="AC18" s="117"/>
      <c r="AD18" s="117"/>
      <c r="AE18" s="117"/>
    </row>
    <row r="19" spans="2:31" ht="13.5" customHeight="1" x14ac:dyDescent="0.2">
      <c r="B19"/>
      <c r="C19" s="190" t="s">
        <v>58</v>
      </c>
      <c r="D19" s="1044">
        <v>1014</v>
      </c>
      <c r="E19" s="1041"/>
      <c r="F19"/>
      <c r="G19"/>
      <c r="H19" s="44"/>
      <c r="AB19" s="117"/>
      <c r="AC19" s="117"/>
      <c r="AD19" s="117"/>
      <c r="AE19" s="117"/>
    </row>
    <row r="20" spans="2:31" ht="13.5" customHeight="1" x14ac:dyDescent="0.2">
      <c r="B20"/>
      <c r="C20" s="190" t="s">
        <v>69</v>
      </c>
      <c r="D20" s="1044"/>
      <c r="E20" s="1041"/>
      <c r="F20"/>
      <c r="G20"/>
      <c r="H20" s="44"/>
      <c r="AB20" s="117"/>
      <c r="AC20" s="117"/>
      <c r="AD20" s="117"/>
      <c r="AE20" s="117"/>
    </row>
    <row r="21" spans="2:31" ht="13.15" hidden="1" customHeight="1" x14ac:dyDescent="0.2">
      <c r="B21"/>
      <c r="C21" s="190" t="s">
        <v>70</v>
      </c>
      <c r="D21" s="1046"/>
      <c r="E21" s="1058"/>
      <c r="F21"/>
      <c r="G21"/>
      <c r="H21" s="44"/>
      <c r="AB21" s="117"/>
      <c r="AC21" s="117"/>
      <c r="AD21" s="117"/>
      <c r="AE21" s="117"/>
    </row>
    <row r="22" spans="2:31" ht="13.15" hidden="1" customHeight="1" x14ac:dyDescent="0.2">
      <c r="B22"/>
      <c r="C22" s="190" t="s">
        <v>305</v>
      </c>
      <c r="D22" s="1046"/>
      <c r="E22" s="1047"/>
      <c r="F22"/>
      <c r="G22"/>
      <c r="H22" s="44"/>
      <c r="AB22" s="117"/>
      <c r="AC22" s="117"/>
      <c r="AD22" s="117"/>
      <c r="AE22" s="117"/>
    </row>
    <row r="23" spans="2:31" ht="13.15" hidden="1" customHeight="1" x14ac:dyDescent="0.2">
      <c r="B23"/>
      <c r="C23" s="190" t="s">
        <v>561</v>
      </c>
      <c r="D23" s="1040"/>
      <c r="E23" s="1041"/>
      <c r="F23"/>
      <c r="G23"/>
      <c r="H23" s="44"/>
      <c r="AB23" s="117"/>
      <c r="AC23" s="117"/>
      <c r="AD23" s="117"/>
      <c r="AE23" s="117"/>
    </row>
    <row r="24" spans="2:31" ht="13.15" hidden="1" customHeight="1" x14ac:dyDescent="0.2">
      <c r="B24"/>
      <c r="C24" s="190" t="s">
        <v>304</v>
      </c>
      <c r="D24" s="1046"/>
      <c r="E24" s="1058"/>
      <c r="F24"/>
      <c r="G24"/>
      <c r="H24" s="44"/>
      <c r="AB24" s="117"/>
      <c r="AC24" s="117"/>
      <c r="AD24" s="117"/>
      <c r="AE24" s="117"/>
    </row>
    <row r="25" spans="2:31" x14ac:dyDescent="0.2">
      <c r="B25"/>
      <c r="C25"/>
      <c r="D25"/>
      <c r="E25"/>
      <c r="F25"/>
      <c r="G25"/>
      <c r="H25" s="44"/>
      <c r="AB25" s="117"/>
      <c r="AC25" s="117"/>
      <c r="AD25" s="117"/>
      <c r="AE25" s="117"/>
    </row>
    <row r="26" spans="2:31" x14ac:dyDescent="0.2">
      <c r="B26"/>
      <c r="C26"/>
      <c r="D26" s="637" t="s">
        <v>558</v>
      </c>
      <c r="E26"/>
      <c r="F26"/>
      <c r="G26"/>
      <c r="H26" s="44"/>
      <c r="AB26" s="117"/>
      <c r="AC26" s="117"/>
      <c r="AD26" s="117"/>
      <c r="AE26" s="117"/>
    </row>
    <row r="27" spans="2:31" ht="15" customHeight="1" x14ac:dyDescent="0.2">
      <c r="B27"/>
      <c r="C27" s="191" t="s">
        <v>559</v>
      </c>
      <c r="D27" s="479">
        <v>0.75</v>
      </c>
      <c r="E27" s="846" t="s">
        <v>1472</v>
      </c>
      <c r="F27"/>
      <c r="G27"/>
      <c r="H27" s="44"/>
      <c r="AB27" s="117"/>
      <c r="AC27" s="117"/>
      <c r="AD27" s="117"/>
      <c r="AE27" s="117"/>
    </row>
    <row r="28" spans="2:31" ht="15" customHeight="1" x14ac:dyDescent="0.2">
      <c r="B28"/>
      <c r="C28" s="191" t="s">
        <v>560</v>
      </c>
      <c r="D28" s="479">
        <v>0.25</v>
      </c>
      <c r="E28" s="846" t="s">
        <v>1473</v>
      </c>
      <c r="F28"/>
      <c r="G28"/>
      <c r="H28" s="44"/>
      <c r="AB28" s="117"/>
      <c r="AC28" s="117"/>
      <c r="AD28" s="117"/>
      <c r="AE28" s="117"/>
    </row>
    <row r="29" spans="2:31" x14ac:dyDescent="0.2">
      <c r="B29"/>
      <c r="C29" s="111"/>
      <c r="D29" s="111"/>
      <c r="E29" s="111"/>
      <c r="F29"/>
      <c r="G29"/>
      <c r="H29" s="44"/>
      <c r="AB29" s="117"/>
      <c r="AC29" s="117"/>
      <c r="AD29" s="117"/>
      <c r="AE29" s="117"/>
    </row>
    <row r="30" spans="2:31" x14ac:dyDescent="0.2">
      <c r="B30"/>
      <c r="C30" s="111"/>
      <c r="D30" s="111"/>
      <c r="E30" s="111"/>
      <c r="F30"/>
      <c r="G30"/>
      <c r="H30" s="44"/>
      <c r="R30" s="641" t="s">
        <v>211</v>
      </c>
      <c r="T30" s="852">
        <v>7.0000000000000007E-2</v>
      </c>
      <c r="AB30" s="117"/>
      <c r="AC30" s="117"/>
      <c r="AD30" s="117"/>
      <c r="AE30" s="117"/>
    </row>
    <row r="31" spans="2:31" ht="4.5" customHeight="1" x14ac:dyDescent="0.2">
      <c r="B31"/>
      <c r="C31" s="111"/>
      <c r="D31" s="111"/>
      <c r="E31" s="111"/>
      <c r="F31" s="111"/>
      <c r="G31"/>
      <c r="H31" s="44"/>
      <c r="J31" s="853"/>
      <c r="K31" s="853"/>
      <c r="L31" s="853"/>
      <c r="AB31" s="117"/>
      <c r="AC31" s="117"/>
      <c r="AD31" s="117"/>
      <c r="AE31" s="117"/>
    </row>
    <row r="32" spans="2:31" x14ac:dyDescent="0.2">
      <c r="B32"/>
      <c r="C32" s="111"/>
      <c r="D32" s="111"/>
      <c r="E32" s="111"/>
      <c r="F32" s="111"/>
      <c r="G32"/>
      <c r="H32" s="44"/>
      <c r="J32" s="853"/>
      <c r="K32" s="853"/>
      <c r="L32" s="853"/>
      <c r="AB32" s="117"/>
      <c r="AC32" s="117"/>
      <c r="AD32" s="117"/>
      <c r="AE32" s="117"/>
    </row>
    <row r="33" spans="2:31" ht="16.5" thickBot="1" x14ac:dyDescent="0.3">
      <c r="B33"/>
      <c r="C33" s="106" t="s">
        <v>27</v>
      </c>
      <c r="D33" s="107"/>
      <c r="E33" s="107"/>
      <c r="F33" s="107"/>
      <c r="G33"/>
      <c r="H33" s="44"/>
      <c r="J33" s="853"/>
      <c r="K33" s="853"/>
      <c r="L33" s="853"/>
      <c r="AB33" s="117"/>
      <c r="AC33" s="117"/>
      <c r="AD33" s="117"/>
      <c r="AE33" s="117"/>
    </row>
    <row r="34" spans="2:31" ht="5.65" customHeight="1" x14ac:dyDescent="0.2">
      <c r="B34"/>
      <c r="C34" s="78"/>
      <c r="D34" s="78"/>
      <c r="E34" s="78"/>
      <c r="F34" s="78"/>
      <c r="G34"/>
      <c r="H34" s="44"/>
      <c r="J34" s="853"/>
      <c r="K34" s="853"/>
      <c r="L34" s="853"/>
      <c r="AB34" s="117"/>
      <c r="AC34" s="117"/>
      <c r="AD34" s="117"/>
      <c r="AE34" s="117"/>
    </row>
    <row r="35" spans="2:31" ht="1.1499999999999999" customHeight="1" x14ac:dyDescent="0.2">
      <c r="B35"/>
      <c r="C35" s="78"/>
      <c r="D35" s="78"/>
      <c r="E35" s="78"/>
      <c r="F35" s="78"/>
      <c r="G35"/>
      <c r="H35" s="44"/>
      <c r="J35" s="853"/>
      <c r="K35" s="853"/>
      <c r="L35" s="853" t="s">
        <v>97</v>
      </c>
      <c r="M35" s="643" t="s">
        <v>45</v>
      </c>
      <c r="N35" s="643" t="s">
        <v>18</v>
      </c>
      <c r="O35" s="643" t="s">
        <v>98</v>
      </c>
      <c r="P35" s="643" t="s">
        <v>51</v>
      </c>
      <c r="Q35" s="643" t="s">
        <v>82</v>
      </c>
      <c r="R35" s="642" t="s">
        <v>99</v>
      </c>
      <c r="S35" s="642" t="s">
        <v>101</v>
      </c>
      <c r="U35" s="641" t="s">
        <v>210</v>
      </c>
      <c r="V35" s="641" t="s">
        <v>630</v>
      </c>
      <c r="AB35" s="117"/>
      <c r="AC35" s="117"/>
      <c r="AD35" s="117"/>
      <c r="AE35" s="117"/>
    </row>
    <row r="36" spans="2:31" x14ac:dyDescent="0.2">
      <c r="B36"/>
      <c r="C36" s="1043" t="s">
        <v>29</v>
      </c>
      <c r="D36" s="1043"/>
      <c r="E36" s="58" t="s">
        <v>34</v>
      </c>
      <c r="F36" s="78"/>
      <c r="G36"/>
      <c r="H36" s="44"/>
      <c r="J36" s="853"/>
      <c r="K36" s="854" t="s">
        <v>308</v>
      </c>
      <c r="L36" s="855">
        <f>'A-Series'!I412</f>
        <v>363232</v>
      </c>
      <c r="M36" s="641">
        <f>'A-Series'!I300</f>
        <v>0</v>
      </c>
      <c r="N36" s="856">
        <f>'A-Series'!E436</f>
        <v>-0.19439999999999999</v>
      </c>
      <c r="O36" s="857" t="str">
        <f>'A-Series'!D438</f>
        <v>No qualification</v>
      </c>
      <c r="P36" s="858">
        <f>'A-Series'!I436</f>
        <v>331421</v>
      </c>
      <c r="Q36" s="857" t="str">
        <f>'A-Series'!D8</f>
        <v>No</v>
      </c>
      <c r="R36" s="641" t="str">
        <f>'A-Series'!E438</f>
        <v/>
      </c>
      <c r="S36" s="641">
        <f>SUM('A-Series'!H285:H286)</f>
        <v>7420</v>
      </c>
      <c r="T36" s="859">
        <f>P36-S36-M36</f>
        <v>324001</v>
      </c>
      <c r="U36" s="859">
        <f>$T$30*T36</f>
        <v>22680.070000000003</v>
      </c>
      <c r="V36" s="641" t="str">
        <f>'A-Series'!G493</f>
        <v>3 x 23030001 2 x 23030002</v>
      </c>
      <c r="AB36" s="117"/>
      <c r="AC36" s="117"/>
      <c r="AD36" s="117"/>
      <c r="AE36" s="117"/>
    </row>
    <row r="37" spans="2:31" x14ac:dyDescent="0.2">
      <c r="B37"/>
      <c r="C37" s="192" t="s">
        <v>543</v>
      </c>
      <c r="D37" s="193"/>
      <c r="E37" s="58" t="s">
        <v>1475</v>
      </c>
      <c r="F37" s="78"/>
      <c r="G37"/>
      <c r="H37" s="44"/>
      <c r="J37" s="853"/>
      <c r="K37" s="854" t="s">
        <v>457</v>
      </c>
      <c r="L37" s="860">
        <f>'Marking Stations'!I114</f>
        <v>0</v>
      </c>
      <c r="M37" s="861">
        <f>'Marking Stations'!I86</f>
        <v>0</v>
      </c>
      <c r="N37" s="856" t="str">
        <f>'Marking Stations'!E120</f>
        <v/>
      </c>
      <c r="O37" s="857" t="str">
        <f>'Marking Stations'!D122</f>
        <v/>
      </c>
      <c r="P37" s="858">
        <f>'Marking Stations'!I121</f>
        <v>0</v>
      </c>
      <c r="Q37" s="857" t="s">
        <v>508</v>
      </c>
      <c r="R37" s="641" t="s">
        <v>508</v>
      </c>
      <c r="S37" s="641">
        <v>720</v>
      </c>
      <c r="T37" s="859">
        <f>P37-S37-M37</f>
        <v>-720</v>
      </c>
      <c r="U37" s="859">
        <f>$T$30*T37</f>
        <v>-50.400000000000006</v>
      </c>
      <c r="V37" s="641" t="str">
        <f>'Marking Stations'!E118</f>
        <v>0 x 23030003</v>
      </c>
      <c r="AB37" s="117"/>
      <c r="AC37" s="117"/>
      <c r="AD37" s="117"/>
      <c r="AE37" s="117"/>
    </row>
    <row r="38" spans="2:31" ht="4.5" customHeight="1" x14ac:dyDescent="0.2">
      <c r="B38"/>
      <c r="C38" s="78"/>
      <c r="D38" s="78"/>
      <c r="E38" s="78"/>
      <c r="F38" s="78"/>
      <c r="G38"/>
      <c r="H38" s="44"/>
      <c r="J38" s="853"/>
      <c r="K38" s="854" t="s">
        <v>509</v>
      </c>
      <c r="L38" s="862">
        <f>SUM(L36:L37)</f>
        <v>363232</v>
      </c>
      <c r="M38" s="862">
        <f>SUM(M36:M37)</f>
        <v>0</v>
      </c>
      <c r="N38" s="862">
        <f>SUM(N36:N37)</f>
        <v>-0.19439999999999999</v>
      </c>
      <c r="O38" s="857" t="str">
        <f>O36&amp;" &amp; "&amp;O37</f>
        <v xml:space="preserve">No qualification &amp; </v>
      </c>
      <c r="P38" s="858">
        <f>SUM(P36:P37)</f>
        <v>331421</v>
      </c>
      <c r="Q38" s="857" t="str">
        <f>Q36&amp;" &amp; "&amp;Q37</f>
        <v>No &amp; na</v>
      </c>
      <c r="R38" s="857" t="str">
        <f>R36&amp;" &amp; "&amp;R37</f>
        <v xml:space="preserve"> &amp; na</v>
      </c>
      <c r="S38" s="858">
        <f>SUM(S36:S37)</f>
        <v>8140</v>
      </c>
      <c r="T38" s="858">
        <f>SUM(T36:T37)</f>
        <v>323281</v>
      </c>
      <c r="U38" s="858">
        <f>SUM(U36:U37)</f>
        <v>22629.670000000002</v>
      </c>
      <c r="V38" s="641" t="str">
        <f>V37&amp;V36</f>
        <v>0 x 230300033 x 23030001 2 x 23030002</v>
      </c>
      <c r="AB38" s="117"/>
      <c r="AC38" s="117"/>
      <c r="AD38" s="117"/>
      <c r="AE38" s="117"/>
    </row>
    <row r="39" spans="2:31" ht="25.5" x14ac:dyDescent="0.2">
      <c r="B39"/>
      <c r="C39" s="1042" t="s">
        <v>62</v>
      </c>
      <c r="D39" s="1042"/>
      <c r="E39" s="81" t="s">
        <v>1476</v>
      </c>
      <c r="F39" s="78"/>
      <c r="G39"/>
      <c r="H39" s="44"/>
      <c r="J39" s="853"/>
      <c r="K39" s="853"/>
      <c r="L39" s="853"/>
      <c r="P39" s="858"/>
      <c r="AB39" s="117"/>
      <c r="AC39" s="117"/>
      <c r="AD39" s="117"/>
      <c r="AE39" s="117"/>
    </row>
    <row r="40" spans="2:31" x14ac:dyDescent="0.2">
      <c r="B40"/>
      <c r="C40" s="1042" t="s">
        <v>30</v>
      </c>
      <c r="D40" s="1042"/>
      <c r="E40" s="80"/>
      <c r="F40" s="78"/>
      <c r="G40"/>
      <c r="H40" s="44"/>
      <c r="AB40" s="117"/>
      <c r="AC40" s="117"/>
      <c r="AD40" s="117"/>
      <c r="AE40" s="117"/>
    </row>
    <row r="41" spans="2:31" x14ac:dyDescent="0.2">
      <c r="B41"/>
      <c r="C41" s="78"/>
      <c r="D41" s="194" t="s">
        <v>14</v>
      </c>
      <c r="E41" s="80" t="s">
        <v>1467</v>
      </c>
      <c r="F41" s="78"/>
      <c r="G41"/>
      <c r="H41" s="44"/>
      <c r="AB41" s="117"/>
      <c r="AC41" s="117"/>
      <c r="AD41" s="117"/>
      <c r="AE41" s="117"/>
    </row>
    <row r="42" spans="2:31" x14ac:dyDescent="0.2">
      <c r="B42"/>
      <c r="C42" s="78"/>
      <c r="D42" s="194" t="s">
        <v>31</v>
      </c>
      <c r="E42" s="80" t="s">
        <v>1471</v>
      </c>
      <c r="F42" s="78"/>
      <c r="G42"/>
      <c r="H42" s="44"/>
      <c r="AB42" s="117"/>
      <c r="AC42" s="117"/>
      <c r="AD42" s="117"/>
      <c r="AE42" s="117"/>
    </row>
    <row r="43" spans="2:31" x14ac:dyDescent="0.2">
      <c r="B43"/>
      <c r="C43" s="78"/>
      <c r="D43" s="194" t="s">
        <v>32</v>
      </c>
      <c r="E43" s="80" t="s">
        <v>1469</v>
      </c>
      <c r="F43" s="78"/>
      <c r="G43"/>
      <c r="H43" s="44"/>
      <c r="AB43" s="117"/>
      <c r="AC43" s="117"/>
      <c r="AD43" s="117"/>
      <c r="AE43" s="117"/>
    </row>
    <row r="44" spans="2:31" x14ac:dyDescent="0.2">
      <c r="B44"/>
      <c r="C44" s="78"/>
      <c r="D44" s="194" t="s">
        <v>63</v>
      </c>
      <c r="E44" s="80" t="s">
        <v>1470</v>
      </c>
      <c r="F44" s="78"/>
      <c r="G44"/>
      <c r="H44" s="44"/>
      <c r="AB44" s="117"/>
      <c r="AC44" s="117"/>
      <c r="AD44" s="117"/>
      <c r="AE44" s="117"/>
    </row>
    <row r="45" spans="2:31" x14ac:dyDescent="0.2">
      <c r="B45"/>
      <c r="C45"/>
      <c r="D45"/>
      <c r="E45"/>
      <c r="F45"/>
      <c r="G45"/>
      <c r="H45" s="44"/>
      <c r="AB45" s="117"/>
      <c r="AC45" s="117"/>
      <c r="AD45" s="117"/>
      <c r="AE45" s="117"/>
    </row>
    <row r="46" spans="2:31" x14ac:dyDescent="0.2">
      <c r="B46"/>
      <c r="C46"/>
      <c r="D46"/>
      <c r="E46"/>
      <c r="F46"/>
      <c r="G46"/>
      <c r="H46" s="44"/>
      <c r="AB46" s="117"/>
      <c r="AC46" s="117"/>
      <c r="AD46" s="117"/>
      <c r="AE46" s="117"/>
    </row>
    <row r="47" spans="2:31" ht="16.5" thickBot="1" x14ac:dyDescent="0.3">
      <c r="B47"/>
      <c r="C47" s="106" t="s">
        <v>54</v>
      </c>
      <c r="D47" s="107"/>
      <c r="E47" s="107"/>
      <c r="F47" s="107"/>
      <c r="G47"/>
      <c r="H47" s="44"/>
      <c r="AB47" s="117"/>
      <c r="AC47" s="117"/>
      <c r="AD47" s="117"/>
      <c r="AE47" s="117"/>
    </row>
    <row r="48" spans="2:31" ht="3.6" customHeight="1" x14ac:dyDescent="0.2">
      <c r="B48"/>
      <c r="C48" s="78"/>
      <c r="D48" s="78"/>
      <c r="E48" s="78"/>
      <c r="F48" s="78"/>
      <c r="G48"/>
      <c r="H48" s="44"/>
      <c r="AB48" s="117"/>
      <c r="AC48" s="117"/>
      <c r="AD48" s="117"/>
      <c r="AE48" s="117"/>
    </row>
    <row r="49" spans="2:31" x14ac:dyDescent="0.2">
      <c r="B49"/>
      <c r="C49" s="1059" t="s">
        <v>513</v>
      </c>
      <c r="D49" s="1060"/>
      <c r="E49" s="110" t="str">
        <f>IF(PASS!K40="","",PASS!K40)</f>
        <v/>
      </c>
      <c r="F49" s="78"/>
      <c r="G49"/>
      <c r="H49" s="44"/>
      <c r="AB49" s="117"/>
      <c r="AC49" s="117"/>
      <c r="AD49" s="117"/>
      <c r="AE49" s="117"/>
    </row>
    <row r="50" spans="2:31" x14ac:dyDescent="0.2">
      <c r="B50"/>
      <c r="C50" s="1059" t="s">
        <v>460</v>
      </c>
      <c r="D50" s="1060"/>
      <c r="E50" s="110" t="str">
        <f>IF(PASS!K42="","",PASS!K42)</f>
        <v/>
      </c>
      <c r="F50" s="78"/>
      <c r="G50"/>
      <c r="H50" s="44"/>
      <c r="AB50" s="117"/>
      <c r="AC50" s="117"/>
      <c r="AD50" s="117"/>
      <c r="AE50" s="117"/>
    </row>
    <row r="51" spans="2:31" ht="3" customHeight="1" x14ac:dyDescent="0.2">
      <c r="B51"/>
      <c r="C51" s="78"/>
      <c r="D51" s="118">
        <f>IF(E52="",0,1)</f>
        <v>1</v>
      </c>
      <c r="E51" s="78"/>
      <c r="F51" s="78"/>
      <c r="G51"/>
      <c r="H51" s="44"/>
      <c r="AB51" s="117"/>
      <c r="AC51" s="117"/>
      <c r="AD51" s="117"/>
      <c r="AE51" s="117"/>
    </row>
    <row r="52" spans="2:31" ht="19.5" customHeight="1" x14ac:dyDescent="0.2">
      <c r="B52"/>
      <c r="C52"/>
      <c r="D52"/>
      <c r="E52" s="983" t="str">
        <f>IF(OR(E49="",E50=""), "NO FORECAST PROVIDED, PLEASE COMPLETE", "")</f>
        <v>NO FORECAST PROVIDED, PLEASE COMPLETE</v>
      </c>
      <c r="F52"/>
      <c r="G52"/>
      <c r="H52" s="44"/>
      <c r="AB52" s="117"/>
      <c r="AC52" s="117"/>
      <c r="AD52" s="117"/>
      <c r="AE52" s="117"/>
    </row>
    <row r="53" spans="2:31" hidden="1" x14ac:dyDescent="0.2">
      <c r="B53"/>
      <c r="C53" s="78"/>
      <c r="D53" s="78"/>
      <c r="E53" s="78"/>
      <c r="F53" s="78"/>
      <c r="G53"/>
      <c r="H53" s="44"/>
      <c r="AB53" s="117"/>
      <c r="AC53" s="117"/>
      <c r="AD53" s="117"/>
      <c r="AE53" s="117"/>
    </row>
    <row r="54" spans="2:31" hidden="1" x14ac:dyDescent="0.2">
      <c r="B54"/>
      <c r="C54" s="78"/>
      <c r="D54" s="78"/>
      <c r="E54" s="78"/>
      <c r="F54" s="78"/>
      <c r="G54"/>
      <c r="H54" s="44"/>
      <c r="AB54" s="117"/>
      <c r="AC54" s="117"/>
      <c r="AD54" s="117"/>
      <c r="AE54" s="117"/>
    </row>
    <row r="55" spans="2:31" ht="4.5" hidden="1" customHeight="1" x14ac:dyDescent="0.25">
      <c r="B55"/>
      <c r="C55" s="106" t="s">
        <v>55</v>
      </c>
      <c r="D55" s="107"/>
      <c r="E55" s="107"/>
      <c r="F55" s="107"/>
      <c r="G55"/>
      <c r="H55" s="44"/>
      <c r="AB55" s="117"/>
      <c r="AC55" s="117"/>
      <c r="AD55" s="117"/>
      <c r="AE55" s="117"/>
    </row>
    <row r="56" spans="2:31" hidden="1" x14ac:dyDescent="0.2">
      <c r="B56"/>
      <c r="C56" s="78"/>
      <c r="D56" s="78"/>
      <c r="E56" s="78"/>
      <c r="F56" s="78"/>
      <c r="G56"/>
      <c r="H56" s="44"/>
      <c r="AB56" s="117"/>
      <c r="AC56" s="117"/>
      <c r="AD56" s="117"/>
      <c r="AE56" s="117"/>
    </row>
    <row r="57" spans="2:31" ht="7.5" hidden="1" customHeight="1" x14ac:dyDescent="0.2">
      <c r="B57"/>
      <c r="C57" s="108" t="s">
        <v>56</v>
      </c>
      <c r="D57" s="58"/>
      <c r="E57" s="78"/>
      <c r="F57" s="78"/>
      <c r="G57"/>
      <c r="H57" s="44"/>
      <c r="AB57" s="117"/>
      <c r="AC57" s="117"/>
      <c r="AD57" s="117"/>
      <c r="AE57" s="117"/>
    </row>
    <row r="58" spans="2:31" hidden="1" x14ac:dyDescent="0.2">
      <c r="B58"/>
      <c r="C58" s="78"/>
      <c r="D58" s="78"/>
      <c r="E58" s="78"/>
      <c r="F58" s="78"/>
      <c r="G58"/>
      <c r="H58" s="44"/>
      <c r="AB58" s="117"/>
      <c r="AC58" s="117"/>
      <c r="AD58" s="117"/>
      <c r="AE58" s="117"/>
    </row>
    <row r="59" spans="2:31" hidden="1" x14ac:dyDescent="0.2">
      <c r="B59"/>
      <c r="C59" s="109" t="s">
        <v>64</v>
      </c>
      <c r="D59" s="58"/>
      <c r="E59" s="78"/>
      <c r="F59" s="78"/>
      <c r="G59"/>
      <c r="H59" s="44"/>
      <c r="AB59" s="117"/>
      <c r="AC59" s="117"/>
      <c r="AD59" s="117"/>
      <c r="AE59" s="117"/>
    </row>
    <row r="60" spans="2:31" hidden="1" x14ac:dyDescent="0.2">
      <c r="B60"/>
      <c r="C60" s="109" t="s">
        <v>65</v>
      </c>
      <c r="D60" s="58"/>
      <c r="E60" s="78"/>
      <c r="F60" s="78"/>
      <c r="G60"/>
      <c r="H60" s="44"/>
      <c r="AB60" s="117"/>
      <c r="AC60" s="117"/>
      <c r="AD60" s="117"/>
      <c r="AE60" s="117"/>
    </row>
    <row r="61" spans="2:31" ht="7.5" hidden="1" customHeight="1" x14ac:dyDescent="0.2">
      <c r="B61"/>
      <c r="C61" s="109" t="s">
        <v>66</v>
      </c>
      <c r="D61" s="80"/>
      <c r="E61" s="78"/>
      <c r="F61" s="78"/>
      <c r="G61"/>
      <c r="H61" s="44"/>
      <c r="AB61" s="117"/>
      <c r="AC61" s="117"/>
      <c r="AD61" s="117"/>
      <c r="AE61" s="117"/>
    </row>
    <row r="62" spans="2:31" hidden="1" x14ac:dyDescent="0.2">
      <c r="B62"/>
      <c r="C62" s="78"/>
      <c r="D62" s="78"/>
      <c r="E62" s="78"/>
      <c r="F62" s="79"/>
      <c r="G62"/>
      <c r="H62" s="44"/>
      <c r="AB62" s="117"/>
      <c r="AC62" s="117"/>
      <c r="AD62" s="117"/>
      <c r="AE62" s="117"/>
    </row>
    <row r="63" spans="2:31" hidden="1" x14ac:dyDescent="0.2">
      <c r="B63"/>
      <c r="C63" s="108" t="s">
        <v>28</v>
      </c>
      <c r="D63" s="58"/>
      <c r="E63" s="78"/>
      <c r="F63" s="79"/>
      <c r="G63"/>
      <c r="H63" s="44"/>
      <c r="AB63" s="117"/>
      <c r="AC63" s="117"/>
      <c r="AD63" s="117"/>
      <c r="AE63" s="117"/>
    </row>
    <row r="64" spans="2:31" hidden="1" x14ac:dyDescent="0.2">
      <c r="B64"/>
      <c r="C64" s="108" t="s">
        <v>67</v>
      </c>
      <c r="D64" s="80"/>
      <c r="E64" s="78"/>
      <c r="F64" s="79"/>
      <c r="G64"/>
      <c r="H64" s="44"/>
      <c r="AB64" s="117"/>
      <c r="AC64" s="117"/>
      <c r="AD64" s="117"/>
      <c r="AE64" s="117"/>
    </row>
    <row r="65" spans="2:31" x14ac:dyDescent="0.2">
      <c r="B65"/>
      <c r="C65" s="78"/>
      <c r="D65" s="78"/>
      <c r="E65" s="78"/>
      <c r="F65" s="78"/>
      <c r="G65"/>
      <c r="H65" s="44"/>
      <c r="AB65" s="117"/>
      <c r="AC65" s="117"/>
      <c r="AD65" s="117"/>
      <c r="AE65" s="117"/>
    </row>
    <row r="66" spans="2:31" ht="18" customHeight="1" x14ac:dyDescent="0.2">
      <c r="B66"/>
      <c r="C66" s="879" t="s">
        <v>57</v>
      </c>
      <c r="D66" s="194"/>
      <c r="E66" s="736"/>
      <c r="F66" s="737"/>
      <c r="G66"/>
      <c r="H66" s="44"/>
      <c r="AB66" s="117"/>
      <c r="AC66" s="117"/>
      <c r="AD66" s="117"/>
      <c r="AE66" s="117"/>
    </row>
    <row r="67" spans="2:31" x14ac:dyDescent="0.2">
      <c r="B67"/>
      <c r="C67" s="1049" t="s">
        <v>1477</v>
      </c>
      <c r="D67" s="1050"/>
      <c r="E67" s="1050"/>
      <c r="F67" s="1051"/>
      <c r="G67"/>
      <c r="H67" s="44"/>
      <c r="AB67" s="117"/>
      <c r="AC67" s="117"/>
      <c r="AD67" s="117"/>
      <c r="AE67" s="117"/>
    </row>
    <row r="68" spans="2:31" x14ac:dyDescent="0.2">
      <c r="B68"/>
      <c r="C68" s="1052"/>
      <c r="D68" s="1053"/>
      <c r="E68" s="1053"/>
      <c r="F68" s="1054"/>
      <c r="G68"/>
      <c r="H68" s="44"/>
      <c r="AB68" s="117"/>
      <c r="AC68" s="117"/>
      <c r="AD68" s="117"/>
      <c r="AE68" s="117"/>
    </row>
    <row r="69" spans="2:31" x14ac:dyDescent="0.2">
      <c r="B69"/>
      <c r="C69" s="1052"/>
      <c r="D69" s="1053"/>
      <c r="E69" s="1053"/>
      <c r="F69" s="1054"/>
      <c r="G69"/>
      <c r="H69" s="44"/>
      <c r="AB69" s="117"/>
      <c r="AC69" s="117"/>
      <c r="AD69" s="117"/>
      <c r="AE69" s="117"/>
    </row>
    <row r="70" spans="2:31" x14ac:dyDescent="0.2">
      <c r="B70"/>
      <c r="C70" s="1052"/>
      <c r="D70" s="1053"/>
      <c r="E70" s="1053"/>
      <c r="F70" s="1054"/>
      <c r="G70"/>
      <c r="H70" s="44"/>
      <c r="AB70" s="117"/>
      <c r="AC70" s="117"/>
      <c r="AD70" s="117"/>
      <c r="AE70" s="117"/>
    </row>
    <row r="71" spans="2:31" x14ac:dyDescent="0.2">
      <c r="B71"/>
      <c r="C71" s="1052"/>
      <c r="D71" s="1053"/>
      <c r="E71" s="1053"/>
      <c r="F71" s="1054"/>
      <c r="G71"/>
      <c r="H71" s="44"/>
      <c r="AB71" s="117"/>
      <c r="AC71" s="117"/>
      <c r="AD71" s="117"/>
      <c r="AE71" s="117"/>
    </row>
    <row r="72" spans="2:31" x14ac:dyDescent="0.2">
      <c r="B72"/>
      <c r="C72" s="1052"/>
      <c r="D72" s="1053"/>
      <c r="E72" s="1053"/>
      <c r="F72" s="1054"/>
      <c r="G72"/>
      <c r="H72" s="44"/>
      <c r="AB72" s="117"/>
      <c r="AC72" s="117"/>
      <c r="AD72" s="117"/>
      <c r="AE72" s="117"/>
    </row>
    <row r="73" spans="2:31" x14ac:dyDescent="0.2">
      <c r="B73"/>
      <c r="C73" s="1052"/>
      <c r="D73" s="1053"/>
      <c r="E73" s="1053"/>
      <c r="F73" s="1054"/>
      <c r="G73"/>
      <c r="H73" s="44"/>
      <c r="AB73" s="117"/>
      <c r="AC73" s="117"/>
      <c r="AD73" s="117"/>
      <c r="AE73" s="117"/>
    </row>
    <row r="74" spans="2:31" x14ac:dyDescent="0.2">
      <c r="B74"/>
      <c r="C74" s="1052"/>
      <c r="D74" s="1053"/>
      <c r="E74" s="1053"/>
      <c r="F74" s="1054"/>
      <c r="G74"/>
      <c r="H74" s="44"/>
      <c r="AB74" s="117"/>
      <c r="AC74" s="117"/>
      <c r="AD74" s="117"/>
      <c r="AE74" s="117"/>
    </row>
    <row r="75" spans="2:31" x14ac:dyDescent="0.2">
      <c r="B75"/>
      <c r="C75" s="1052"/>
      <c r="D75" s="1053"/>
      <c r="E75" s="1053"/>
      <c r="F75" s="1054"/>
      <c r="G75"/>
      <c r="H75" s="44"/>
      <c r="AB75" s="117"/>
      <c r="AC75" s="117"/>
      <c r="AD75" s="117"/>
      <c r="AE75" s="117"/>
    </row>
    <row r="76" spans="2:31" x14ac:dyDescent="0.2">
      <c r="B76"/>
      <c r="C76" s="1052"/>
      <c r="D76" s="1053"/>
      <c r="E76" s="1053"/>
      <c r="F76" s="1054"/>
      <c r="G76"/>
      <c r="H76" s="44"/>
      <c r="AB76" s="117"/>
      <c r="AC76" s="117"/>
      <c r="AD76" s="117"/>
      <c r="AE76" s="117"/>
    </row>
    <row r="77" spans="2:31" x14ac:dyDescent="0.2">
      <c r="B77"/>
      <c r="C77" s="1052"/>
      <c r="D77" s="1053"/>
      <c r="E77" s="1053"/>
      <c r="F77" s="1054"/>
      <c r="G77"/>
      <c r="H77" s="44"/>
      <c r="AB77" s="117"/>
      <c r="AC77" s="117"/>
      <c r="AD77" s="117"/>
      <c r="AE77" s="117"/>
    </row>
    <row r="78" spans="2:31" x14ac:dyDescent="0.2">
      <c r="B78"/>
      <c r="C78" s="1052"/>
      <c r="D78" s="1053"/>
      <c r="E78" s="1053"/>
      <c r="F78" s="1054"/>
      <c r="G78"/>
      <c r="H78" s="44"/>
      <c r="AB78" s="117"/>
      <c r="AC78" s="117"/>
      <c r="AD78" s="117"/>
      <c r="AE78" s="117"/>
    </row>
    <row r="79" spans="2:31" x14ac:dyDescent="0.2">
      <c r="B79"/>
      <c r="C79" s="1052"/>
      <c r="D79" s="1053"/>
      <c r="E79" s="1053"/>
      <c r="F79" s="1054"/>
      <c r="G79"/>
      <c r="H79" s="44"/>
      <c r="AB79" s="117"/>
      <c r="AC79" s="117"/>
      <c r="AD79" s="117"/>
      <c r="AE79" s="117"/>
    </row>
    <row r="80" spans="2:31" x14ac:dyDescent="0.2">
      <c r="B80"/>
      <c r="C80" s="1052"/>
      <c r="D80" s="1053"/>
      <c r="E80" s="1053"/>
      <c r="F80" s="1054"/>
      <c r="G80"/>
      <c r="H80" s="44"/>
      <c r="AB80" s="117"/>
      <c r="AC80" s="117"/>
      <c r="AD80" s="117"/>
      <c r="AE80" s="117"/>
    </row>
    <row r="81" spans="2:31" x14ac:dyDescent="0.2">
      <c r="B81"/>
      <c r="C81" s="1052"/>
      <c r="D81" s="1053"/>
      <c r="E81" s="1053"/>
      <c r="F81" s="1054"/>
      <c r="G81"/>
      <c r="H81" s="44"/>
      <c r="AB81" s="117"/>
      <c r="AC81" s="117"/>
      <c r="AD81" s="117"/>
      <c r="AE81" s="117"/>
    </row>
    <row r="82" spans="2:31" x14ac:dyDescent="0.2">
      <c r="B82"/>
      <c r="C82" s="1052"/>
      <c r="D82" s="1053"/>
      <c r="E82" s="1053"/>
      <c r="F82" s="1054"/>
      <c r="G82"/>
      <c r="H82" s="44"/>
      <c r="AB82" s="117"/>
      <c r="AC82" s="117"/>
      <c r="AD82" s="117"/>
      <c r="AE82" s="117"/>
    </row>
    <row r="83" spans="2:31" x14ac:dyDescent="0.2">
      <c r="B83"/>
      <c r="C83" s="1052"/>
      <c r="D83" s="1053"/>
      <c r="E83" s="1053"/>
      <c r="F83" s="1054"/>
      <c r="G83"/>
      <c r="H83" s="44"/>
    </row>
    <row r="84" spans="2:31" x14ac:dyDescent="0.2">
      <c r="B84"/>
      <c r="C84" s="1052"/>
      <c r="D84" s="1053"/>
      <c r="E84" s="1053"/>
      <c r="F84" s="1054"/>
      <c r="G84"/>
      <c r="H84" s="44"/>
    </row>
    <row r="85" spans="2:31" x14ac:dyDescent="0.2">
      <c r="B85"/>
      <c r="C85" s="1052"/>
      <c r="D85" s="1053"/>
      <c r="E85" s="1053"/>
      <c r="F85" s="1054"/>
      <c r="G85"/>
      <c r="H85" s="44"/>
    </row>
    <row r="86" spans="2:31" x14ac:dyDescent="0.2">
      <c r="B86"/>
      <c r="C86" s="1055"/>
      <c r="D86" s="1056"/>
      <c r="E86" s="1056"/>
      <c r="F86" s="1057"/>
      <c r="G86"/>
      <c r="H86" s="44"/>
    </row>
    <row r="87" spans="2:31" x14ac:dyDescent="0.2">
      <c r="B87"/>
      <c r="C87" s="877"/>
      <c r="D87" s="877"/>
      <c r="E87" s="877"/>
      <c r="F87" s="877"/>
      <c r="G87"/>
      <c r="H87" s="44"/>
    </row>
    <row r="88" spans="2:31" ht="16.5" thickBot="1" x14ac:dyDescent="0.3">
      <c r="B88"/>
      <c r="C88" s="106" t="s">
        <v>1309</v>
      </c>
      <c r="D88" s="107"/>
      <c r="E88" s="107"/>
      <c r="F88" s="107"/>
      <c r="G88"/>
      <c r="H88" s="44"/>
    </row>
    <row r="89" spans="2:31" ht="7.5" customHeight="1" thickBot="1" x14ac:dyDescent="0.25">
      <c r="B89"/>
      <c r="C89" s="877"/>
      <c r="D89" s="877"/>
      <c r="E89" s="877"/>
      <c r="F89" s="877"/>
      <c r="G89"/>
      <c r="H89" s="44"/>
    </row>
    <row r="90" spans="2:31" ht="19.5" customHeight="1" thickBot="1" x14ac:dyDescent="0.25">
      <c r="B90"/>
      <c r="C90" s="890" t="s">
        <v>1310</v>
      </c>
      <c r="D90" s="891" t="s">
        <v>1306</v>
      </c>
      <c r="E90" s="892" t="s">
        <v>1308</v>
      </c>
      <c r="F90" s="877"/>
      <c r="G90"/>
      <c r="H90" s="44"/>
    </row>
    <row r="91" spans="2:31" x14ac:dyDescent="0.2">
      <c r="B91"/>
      <c r="C91" s="887">
        <v>1</v>
      </c>
      <c r="D91" s="888" t="s">
        <v>1307</v>
      </c>
      <c r="E91" s="889"/>
      <c r="F91" s="877"/>
      <c r="G91"/>
      <c r="H91" s="44"/>
    </row>
    <row r="92" spans="2:31" x14ac:dyDescent="0.2">
      <c r="B92"/>
      <c r="C92" s="882">
        <v>2</v>
      </c>
      <c r="D92" s="881" t="s">
        <v>1307</v>
      </c>
      <c r="E92" s="883"/>
      <c r="F92" s="877"/>
      <c r="G92"/>
      <c r="H92" s="44"/>
    </row>
    <row r="93" spans="2:31" x14ac:dyDescent="0.2">
      <c r="B93"/>
      <c r="C93" s="882">
        <v>3</v>
      </c>
      <c r="D93" s="881" t="s">
        <v>1307</v>
      </c>
      <c r="E93" s="883"/>
      <c r="F93" s="877"/>
      <c r="G93"/>
      <c r="H93" s="44"/>
    </row>
    <row r="94" spans="2:31" x14ac:dyDescent="0.2">
      <c r="B94"/>
      <c r="C94" s="882">
        <v>4</v>
      </c>
      <c r="D94" s="881" t="s">
        <v>1307</v>
      </c>
      <c r="E94" s="883"/>
      <c r="F94" s="877"/>
      <c r="G94"/>
      <c r="H94" s="44"/>
    </row>
    <row r="95" spans="2:31" x14ac:dyDescent="0.2">
      <c r="B95"/>
      <c r="C95" s="882">
        <v>5</v>
      </c>
      <c r="D95" s="881" t="s">
        <v>1307</v>
      </c>
      <c r="E95" s="883"/>
      <c r="F95" s="877"/>
      <c r="G95"/>
      <c r="H95" s="44"/>
    </row>
    <row r="96" spans="2:31" x14ac:dyDescent="0.2">
      <c r="B96"/>
      <c r="C96" s="882">
        <v>6</v>
      </c>
      <c r="D96" s="881" t="s">
        <v>1307</v>
      </c>
      <c r="E96" s="883"/>
      <c r="F96" s="877"/>
      <c r="G96"/>
      <c r="H96" s="44"/>
    </row>
    <row r="97" spans="2:8" ht="13.5" thickBot="1" x14ac:dyDescent="0.25">
      <c r="B97"/>
      <c r="C97" s="884">
        <v>7</v>
      </c>
      <c r="D97" s="885" t="s">
        <v>1307</v>
      </c>
      <c r="E97" s="886"/>
      <c r="F97" s="877"/>
      <c r="G97"/>
      <c r="H97" s="44"/>
    </row>
    <row r="98" spans="2:8" x14ac:dyDescent="0.2">
      <c r="B98"/>
      <c r="C98" s="880"/>
      <c r="D98" s="880"/>
      <c r="E98" s="877"/>
      <c r="F98" s="877"/>
      <c r="G98"/>
      <c r="H98" s="44"/>
    </row>
    <row r="99" spans="2:8" x14ac:dyDescent="0.2">
      <c r="B99"/>
      <c r="C99" s="880"/>
      <c r="D99" s="880"/>
      <c r="E99" s="877"/>
      <c r="F99" s="877"/>
      <c r="G99"/>
      <c r="H99" s="44"/>
    </row>
    <row r="100" spans="2:8" ht="16.5" thickBot="1" x14ac:dyDescent="0.3">
      <c r="B100"/>
      <c r="C100" s="106" t="s">
        <v>1311</v>
      </c>
      <c r="D100" s="107"/>
      <c r="E100" s="897" t="str">
        <f>IF(D108&lt;&gt;100%, "Error, check allocation of payment terms","")</f>
        <v/>
      </c>
      <c r="F100" s="107"/>
      <c r="G100"/>
      <c r="H100" s="44"/>
    </row>
    <row r="101" spans="2:8" ht="8.25" customHeight="1" thickBot="1" x14ac:dyDescent="0.25">
      <c r="B101"/>
      <c r="C101" s="880"/>
      <c r="D101" s="880"/>
      <c r="E101" s="877"/>
      <c r="F101" s="877"/>
      <c r="G101"/>
      <c r="H101" s="44"/>
    </row>
    <row r="102" spans="2:8" ht="13.5" thickBot="1" x14ac:dyDescent="0.25">
      <c r="B102"/>
      <c r="C102" s="890" t="s">
        <v>1312</v>
      </c>
      <c r="D102" s="891" t="s">
        <v>1314</v>
      </c>
      <c r="E102" s="892" t="s">
        <v>1313</v>
      </c>
      <c r="F102" s="877"/>
      <c r="G102"/>
      <c r="H102" s="44"/>
    </row>
    <row r="103" spans="2:8" x14ac:dyDescent="0.2">
      <c r="B103" s="277" t="str">
        <f>IF(D103-G103=0,"",1)</f>
        <v/>
      </c>
      <c r="C103" s="882"/>
      <c r="D103" s="898">
        <v>0.45</v>
      </c>
      <c r="E103" s="894" t="s">
        <v>1315</v>
      </c>
      <c r="F103" s="896" t="str">
        <f>IF(G103=D103,"", "Payment Terms Altered")</f>
        <v/>
      </c>
      <c r="G103" s="895">
        <v>0.45</v>
      </c>
      <c r="H103" s="44"/>
    </row>
    <row r="104" spans="2:8" x14ac:dyDescent="0.2">
      <c r="B104" s="277" t="str">
        <f>IF(D104-G104=0,"",1)</f>
        <v/>
      </c>
      <c r="C104" s="882"/>
      <c r="D104" s="898">
        <v>0.5</v>
      </c>
      <c r="E104" s="894" t="s">
        <v>1316</v>
      </c>
      <c r="F104" s="896" t="str">
        <f>IF(G104=D104,"", "Payment Terms Altered")</f>
        <v/>
      </c>
      <c r="G104" s="895">
        <v>0.5</v>
      </c>
      <c r="H104" s="44"/>
    </row>
    <row r="105" spans="2:8" x14ac:dyDescent="0.2">
      <c r="B105" s="277" t="str">
        <f>IF(D105-G105=0,"",1)</f>
        <v/>
      </c>
      <c r="C105" s="882"/>
      <c r="D105" s="898">
        <v>0.05</v>
      </c>
      <c r="E105" s="894" t="s">
        <v>1317</v>
      </c>
      <c r="F105" s="896" t="str">
        <f>IF(G105=D105,"", "Payment Terms Altered")</f>
        <v/>
      </c>
      <c r="G105" s="895">
        <v>0.05</v>
      </c>
      <c r="H105" s="44"/>
    </row>
    <row r="106" spans="2:8" x14ac:dyDescent="0.2">
      <c r="B106" s="277"/>
      <c r="C106" s="910"/>
      <c r="D106" s="911"/>
      <c r="E106" s="912"/>
      <c r="F106" s="896"/>
      <c r="G106" s="895"/>
      <c r="H106" s="44"/>
    </row>
    <row r="107" spans="2:8" x14ac:dyDescent="0.2">
      <c r="B107" s="277"/>
      <c r="C107" s="910"/>
      <c r="D107" s="911"/>
      <c r="E107" s="912"/>
      <c r="F107" s="896"/>
      <c r="G107" s="895"/>
      <c r="H107" s="44"/>
    </row>
    <row r="108" spans="2:8" ht="13.5" thickBot="1" x14ac:dyDescent="0.25">
      <c r="B108"/>
      <c r="C108" s="893"/>
      <c r="D108" s="899">
        <f>SUM(D103:D107)</f>
        <v>1</v>
      </c>
      <c r="E108" s="886"/>
      <c r="F108" s="877"/>
      <c r="G108"/>
      <c r="H108" s="44"/>
    </row>
    <row r="109" spans="2:8" x14ac:dyDescent="0.2">
      <c r="B109"/>
      <c r="C109" s="1061" t="str">
        <f>IF(OR(F103="Payment Terms Altered",F104="Payment Terms Altered",F105="Payment Terms Altered"),"Altered Payment Terms","")</f>
        <v/>
      </c>
      <c r="D109" s="1061"/>
      <c r="E109" s="1061"/>
      <c r="F109" s="877"/>
      <c r="G109"/>
      <c r="H109" s="44"/>
    </row>
    <row r="110" spans="2:8" x14ac:dyDescent="0.2">
      <c r="B110"/>
      <c r="C110" s="78"/>
      <c r="D110" s="78"/>
      <c r="E110" s="78"/>
      <c r="F110" s="78"/>
      <c r="G110"/>
      <c r="H110" s="44"/>
    </row>
    <row r="111" spans="2:8" hidden="1" x14ac:dyDescent="0.2">
      <c r="B111"/>
      <c r="C111" s="78" t="s">
        <v>204</v>
      </c>
      <c r="D111" s="78"/>
      <c r="E111" s="78"/>
      <c r="F111" s="78"/>
      <c r="G111"/>
      <c r="H111" s="44"/>
    </row>
    <row r="112" spans="2:8" hidden="1" x14ac:dyDescent="0.2">
      <c r="B112"/>
      <c r="C112" s="254" t="s">
        <v>281</v>
      </c>
      <c r="D112" s="78"/>
      <c r="E112" s="78"/>
      <c r="F112" s="78"/>
      <c r="G112"/>
      <c r="H112" s="44"/>
    </row>
    <row r="113" spans="2:8" x14ac:dyDescent="0.2">
      <c r="B113"/>
      <c r="C113" s="78"/>
      <c r="D113" s="78"/>
      <c r="E113" s="78"/>
      <c r="F113" s="78"/>
      <c r="G113" s="78"/>
      <c r="H113" s="44"/>
    </row>
    <row r="114" spans="2:8" ht="21" thickBot="1" x14ac:dyDescent="0.35">
      <c r="B114"/>
      <c r="C114" s="920" t="s">
        <v>1033</v>
      </c>
      <c r="D114" s="107"/>
      <c r="E114" s="107"/>
      <c r="F114" s="107"/>
      <c r="G114" s="78"/>
      <c r="H114" s="44"/>
    </row>
    <row r="115" spans="2:8" ht="18" x14ac:dyDescent="0.25">
      <c r="B115"/>
      <c r="C115" s="818"/>
      <c r="D115" s="819"/>
      <c r="E115" s="819"/>
      <c r="F115" s="819"/>
      <c r="G115" s="78"/>
      <c r="H115" s="44"/>
    </row>
    <row r="116" spans="2:8" ht="15.75" x14ac:dyDescent="0.25">
      <c r="B116"/>
      <c r="C116" s="820" t="s">
        <v>1057</v>
      </c>
      <c r="D116" s="738"/>
      <c r="E116" s="738"/>
      <c r="F116" s="738"/>
      <c r="G116"/>
      <c r="H116" s="44"/>
    </row>
    <row r="117" spans="2:8" x14ac:dyDescent="0.2">
      <c r="B117"/>
      <c r="C117" s="254"/>
      <c r="D117" s="78"/>
      <c r="E117" s="78"/>
      <c r="F117" s="78"/>
      <c r="G117"/>
      <c r="H117" s="44"/>
    </row>
    <row r="118" spans="2:8" x14ac:dyDescent="0.2">
      <c r="B118"/>
      <c r="C118" s="826" t="s">
        <v>1034</v>
      </c>
      <c r="D118" s="822" t="str">
        <f>PROPER(E52)</f>
        <v>No Forecast Provided, Please Complete</v>
      </c>
      <c r="E118" s="78"/>
      <c r="F118" s="78"/>
      <c r="G118"/>
      <c r="H118" s="44"/>
    </row>
    <row r="119" spans="2:8" x14ac:dyDescent="0.2">
      <c r="B119"/>
      <c r="C119" s="826" t="s">
        <v>1034</v>
      </c>
      <c r="D119" s="822" t="str">
        <f>'A-Series'!F302</f>
        <v>You Have Not Selected Any Label or Ribbons</v>
      </c>
      <c r="E119" s="78"/>
      <c r="F119" s="78"/>
      <c r="G119"/>
      <c r="H119" s="44"/>
    </row>
    <row r="120" spans="2:8" x14ac:dyDescent="0.2">
      <c r="B120"/>
      <c r="C120" s="826" t="s">
        <v>1035</v>
      </c>
      <c r="D120" s="822" t="str">
        <f>IF(D230=0, "No Final Price Has Been Entered", "")</f>
        <v/>
      </c>
      <c r="E120" s="78"/>
      <c r="F120" s="78"/>
      <c r="G120"/>
      <c r="H120" s="44"/>
    </row>
    <row r="121" spans="2:8" x14ac:dyDescent="0.2">
      <c r="B121"/>
      <c r="C121" s="826" t="s">
        <v>1036</v>
      </c>
      <c r="D121" s="822" t="str">
        <f>IF(D17="", "Missing Projected Due Date","")</f>
        <v/>
      </c>
      <c r="E121" s="78"/>
      <c r="F121" s="78"/>
      <c r="G121"/>
      <c r="H121" s="44"/>
    </row>
    <row r="122" spans="2:8" x14ac:dyDescent="0.2">
      <c r="B122"/>
      <c r="C122" s="826" t="s">
        <v>1037</v>
      </c>
      <c r="D122" s="822" t="str">
        <f>IF(Authorisation!F11=0,"No Special Authorisation Requested Outside Normal Discount","")</f>
        <v>No Special Authorisation Requested Outside Normal Discount</v>
      </c>
      <c r="E122" s="78"/>
      <c r="F122" s="78"/>
      <c r="G122"/>
      <c r="H122" s="44"/>
    </row>
    <row r="123" spans="2:8" x14ac:dyDescent="0.2">
      <c r="B123"/>
      <c r="C123" s="826"/>
      <c r="D123" s="822"/>
      <c r="E123" s="78"/>
      <c r="F123" s="78"/>
      <c r="G123"/>
      <c r="H123" s="44"/>
    </row>
    <row r="124" spans="2:8" x14ac:dyDescent="0.2">
      <c r="B124"/>
      <c r="C124" s="826" t="s">
        <v>1349</v>
      </c>
      <c r="D124" s="825" t="str">
        <f>IF(AND(F203&gt;250,SUM(F171:F173)=0),"Note, no LPA Capital has been selected, Project Mgmt and QC Allocations will not be correct","")</f>
        <v/>
      </c>
      <c r="E124" s="78"/>
      <c r="F124" s="78"/>
      <c r="G124"/>
      <c r="H124" s="44"/>
    </row>
    <row r="125" spans="2:8" x14ac:dyDescent="0.2">
      <c r="B125"/>
      <c r="C125" s="826"/>
      <c r="D125" s="825" t="str">
        <f>IF(D124="","", "Subtract project management &amp; QC fee from the larger of ENG01, iDSnet01")</f>
        <v/>
      </c>
      <c r="E125" s="78"/>
      <c r="F125" s="78"/>
      <c r="G125"/>
      <c r="H125" s="44"/>
    </row>
    <row r="126" spans="2:8" x14ac:dyDescent="0.2">
      <c r="B126"/>
      <c r="C126" s="826"/>
      <c r="D126" s="823"/>
      <c r="E126" s="78"/>
      <c r="F126" s="78"/>
      <c r="G126"/>
      <c r="H126" s="44"/>
    </row>
    <row r="127" spans="2:8" x14ac:dyDescent="0.2">
      <c r="B127"/>
      <c r="C127" s="826" t="s">
        <v>1038</v>
      </c>
      <c r="D127" s="822" t="str">
        <f>'A-Series'!F312</f>
        <v/>
      </c>
      <c r="E127" s="78"/>
      <c r="F127" s="78"/>
      <c r="G127"/>
      <c r="H127" s="44"/>
    </row>
    <row r="128" spans="2:8" x14ac:dyDescent="0.2">
      <c r="B128"/>
      <c r="C128" s="826" t="s">
        <v>1040</v>
      </c>
      <c r="D128" s="822" t="str">
        <f>'A-Series'!C389&amp;'A-Series'!C390&amp;'A-Series'!C391&amp;'A-Series'!C392&amp;'A-Series'!C393&amp;'A-Series'!C394&amp;'A-Series'!C395&amp;'A-Series'!C396&amp;'A-Series'!C397&amp;'A-Series'!C398&amp;'A-Series'!C399&amp;'A-Series'!C400&amp;'A-Series'!C401&amp;'A-Series'!C405&amp;'A-Series'!C406&amp;'A-Series'!C407</f>
        <v>Error: Please select PGError: Please select PGError: Please select PGError: Please select PG</v>
      </c>
      <c r="E128" s="78"/>
      <c r="F128" s="78"/>
      <c r="G128"/>
      <c r="H128" s="44"/>
    </row>
    <row r="129" spans="2:8" x14ac:dyDescent="0.2">
      <c r="B129"/>
      <c r="C129" s="826" t="s">
        <v>1337</v>
      </c>
      <c r="D129" s="822" t="str">
        <f>IF(SUM('A-Series'!G173:G177)&gt;0,"Note custom New capital part has been added to this order","")</f>
        <v/>
      </c>
      <c r="E129" s="78"/>
      <c r="F129" s="78"/>
      <c r="G129"/>
      <c r="H129" s="44"/>
    </row>
    <row r="130" spans="2:8" x14ac:dyDescent="0.2">
      <c r="B130"/>
      <c r="C130" s="826"/>
      <c r="D130" s="823"/>
      <c r="E130" s="78"/>
      <c r="F130" s="78"/>
      <c r="G130"/>
      <c r="H130" s="44"/>
    </row>
    <row r="131" spans="2:8" x14ac:dyDescent="0.2">
      <c r="B131"/>
      <c r="C131" s="826" t="s">
        <v>1041</v>
      </c>
      <c r="D131" s="822" t="str">
        <f>PROPER('A-Series'!D246)</f>
        <v>Please Check Do You Jbox Plate</v>
      </c>
      <c r="E131" s="78"/>
      <c r="F131" s="78"/>
      <c r="G131"/>
      <c r="H131" s="44"/>
    </row>
    <row r="132" spans="2:8" x14ac:dyDescent="0.2">
      <c r="B132"/>
      <c r="C132" s="826" t="s">
        <v>1042</v>
      </c>
      <c r="D132" s="822" t="str">
        <f>PROPER('A-Series'!D247)</f>
        <v>Please Check Do You Need Base Plate &amp; Pivot Base</v>
      </c>
      <c r="E132" s="78"/>
      <c r="F132" s="78"/>
      <c r="G132"/>
      <c r="H132" s="44"/>
    </row>
    <row r="133" spans="2:8" x14ac:dyDescent="0.2">
      <c r="B133"/>
      <c r="C133" s="826"/>
      <c r="D133" s="824"/>
      <c r="E133" s="78"/>
      <c r="F133" s="78"/>
      <c r="G133"/>
      <c r="H133" s="44"/>
    </row>
    <row r="134" spans="2:8" x14ac:dyDescent="0.2">
      <c r="B134"/>
      <c r="C134" s="826" t="s">
        <v>1043</v>
      </c>
      <c r="D134" s="822" t="str">
        <f>IF((SUM('A-Series'!G232:G237,'A-Series'!G217,'Marking Stations'!G72:G75)&gt;0),"An Mperia Licence Form Will Need to be Completed For Swedot","")</f>
        <v/>
      </c>
      <c r="E134" s="78"/>
      <c r="F134" s="78"/>
      <c r="G134"/>
      <c r="H134" s="44"/>
    </row>
    <row r="135" spans="2:8" x14ac:dyDescent="0.2">
      <c r="B135"/>
      <c r="C135" s="826" t="s">
        <v>1044</v>
      </c>
      <c r="D135" s="822" t="str">
        <f ca="1">docprop("Category")</f>
        <v>Autolabel v9.0</v>
      </c>
      <c r="E135" s="78"/>
      <c r="F135" s="78"/>
      <c r="G135"/>
      <c r="H135" s="44"/>
    </row>
    <row r="136" spans="2:8" x14ac:dyDescent="0.2">
      <c r="B136"/>
      <c r="C136" s="826" t="s">
        <v>96</v>
      </c>
      <c r="D136" s="825" t="e">
        <f>IF((NETWORKDAYS(D12,D17))&lt;0,"Missing Date",NETWORKDAYS(D12,D17))</f>
        <v>#VALUE!</v>
      </c>
      <c r="E136" s="824" t="e">
        <f>IF(D136="Missing Date", "", "work days")</f>
        <v>#VALUE!</v>
      </c>
      <c r="F136" s="78"/>
      <c r="G136"/>
      <c r="H136" s="44"/>
    </row>
    <row r="137" spans="2:8" x14ac:dyDescent="0.2">
      <c r="B137"/>
      <c r="C137" s="826" t="s">
        <v>1069</v>
      </c>
      <c r="D137" s="825">
        <f>D21</f>
        <v>0</v>
      </c>
      <c r="E137" s="78"/>
      <c r="F137" s="78"/>
      <c r="G137"/>
      <c r="H137" s="44"/>
    </row>
    <row r="138" spans="2:8" x14ac:dyDescent="0.2">
      <c r="B138"/>
      <c r="C138" s="826"/>
      <c r="D138" s="825"/>
      <c r="E138" s="78"/>
      <c r="F138" s="78"/>
      <c r="G138"/>
      <c r="H138" s="44"/>
    </row>
    <row r="139" spans="2:8" x14ac:dyDescent="0.2">
      <c r="B139"/>
      <c r="C139" s="740" t="s">
        <v>1318</v>
      </c>
      <c r="D139" s="822" t="str">
        <f>C109</f>
        <v/>
      </c>
      <c r="E139" s="78"/>
      <c r="F139" s="78"/>
      <c r="G139"/>
      <c r="H139" s="44"/>
    </row>
    <row r="140" spans="2:8" x14ac:dyDescent="0.2">
      <c r="B140"/>
      <c r="C140" s="740" t="s">
        <v>1319</v>
      </c>
      <c r="D140" s="822" t="str">
        <f>E100</f>
        <v/>
      </c>
      <c r="E140" s="78"/>
      <c r="F140" s="78"/>
      <c r="G140"/>
      <c r="H140" s="44"/>
    </row>
    <row r="141" spans="2:8" x14ac:dyDescent="0.2">
      <c r="B141"/>
      <c r="C141" s="740"/>
      <c r="D141" s="822"/>
      <c r="E141" s="78"/>
      <c r="F141" s="78"/>
      <c r="G141"/>
      <c r="H141" s="44"/>
    </row>
    <row r="142" spans="2:8" x14ac:dyDescent="0.2">
      <c r="B142"/>
      <c r="C142" s="78"/>
      <c r="D142" s="78"/>
      <c r="E142" s="78"/>
      <c r="F142" s="78"/>
      <c r="G142"/>
      <c r="H142" s="44"/>
    </row>
    <row r="143" spans="2:8" x14ac:dyDescent="0.2">
      <c r="B143"/>
      <c r="C143" s="78"/>
      <c r="D143" s="78"/>
      <c r="E143" s="78"/>
      <c r="F143" s="78"/>
      <c r="G143"/>
      <c r="H143" s="44"/>
    </row>
    <row r="144" spans="2:8" ht="18" x14ac:dyDescent="0.25">
      <c r="B144"/>
      <c r="C144" s="919" t="s">
        <v>1039</v>
      </c>
      <c r="D144" s="738"/>
      <c r="E144" s="738"/>
      <c r="F144" s="738"/>
      <c r="G144"/>
      <c r="H144" s="44"/>
    </row>
    <row r="145" spans="2:8" ht="13.5" customHeight="1" x14ac:dyDescent="0.2">
      <c r="B145"/>
      <c r="C145"/>
      <c r="D145"/>
      <c r="E145"/>
      <c r="F145"/>
      <c r="G145"/>
      <c r="H145" s="44"/>
    </row>
    <row r="146" spans="2:8" ht="15" x14ac:dyDescent="0.25">
      <c r="B146"/>
      <c r="C146" s="821" t="s">
        <v>457</v>
      </c>
      <c r="D146" s="821"/>
      <c r="E146" s="821"/>
      <c r="F146" s="821"/>
      <c r="G146"/>
      <c r="H146" s="44"/>
    </row>
    <row r="147" spans="2:8" x14ac:dyDescent="0.2">
      <c r="B147"/>
      <c r="C147"/>
      <c r="D147"/>
      <c r="E147"/>
      <c r="F147"/>
      <c r="G147"/>
      <c r="H147" s="44"/>
    </row>
    <row r="148" spans="2:8" x14ac:dyDescent="0.2">
      <c r="B148"/>
      <c r="C148" s="644" t="s">
        <v>996</v>
      </c>
      <c r="D148" s="645" t="s">
        <v>1008</v>
      </c>
      <c r="E148" s="645" t="s">
        <v>343</v>
      </c>
      <c r="F148" s="646" t="s">
        <v>1353</v>
      </c>
      <c r="G148"/>
      <c r="H148" s="44"/>
    </row>
    <row r="149" spans="2:8" x14ac:dyDescent="0.2">
      <c r="B149"/>
      <c r="C149" s="653" t="s">
        <v>1335</v>
      </c>
      <c r="D149" s="631">
        <v>23030003</v>
      </c>
      <c r="E149" s="631" t="str">
        <f>IF('A-Series'!C492=0,"", 'A-Series'!C492)</f>
        <v/>
      </c>
      <c r="F149" s="982">
        <f>'Marking Stations'!D136</f>
        <v>0</v>
      </c>
      <c r="G149"/>
      <c r="H149" s="44"/>
    </row>
    <row r="150" spans="2:8" x14ac:dyDescent="0.2">
      <c r="B150"/>
      <c r="C150" s="653" t="s">
        <v>1336</v>
      </c>
      <c r="D150" s="631">
        <v>23010008</v>
      </c>
      <c r="E150" s="918" t="s">
        <v>1346</v>
      </c>
      <c r="F150" s="982" t="s">
        <v>17</v>
      </c>
      <c r="G150"/>
      <c r="H150" s="44"/>
    </row>
    <row r="151" spans="2:8" x14ac:dyDescent="0.2">
      <c r="B151"/>
      <c r="C151" s="630" t="s">
        <v>990</v>
      </c>
      <c r="D151" s="631">
        <v>10030001</v>
      </c>
      <c r="E151" s="631" t="str">
        <f>IF(VLOOKUP(C151,'Marking Stations'!$C$125:$E$135,3,FALSE)=0,"",VLOOKUP(C151,'Marking Stations'!$C$125:$E$135,3,FALSE))</f>
        <v/>
      </c>
      <c r="F151" s="982">
        <f>VLOOKUP($C151,'Marking Stations'!$C$125:$D$135,2,FALSE)</f>
        <v>0</v>
      </c>
      <c r="G151"/>
      <c r="H151" s="44"/>
    </row>
    <row r="152" spans="2:8" x14ac:dyDescent="0.2">
      <c r="B152"/>
      <c r="C152" s="630" t="s">
        <v>991</v>
      </c>
      <c r="D152" s="631">
        <v>99030001</v>
      </c>
      <c r="E152" s="631" t="str">
        <f>IF(VLOOKUP(C152,'Marking Stations'!$C$125:$E$135,3,FALSE)=0,"",VLOOKUP(C152,'Marking Stations'!$C$125:$E$135,3,FALSE))</f>
        <v/>
      </c>
      <c r="F152" s="982">
        <f>VLOOKUP($C152,'Marking Stations'!$C$125:$D$135,2,FALSE)</f>
        <v>0</v>
      </c>
      <c r="G152"/>
      <c r="H152" s="44"/>
    </row>
    <row r="153" spans="2:8" x14ac:dyDescent="0.2">
      <c r="B153"/>
      <c r="C153" s="630" t="s">
        <v>989</v>
      </c>
      <c r="D153" s="634">
        <v>12080009</v>
      </c>
      <c r="E153" s="631" t="str">
        <f>IF(VLOOKUP(C153,'Marking Stations'!$C$125:$E$135,3,FALSE)=0,"",VLOOKUP(C153,'Marking Stations'!$C$125:$E$135,3,FALSE))</f>
        <v/>
      </c>
      <c r="F153" s="982">
        <f>VLOOKUP($C153,'Marking Stations'!$C$125:$D$135,2,FALSE)</f>
        <v>0</v>
      </c>
      <c r="G153"/>
      <c r="H153" s="44"/>
    </row>
    <row r="154" spans="2:8" x14ac:dyDescent="0.2">
      <c r="B154"/>
      <c r="C154" s="630" t="s">
        <v>861</v>
      </c>
      <c r="D154" s="631">
        <v>14030006</v>
      </c>
      <c r="E154" s="631" t="str">
        <f>IF(VLOOKUP(C154,'Marking Stations'!$C$125:$E$135,3,FALSE)=0,"",VLOOKUP(C154,'Marking Stations'!$C$125:$E$135,3,FALSE))</f>
        <v/>
      </c>
      <c r="F154" s="982">
        <f>VLOOKUP($C154,'Marking Stations'!$C$125:$D$135,2,FALSE)</f>
        <v>0</v>
      </c>
      <c r="G154"/>
      <c r="H154" s="44"/>
    </row>
    <row r="155" spans="2:8" x14ac:dyDescent="0.2">
      <c r="B155"/>
      <c r="C155" s="630" t="s">
        <v>986</v>
      </c>
      <c r="D155" s="631">
        <v>12080017</v>
      </c>
      <c r="E155" s="631" t="str">
        <f>IF(VLOOKUP(C155,'Marking Stations'!$C$125:$E$135,3,FALSE)=0,"",VLOOKUP(C155,'Marking Stations'!$C$125:$E$135,3,FALSE))</f>
        <v/>
      </c>
      <c r="F155" s="982">
        <f>VLOOKUP($C155,'Marking Stations'!$C$125:$D$135,2,FALSE)</f>
        <v>0</v>
      </c>
      <c r="G155"/>
      <c r="H155" s="44"/>
    </row>
    <row r="156" spans="2:8" x14ac:dyDescent="0.2">
      <c r="B156"/>
      <c r="C156" s="926" t="s">
        <v>1342</v>
      </c>
      <c r="D156" s="927">
        <v>12080050</v>
      </c>
      <c r="E156" s="631" t="str">
        <f>IF(VLOOKUP(C156,'Marking Stations'!$C$125:$E$135,3,FALSE)=0,"",VLOOKUP(C156,'Marking Stations'!$C$125:$E$135,3,FALSE))</f>
        <v/>
      </c>
      <c r="F156" s="982">
        <f>VLOOKUP($C156,'Marking Stations'!$C$125:$D$135,2,FALSE)</f>
        <v>0</v>
      </c>
      <c r="G156"/>
      <c r="H156" s="44"/>
    </row>
    <row r="157" spans="2:8" x14ac:dyDescent="0.2">
      <c r="B157"/>
      <c r="C157" s="630" t="s">
        <v>992</v>
      </c>
      <c r="D157" s="634" t="s">
        <v>1012</v>
      </c>
      <c r="E157" s="631" t="str">
        <f>IF(VLOOKUP(C157,'Marking Stations'!$C$125:$E$135,3,FALSE)=0,"",VLOOKUP(C157,'Marking Stations'!$C$125:$E$135,3,FALSE))</f>
        <v/>
      </c>
      <c r="F157" s="982">
        <f>VLOOKUP($C157,'Marking Stations'!$C$125:$D$135,2,FALSE)</f>
        <v>0</v>
      </c>
      <c r="G157"/>
      <c r="H157" s="44"/>
    </row>
    <row r="158" spans="2:8" x14ac:dyDescent="0.2">
      <c r="B158"/>
      <c r="C158" s="92"/>
      <c r="D158" s="13"/>
      <c r="E158" s="603"/>
      <c r="F158" s="981"/>
      <c r="G158"/>
      <c r="H158" s="44"/>
    </row>
    <row r="159" spans="2:8" x14ac:dyDescent="0.2">
      <c r="B159"/>
      <c r="C159" s="630" t="s">
        <v>95</v>
      </c>
      <c r="D159" s="631">
        <v>99990132</v>
      </c>
      <c r="E159" s="631" t="str">
        <f>IF(VLOOKUP(C159,'Marking Stations'!$C$125:$E$135,3,FALSE)=0,"",VLOOKUP(C159,'Marking Stations'!$C$125:$E$135,3,FALSE))</f>
        <v/>
      </c>
      <c r="F159" s="632">
        <f>VLOOKUP($C159,'Marking Stations'!$C$125:$D$135,2,FALSE)</f>
        <v>0</v>
      </c>
      <c r="G159"/>
      <c r="H159" s="44"/>
    </row>
    <row r="160" spans="2:8" x14ac:dyDescent="0.2">
      <c r="B160"/>
      <c r="C160" s="630" t="s">
        <v>101</v>
      </c>
      <c r="D160" s="631">
        <v>12080014</v>
      </c>
      <c r="E160" s="631" t="str">
        <f>IF(VLOOKUP(C160,'Marking Stations'!$C$125:$E$135,3,FALSE)=0,"",VLOOKUP(C160,'Marking Stations'!$C$125:$E$135,3,FALSE))</f>
        <v/>
      </c>
      <c r="F160" s="632">
        <f>VLOOKUP($C160,'Marking Stations'!$C$125:$D$135,2,FALSE)</f>
        <v>0</v>
      </c>
      <c r="G160"/>
      <c r="H160" s="44"/>
    </row>
    <row r="161" spans="2:8" x14ac:dyDescent="0.2">
      <c r="B161"/>
      <c r="C161" s="630" t="s">
        <v>205</v>
      </c>
      <c r="D161" s="631">
        <v>12080015</v>
      </c>
      <c r="E161" s="631" t="str">
        <f>IF(VLOOKUP(C161,'Marking Stations'!$C$125:$E$135,3,FALSE)=0,"",VLOOKUP(C161,'Marking Stations'!$C$125:$E$135,3,FALSE))</f>
        <v/>
      </c>
      <c r="F161" s="632">
        <f>VLOOKUP($C161,'Marking Stations'!$C$125:$D$135,2,FALSE)</f>
        <v>0</v>
      </c>
      <c r="G161"/>
      <c r="H161" s="44"/>
    </row>
    <row r="162" spans="2:8" ht="13.5" thickBot="1" x14ac:dyDescent="0.25">
      <c r="B162"/>
      <c r="C162" s="92"/>
      <c r="D162" s="13"/>
      <c r="E162" s="603"/>
      <c r="F162" s="981"/>
      <c r="G162"/>
      <c r="H162" s="44"/>
    </row>
    <row r="163" spans="2:8" ht="13.5" thickBot="1" x14ac:dyDescent="0.25">
      <c r="B163"/>
      <c r="C163" s="633" t="s">
        <v>53</v>
      </c>
      <c r="D163" s="654">
        <f>SUM(F149:F161)</f>
        <v>0</v>
      </c>
      <c r="E163"/>
      <c r="F163" s="652">
        <f>'Marking Stations'!I121</f>
        <v>0</v>
      </c>
      <c r="G163"/>
      <c r="H163" s="44"/>
    </row>
    <row r="164" spans="2:8" x14ac:dyDescent="0.2">
      <c r="B164"/>
      <c r="C164"/>
      <c r="D164"/>
      <c r="E164" s="963" t="s">
        <v>1347</v>
      </c>
      <c r="F164" s="739">
        <f>F163-D163</f>
        <v>0</v>
      </c>
      <c r="G164"/>
      <c r="H164" s="44"/>
    </row>
    <row r="165" spans="2:8" x14ac:dyDescent="0.2">
      <c r="B165"/>
      <c r="C165"/>
      <c r="D165"/>
      <c r="E165"/>
      <c r="F165"/>
      <c r="G165"/>
      <c r="H165" s="44"/>
    </row>
    <row r="166" spans="2:8" x14ac:dyDescent="0.2">
      <c r="B166"/>
      <c r="C166"/>
      <c r="D166"/>
      <c r="E166"/>
      <c r="F166"/>
      <c r="G166"/>
      <c r="H166" s="44"/>
    </row>
    <row r="167" spans="2:8" ht="15" x14ac:dyDescent="0.25">
      <c r="B167"/>
      <c r="C167" s="821" t="s">
        <v>308</v>
      </c>
      <c r="D167" s="821"/>
      <c r="E167" s="821"/>
      <c r="F167" s="821"/>
      <c r="G167"/>
      <c r="H167" s="44"/>
    </row>
    <row r="168" spans="2:8" x14ac:dyDescent="0.2">
      <c r="B168"/>
      <c r="C168"/>
      <c r="D168"/>
      <c r="E168"/>
      <c r="F168"/>
      <c r="G168"/>
      <c r="H168" s="44"/>
    </row>
    <row r="169" spans="2:8" x14ac:dyDescent="0.2">
      <c r="B169"/>
      <c r="C169" s="644" t="s">
        <v>996</v>
      </c>
      <c r="D169" s="645" t="s">
        <v>1008</v>
      </c>
      <c r="E169" s="645" t="s">
        <v>343</v>
      </c>
      <c r="F169" s="646" t="s">
        <v>1353</v>
      </c>
      <c r="G169"/>
      <c r="H169" s="44"/>
    </row>
    <row r="170" spans="2:8" ht="3.75" customHeight="1" x14ac:dyDescent="0.2">
      <c r="B170"/>
      <c r="C170" s="32"/>
      <c r="D170"/>
      <c r="E170"/>
      <c r="F170"/>
      <c r="G170"/>
      <c r="H170" s="44"/>
    </row>
    <row r="171" spans="2:8" x14ac:dyDescent="0.2">
      <c r="B171"/>
      <c r="C171" s="630" t="s">
        <v>981</v>
      </c>
      <c r="D171" s="631">
        <v>23030002</v>
      </c>
      <c r="E171" s="631">
        <f>'A-Series'!H463</f>
        <v>2</v>
      </c>
      <c r="F171" s="632">
        <f>IFERROR('A-Series'!G463,0)</f>
        <v>43196.636313219584</v>
      </c>
      <c r="G171"/>
      <c r="H171" s="44"/>
    </row>
    <row r="172" spans="2:8" x14ac:dyDescent="0.2">
      <c r="B172"/>
      <c r="C172" s="630" t="s">
        <v>982</v>
      </c>
      <c r="D172" s="631">
        <v>23030001</v>
      </c>
      <c r="E172" s="631">
        <f>'A-Series'!H464</f>
        <v>3</v>
      </c>
      <c r="F172" s="632">
        <f>IFERROR('A-Series'!G464,0)</f>
        <v>69327.238686780416</v>
      </c>
      <c r="G172"/>
      <c r="H172" s="44"/>
    </row>
    <row r="173" spans="2:8" x14ac:dyDescent="0.2">
      <c r="B173"/>
      <c r="C173" s="630" t="s">
        <v>983</v>
      </c>
      <c r="D173" s="631">
        <v>23030004</v>
      </c>
      <c r="E173" s="631" t="str">
        <f>'A-Series'!H465</f>
        <v/>
      </c>
      <c r="F173" s="632">
        <f>IFERROR('A-Series'!G465,0)</f>
        <v>0</v>
      </c>
      <c r="G173"/>
      <c r="H173" s="44"/>
    </row>
    <row r="174" spans="2:8" x14ac:dyDescent="0.2">
      <c r="B174"/>
      <c r="C174" s="32"/>
      <c r="D174"/>
      <c r="E174"/>
      <c r="F174" s="629"/>
      <c r="G174"/>
      <c r="H174" s="44"/>
    </row>
    <row r="175" spans="2:8" x14ac:dyDescent="0.2">
      <c r="B175"/>
      <c r="C175" s="644" t="s">
        <v>995</v>
      </c>
      <c r="D175" s="645" t="s">
        <v>1008</v>
      </c>
      <c r="E175" s="645" t="s">
        <v>343</v>
      </c>
      <c r="F175" s="646" t="s">
        <v>1353</v>
      </c>
      <c r="G175"/>
      <c r="H175" s="44"/>
    </row>
    <row r="176" spans="2:8" x14ac:dyDescent="0.2">
      <c r="B176"/>
      <c r="C176" s="630" t="s">
        <v>990</v>
      </c>
      <c r="D176" s="631">
        <v>10030001</v>
      </c>
      <c r="E176" s="631">
        <f>'A-Series'!E443</f>
        <v>1</v>
      </c>
      <c r="F176" s="632">
        <f>'A-Series'!D443</f>
        <v>27300</v>
      </c>
      <c r="G176"/>
      <c r="H176" s="44"/>
    </row>
    <row r="177" spans="2:8" x14ac:dyDescent="0.2">
      <c r="B177"/>
      <c r="C177" s="630" t="s">
        <v>991</v>
      </c>
      <c r="D177" s="631">
        <v>99030001</v>
      </c>
      <c r="E177" s="631">
        <f>'A-Series'!E444</f>
        <v>1</v>
      </c>
      <c r="F177" s="632">
        <f>'A-Series'!D444</f>
        <v>10940</v>
      </c>
      <c r="G177"/>
      <c r="H177" s="44"/>
    </row>
    <row r="178" spans="2:8" x14ac:dyDescent="0.2">
      <c r="B178"/>
      <c r="C178" s="630" t="s">
        <v>989</v>
      </c>
      <c r="D178" s="634">
        <v>12080009</v>
      </c>
      <c r="E178" s="631">
        <f>'A-Series'!E445</f>
        <v>1</v>
      </c>
      <c r="F178" s="632">
        <f>'A-Series'!D445</f>
        <v>21950</v>
      </c>
      <c r="G178"/>
      <c r="H178" s="44"/>
    </row>
    <row r="179" spans="2:8" x14ac:dyDescent="0.2">
      <c r="B179"/>
      <c r="C179" s="630" t="s">
        <v>861</v>
      </c>
      <c r="D179" s="631">
        <v>14030006</v>
      </c>
      <c r="E179" s="631">
        <f>'A-Series'!E446</f>
        <v>1</v>
      </c>
      <c r="F179" s="632">
        <f>'A-Series'!D446</f>
        <v>100</v>
      </c>
      <c r="G179"/>
      <c r="H179" s="44"/>
    </row>
    <row r="180" spans="2:8" x14ac:dyDescent="0.2">
      <c r="B180"/>
      <c r="C180" s="630" t="s">
        <v>986</v>
      </c>
      <c r="D180" s="631">
        <v>12080017</v>
      </c>
      <c r="E180" s="631" t="str">
        <f>'A-Series'!E447</f>
        <v/>
      </c>
      <c r="F180" s="632">
        <f>'A-Series'!D447</f>
        <v>0</v>
      </c>
      <c r="G180"/>
      <c r="H180" s="44"/>
    </row>
    <row r="181" spans="2:8" x14ac:dyDescent="0.2">
      <c r="B181"/>
      <c r="C181" s="926" t="s">
        <v>1342</v>
      </c>
      <c r="D181" s="927">
        <v>12080050</v>
      </c>
      <c r="E181" s="631">
        <f>'A-Series'!E450</f>
        <v>1</v>
      </c>
      <c r="F181" s="632">
        <f>'A-Series'!D450</f>
        <v>20000</v>
      </c>
      <c r="G181"/>
      <c r="H181" s="44"/>
    </row>
    <row r="182" spans="2:8" x14ac:dyDescent="0.2">
      <c r="B182"/>
      <c r="C182" s="630" t="s">
        <v>992</v>
      </c>
      <c r="D182" s="634" t="s">
        <v>1012</v>
      </c>
      <c r="E182" s="631">
        <f>'A-Series'!E448</f>
        <v>1</v>
      </c>
      <c r="F182" s="632">
        <f>'A-Series'!D448</f>
        <v>2400</v>
      </c>
      <c r="G182"/>
      <c r="H182" s="44"/>
    </row>
    <row r="183" spans="2:8" hidden="1" x14ac:dyDescent="0.2">
      <c r="B183"/>
      <c r="C183" s="630" t="s">
        <v>810</v>
      </c>
      <c r="D183" s="634" t="s">
        <v>806</v>
      </c>
      <c r="E183" s="631" t="str">
        <f>'A-Series'!E449</f>
        <v/>
      </c>
      <c r="F183" s="632">
        <f>'A-Series'!D449</f>
        <v>0</v>
      </c>
      <c r="G183"/>
      <c r="H183" s="44"/>
    </row>
    <row r="184" spans="2:8" x14ac:dyDescent="0.2">
      <c r="B184"/>
      <c r="C184" s="32"/>
      <c r="D184"/>
      <c r="E184"/>
      <c r="F184"/>
      <c r="G184"/>
      <c r="H184" s="44"/>
    </row>
    <row r="185" spans="2:8" x14ac:dyDescent="0.2">
      <c r="B185"/>
      <c r="C185" s="644" t="s">
        <v>13</v>
      </c>
      <c r="D185" s="645" t="s">
        <v>1008</v>
      </c>
      <c r="E185" s="645" t="s">
        <v>343</v>
      </c>
      <c r="F185" s="646" t="s">
        <v>1353</v>
      </c>
      <c r="G185"/>
      <c r="H185" s="44"/>
    </row>
    <row r="186" spans="2:8" x14ac:dyDescent="0.2">
      <c r="B186"/>
      <c r="C186" s="630" t="s">
        <v>95</v>
      </c>
      <c r="D186" s="631">
        <v>99990132</v>
      </c>
      <c r="E186" s="631" t="str">
        <f>'A-Series'!E451</f>
        <v/>
      </c>
      <c r="F186" s="632">
        <f>'A-Series'!D451</f>
        <v>0</v>
      </c>
      <c r="G186"/>
      <c r="H186" s="44"/>
    </row>
    <row r="187" spans="2:8" x14ac:dyDescent="0.2">
      <c r="B187"/>
      <c r="C187" s="630" t="s">
        <v>101</v>
      </c>
      <c r="D187" s="631">
        <v>12080014</v>
      </c>
      <c r="E187" s="631">
        <f>'A-Series'!E452</f>
        <v>1</v>
      </c>
      <c r="F187" s="632">
        <f>'A-Series'!D452</f>
        <v>4900</v>
      </c>
      <c r="G187"/>
      <c r="H187" s="44"/>
    </row>
    <row r="188" spans="2:8" x14ac:dyDescent="0.2">
      <c r="B188"/>
      <c r="C188" s="630" t="s">
        <v>1010</v>
      </c>
      <c r="D188" s="631">
        <v>99990167</v>
      </c>
      <c r="E188" s="631" t="str">
        <f>'A-Series'!E454</f>
        <v/>
      </c>
      <c r="F188" s="632">
        <f>'A-Series'!D454</f>
        <v>0</v>
      </c>
      <c r="G188"/>
      <c r="H188" s="44"/>
    </row>
    <row r="189" spans="2:8" x14ac:dyDescent="0.2">
      <c r="B189"/>
      <c r="C189" s="630" t="s">
        <v>984</v>
      </c>
      <c r="D189" s="631">
        <v>99990166</v>
      </c>
      <c r="E189" s="631" t="str">
        <f>'A-Series'!E453</f>
        <v/>
      </c>
      <c r="F189" s="632">
        <f>'A-Series'!D453</f>
        <v>0</v>
      </c>
      <c r="G189"/>
      <c r="H189" s="44"/>
    </row>
    <row r="190" spans="2:8" x14ac:dyDescent="0.2">
      <c r="B190"/>
      <c r="C190" s="630" t="s">
        <v>205</v>
      </c>
      <c r="D190" s="631">
        <v>12080015</v>
      </c>
      <c r="E190" s="631">
        <f>'A-Series'!E455</f>
        <v>1</v>
      </c>
      <c r="F190" s="632">
        <f>'A-Series'!D455</f>
        <v>14401.125</v>
      </c>
      <c r="G190"/>
      <c r="H190" s="44"/>
    </row>
    <row r="191" spans="2:8" ht="5.0999999999999996" customHeight="1" thickBot="1" x14ac:dyDescent="0.25">
      <c r="B191"/>
      <c r="C191" s="32"/>
      <c r="D191"/>
      <c r="E191"/>
      <c r="F191"/>
      <c r="G191"/>
      <c r="H191" s="44"/>
    </row>
    <row r="192" spans="2:8" ht="15.75" customHeight="1" thickBot="1" x14ac:dyDescent="0.25">
      <c r="B192"/>
      <c r="C192" s="633" t="s">
        <v>53</v>
      </c>
      <c r="D192" s="654">
        <f>SUM(F171:F190)</f>
        <v>214515</v>
      </c>
      <c r="E192"/>
      <c r="F192" s="652">
        <f>'A-Series'!I436</f>
        <v>331421</v>
      </c>
      <c r="G192"/>
      <c r="H192" s="44"/>
    </row>
    <row r="193" spans="2:8" hidden="1" x14ac:dyDescent="0.2">
      <c r="B193"/>
      <c r="C193" s="32"/>
      <c r="D193"/>
      <c r="E193"/>
      <c r="F193"/>
      <c r="G193"/>
      <c r="H193" s="44"/>
    </row>
    <row r="194" spans="2:8" hidden="1" x14ac:dyDescent="0.2">
      <c r="B194"/>
      <c r="C194" s="32"/>
      <c r="D194"/>
      <c r="E194"/>
      <c r="F194"/>
      <c r="G194"/>
      <c r="H194" s="44"/>
    </row>
    <row r="195" spans="2:8" hidden="1" x14ac:dyDescent="0.2">
      <c r="B195"/>
      <c r="C195" s="32"/>
      <c r="D195"/>
      <c r="E195"/>
      <c r="F195"/>
      <c r="G195"/>
      <c r="H195" s="44"/>
    </row>
    <row r="196" spans="2:8" hidden="1" x14ac:dyDescent="0.2">
      <c r="B196"/>
      <c r="C196" s="32"/>
      <c r="D196"/>
      <c r="E196"/>
      <c r="F196"/>
      <c r="G196"/>
      <c r="H196" s="44"/>
    </row>
    <row r="197" spans="2:8" hidden="1" x14ac:dyDescent="0.2">
      <c r="B197"/>
      <c r="C197" s="197" t="s">
        <v>90</v>
      </c>
      <c r="D197" s="202">
        <f>'A-Series'!I412</f>
        <v>363232</v>
      </c>
      <c r="E197"/>
      <c r="F197"/>
      <c r="G197"/>
      <c r="H197" s="44"/>
    </row>
    <row r="198" spans="2:8" hidden="1" x14ac:dyDescent="0.2">
      <c r="B198"/>
      <c r="C198" s="197" t="s">
        <v>53</v>
      </c>
      <c r="D198" s="196">
        <f>VLOOKUP(D10,K36:P40,6,FALSE)</f>
        <v>331421</v>
      </c>
      <c r="E198"/>
      <c r="F198"/>
      <c r="G198"/>
      <c r="H198" s="44"/>
    </row>
    <row r="199" spans="2:8" hidden="1" x14ac:dyDescent="0.2">
      <c r="B199"/>
      <c r="C199" s="197" t="s">
        <v>91</v>
      </c>
      <c r="D199" s="203">
        <f>VLOOKUP(D10,K36:Q39,4,FALSE)</f>
        <v>-0.19439999999999999</v>
      </c>
      <c r="E199"/>
      <c r="F199"/>
      <c r="G199"/>
      <c r="H199" s="44"/>
    </row>
    <row r="200" spans="2:8" hidden="1" x14ac:dyDescent="0.2">
      <c r="B200"/>
      <c r="C200" s="197" t="s">
        <v>92</v>
      </c>
      <c r="D200" s="208" t="str">
        <f>VLOOKUP(D10,K36:Q39,5,FALSE)</f>
        <v>No qualification</v>
      </c>
      <c r="E200"/>
      <c r="F200"/>
      <c r="G200"/>
      <c r="H200" s="44"/>
    </row>
    <row r="201" spans="2:8" hidden="1" x14ac:dyDescent="0.2">
      <c r="B201"/>
      <c r="C201" s="197" t="s">
        <v>93</v>
      </c>
      <c r="D201" s="207" t="str">
        <f>VLOOKUP(D10,K36:Q39,7,FALSE)</f>
        <v>No</v>
      </c>
      <c r="E201"/>
      <c r="F201"/>
      <c r="G201"/>
      <c r="H201" s="44"/>
    </row>
    <row r="202" spans="2:8" hidden="1" x14ac:dyDescent="0.2">
      <c r="B202"/>
      <c r="C202" s="197" t="s">
        <v>94</v>
      </c>
      <c r="D202" s="207" t="str">
        <f>VLOOKUP(D10,K36:R39,8,FALSE)</f>
        <v/>
      </c>
      <c r="E202"/>
      <c r="F202"/>
      <c r="G202"/>
      <c r="H202" s="44"/>
    </row>
    <row r="203" spans="2:8" x14ac:dyDescent="0.2">
      <c r="B203"/>
      <c r="C203"/>
      <c r="D203"/>
      <c r="E203" s="963" t="s">
        <v>1347</v>
      </c>
      <c r="F203" s="739">
        <f>F192-D192</f>
        <v>116906</v>
      </c>
      <c r="G203"/>
      <c r="H203" s="44"/>
    </row>
    <row r="204" spans="2:8" x14ac:dyDescent="0.2">
      <c r="B204"/>
      <c r="C204"/>
      <c r="D204"/>
      <c r="E204"/>
      <c r="F204" s="964" t="str">
        <f>IF(F203&gt;250,"Please check alert checklist above for possible reasons","")</f>
        <v>Please check alert checklist above for possible reasons</v>
      </c>
      <c r="G204"/>
      <c r="H204" s="44"/>
    </row>
    <row r="205" spans="2:8" x14ac:dyDescent="0.2">
      <c r="B205"/>
      <c r="C205"/>
      <c r="D205"/>
      <c r="E205"/>
      <c r="F205" s="964"/>
      <c r="G205"/>
      <c r="H205" s="44"/>
    </row>
    <row r="206" spans="2:8" x14ac:dyDescent="0.2">
      <c r="B206"/>
      <c r="C206"/>
      <c r="D206"/>
      <c r="E206"/>
      <c r="F206"/>
      <c r="G206"/>
      <c r="H206" s="44"/>
    </row>
    <row r="207" spans="2:8" ht="15" x14ac:dyDescent="0.25">
      <c r="B207"/>
      <c r="C207" s="821" t="s">
        <v>340</v>
      </c>
      <c r="D207" s="821"/>
      <c r="E207" s="821"/>
      <c r="F207" s="821"/>
      <c r="G207"/>
      <c r="H207" s="44"/>
    </row>
    <row r="208" spans="2:8" ht="13.5" thickBot="1" x14ac:dyDescent="0.25">
      <c r="B208"/>
      <c r="C208" s="584"/>
      <c r="D208" s="584"/>
      <c r="E208" s="584"/>
      <c r="F208" s="584"/>
      <c r="G208"/>
      <c r="H208" s="44"/>
    </row>
    <row r="209" spans="2:8" ht="13.5" thickBot="1" x14ac:dyDescent="0.25">
      <c r="B209"/>
      <c r="C209" s="633" t="s">
        <v>53</v>
      </c>
      <c r="D209" s="654">
        <f>'Spares Parts'!I42</f>
        <v>0</v>
      </c>
      <c r="E209"/>
      <c r="F209"/>
      <c r="G209"/>
      <c r="H209" s="44"/>
    </row>
    <row r="210" spans="2:8" hidden="1" x14ac:dyDescent="0.2">
      <c r="B210"/>
      <c r="C210"/>
      <c r="D210"/>
      <c r="E210"/>
      <c r="F210"/>
      <c r="G210"/>
      <c r="H210" s="44"/>
    </row>
    <row r="211" spans="2:8" hidden="1" x14ac:dyDescent="0.2">
      <c r="B211"/>
      <c r="C211" s="197" t="s">
        <v>95</v>
      </c>
      <c r="D211" s="199">
        <f>VLOOKUP(D10,$K$36:$N$40,3,FALSE)</f>
        <v>0</v>
      </c>
      <c r="E211"/>
      <c r="F211"/>
      <c r="G211"/>
      <c r="H211" s="44"/>
    </row>
    <row r="212" spans="2:8" hidden="1" x14ac:dyDescent="0.2">
      <c r="B212"/>
      <c r="C212" s="197"/>
      <c r="D212" s="199"/>
      <c r="E212"/>
      <c r="F212"/>
      <c r="G212"/>
      <c r="H212" s="44"/>
    </row>
    <row r="213" spans="2:8" hidden="1" x14ac:dyDescent="0.2">
      <c r="B213"/>
      <c r="C213" s="197" t="s">
        <v>101</v>
      </c>
      <c r="D213" s="199">
        <f>VLOOKUP(D10,K36:S39,9,FALSE)</f>
        <v>7420</v>
      </c>
      <c r="E213"/>
      <c r="F213"/>
      <c r="G213"/>
      <c r="H213" s="44"/>
    </row>
    <row r="214" spans="2:8" hidden="1" x14ac:dyDescent="0.2">
      <c r="B214"/>
      <c r="C214" s="197" t="s">
        <v>210</v>
      </c>
      <c r="D214" s="199">
        <f>VLOOKUP(D10,K36:AB39,11,FALSE)</f>
        <v>22680.070000000003</v>
      </c>
      <c r="E214"/>
      <c r="F214"/>
      <c r="G214"/>
      <c r="H214" s="44"/>
    </row>
    <row r="215" spans="2:8" x14ac:dyDescent="0.2">
      <c r="B215"/>
      <c r="C215"/>
      <c r="D215"/>
      <c r="E215"/>
      <c r="F215"/>
      <c r="G215"/>
      <c r="H215" s="44"/>
    </row>
    <row r="216" spans="2:8" x14ac:dyDescent="0.2">
      <c r="B216"/>
      <c r="C216"/>
      <c r="D216"/>
      <c r="E216"/>
      <c r="F216"/>
      <c r="G216"/>
      <c r="H216" s="44"/>
    </row>
    <row r="217" spans="2:8" x14ac:dyDescent="0.2">
      <c r="B217"/>
      <c r="C217"/>
      <c r="D217"/>
      <c r="E217"/>
      <c r="F217"/>
      <c r="G217"/>
      <c r="H217" s="44"/>
    </row>
    <row r="218" spans="2:8" ht="15" x14ac:dyDescent="0.25">
      <c r="B218"/>
      <c r="C218" s="821" t="s">
        <v>1348</v>
      </c>
      <c r="D218" s="821"/>
      <c r="E218" s="821"/>
      <c r="F218" s="821"/>
      <c r="G218"/>
      <c r="H218" s="44"/>
    </row>
    <row r="219" spans="2:8" ht="13.5" thickBot="1" x14ac:dyDescent="0.25">
      <c r="B219"/>
      <c r="C219"/>
      <c r="D219"/>
      <c r="E219"/>
      <c r="F219"/>
      <c r="G219"/>
      <c r="H219" s="44"/>
    </row>
    <row r="220" spans="2:8" hidden="1" x14ac:dyDescent="0.2">
      <c r="B220"/>
      <c r="C220" s="197" t="s">
        <v>96</v>
      </c>
      <c r="D220" s="200" t="e">
        <f>NETWORKDAYS(D12,D17)</f>
        <v>#VALUE!</v>
      </c>
      <c r="E220" s="734" t="s">
        <v>1030</v>
      </c>
      <c r="F220"/>
      <c r="G220"/>
      <c r="H220" s="44"/>
    </row>
    <row r="221" spans="2:8" hidden="1" x14ac:dyDescent="0.2">
      <c r="B221"/>
      <c r="C221" s="197" t="s">
        <v>68</v>
      </c>
      <c r="D221" s="201">
        <f>D21</f>
        <v>0</v>
      </c>
      <c r="E221"/>
      <c r="F221"/>
      <c r="G221"/>
      <c r="H221" s="44"/>
    </row>
    <row r="222" spans="2:8" hidden="1" x14ac:dyDescent="0.2">
      <c r="B222"/>
      <c r="C222"/>
      <c r="D222"/>
      <c r="E222"/>
      <c r="F222"/>
      <c r="G222"/>
      <c r="H222" s="44"/>
    </row>
    <row r="223" spans="2:8" hidden="1" x14ac:dyDescent="0.2">
      <c r="B223"/>
      <c r="C223" s="197" t="s">
        <v>103</v>
      </c>
      <c r="D223" s="209">
        <f>D198-D213-D211-D214</f>
        <v>301320.93</v>
      </c>
      <c r="E223"/>
      <c r="F223"/>
      <c r="G223"/>
      <c r="H223" s="44"/>
    </row>
    <row r="224" spans="2:8" hidden="1" x14ac:dyDescent="0.2">
      <c r="B224"/>
      <c r="C224"/>
      <c r="D224"/>
      <c r="E224"/>
      <c r="F224"/>
      <c r="G224"/>
      <c r="H224" s="44"/>
    </row>
    <row r="225" spans="2:8" hidden="1" x14ac:dyDescent="0.2">
      <c r="B225"/>
      <c r="C225" s="197" t="s">
        <v>629</v>
      </c>
      <c r="D225" s="1048" t="str">
        <f>VLOOKUP(D10,K36:V38,12,FALSE)</f>
        <v>3 x 23030001 2 x 23030002</v>
      </c>
      <c r="E225" s="1048"/>
      <c r="F225"/>
      <c r="G225"/>
      <c r="H225" s="44"/>
    </row>
    <row r="226" spans="2:8" hidden="1" x14ac:dyDescent="0.2">
      <c r="B226"/>
      <c r="C226"/>
      <c r="D226"/>
      <c r="E226"/>
      <c r="F226"/>
      <c r="G226"/>
      <c r="H226" s="44"/>
    </row>
    <row r="227" spans="2:8" ht="5.25" hidden="1" customHeight="1" x14ac:dyDescent="0.2">
      <c r="B227"/>
      <c r="C227"/>
      <c r="D227"/>
      <c r="E227"/>
      <c r="F227"/>
      <c r="G227"/>
      <c r="H227" s="44"/>
    </row>
    <row r="228" spans="2:8" hidden="1" x14ac:dyDescent="0.2">
      <c r="B228"/>
      <c r="C228"/>
      <c r="D228"/>
      <c r="E228"/>
      <c r="F228"/>
      <c r="G228"/>
      <c r="H228" s="44"/>
    </row>
    <row r="229" spans="2:8" hidden="1" x14ac:dyDescent="0.2">
      <c r="B229"/>
      <c r="C229" s="197" t="s">
        <v>1031</v>
      </c>
      <c r="D229" s="207" t="str">
        <f ca="1">docprop("Category")</f>
        <v>Autolabel v9.0</v>
      </c>
      <c r="E229"/>
      <c r="F229"/>
      <c r="G229"/>
      <c r="H229" s="44"/>
    </row>
    <row r="230" spans="2:8" ht="13.5" thickBot="1" x14ac:dyDescent="0.25">
      <c r="B230"/>
      <c r="C230" s="633" t="s">
        <v>10</v>
      </c>
      <c r="D230" s="654">
        <f>SUM(F163,F192,D209)</f>
        <v>331421</v>
      </c>
      <c r="E230" s="584"/>
      <c r="F230" s="584"/>
      <c r="G230"/>
      <c r="H230" s="44"/>
    </row>
    <row r="231" spans="2:8" x14ac:dyDescent="0.2">
      <c r="B231"/>
      <c r="C231" s="584"/>
      <c r="D231" s="584"/>
      <c r="E231" s="584"/>
      <c r="F231" s="584"/>
      <c r="G231"/>
      <c r="H231" s="44"/>
    </row>
    <row r="232" spans="2:8" x14ac:dyDescent="0.2">
      <c r="B232"/>
      <c r="C232" s="584"/>
      <c r="D232" s="584"/>
      <c r="E232" s="584"/>
      <c r="F232" s="584"/>
      <c r="G232"/>
      <c r="H232" s="44"/>
    </row>
    <row r="233" spans="2:8" x14ac:dyDescent="0.2">
      <c r="B233"/>
      <c r="C233" s="254"/>
      <c r="D233" s="78"/>
      <c r="E233" s="78"/>
      <c r="F233" s="78"/>
      <c r="G233"/>
      <c r="H233" s="44"/>
    </row>
    <row r="234" spans="2:8" ht="16.5" thickBot="1" x14ac:dyDescent="0.3">
      <c r="B234"/>
      <c r="C234" s="827" t="s">
        <v>1033</v>
      </c>
      <c r="D234" s="107"/>
      <c r="E234" s="107"/>
      <c r="F234" s="107"/>
      <c r="G234"/>
      <c r="H234" s="44"/>
    </row>
    <row r="235" spans="2:8" x14ac:dyDescent="0.2">
      <c r="B235"/>
      <c r="C235" s="78"/>
      <c r="D235" s="78"/>
      <c r="E235" s="78"/>
      <c r="F235" s="78"/>
      <c r="G235"/>
      <c r="H235" s="44"/>
    </row>
    <row r="236" spans="2:8" x14ac:dyDescent="0.2">
      <c r="B236"/>
      <c r="C236" s="78"/>
      <c r="D236" s="78"/>
      <c r="E236" s="78"/>
      <c r="F236" s="78"/>
      <c r="G236"/>
      <c r="H236" s="44"/>
    </row>
    <row r="237" spans="2:8" x14ac:dyDescent="0.2">
      <c r="B237"/>
      <c r="C237" s="78"/>
      <c r="D237" s="78"/>
      <c r="E237" s="78"/>
      <c r="F237" s="78"/>
      <c r="G237"/>
      <c r="H237" s="44"/>
    </row>
    <row r="238" spans="2:8" x14ac:dyDescent="0.2">
      <c r="B238"/>
      <c r="C238" s="78"/>
      <c r="D238" s="78"/>
      <c r="E238" s="78"/>
      <c r="F238" s="78"/>
      <c r="G238"/>
      <c r="H238" s="44"/>
    </row>
    <row r="239" spans="2:8" x14ac:dyDescent="0.2">
      <c r="B239"/>
      <c r="C239" s="78"/>
      <c r="D239" s="78"/>
      <c r="E239" s="78"/>
      <c r="F239" s="78"/>
      <c r="G239"/>
      <c r="H239" s="44"/>
    </row>
    <row r="240" spans="2:8" x14ac:dyDescent="0.2">
      <c r="B240"/>
      <c r="C240" s="78"/>
      <c r="D240" s="78"/>
      <c r="E240" s="78"/>
      <c r="F240" s="78"/>
      <c r="G240"/>
      <c r="H240" s="44"/>
    </row>
    <row r="241" spans="2:8" x14ac:dyDescent="0.2">
      <c r="B241"/>
      <c r="C241" s="78"/>
      <c r="D241" s="78"/>
      <c r="E241" s="78"/>
      <c r="F241" s="78"/>
      <c r="G241"/>
      <c r="H241" s="44"/>
    </row>
    <row r="242" spans="2:8" x14ac:dyDescent="0.2">
      <c r="B242"/>
      <c r="C242" s="78"/>
      <c r="D242" s="78"/>
      <c r="E242" s="78"/>
      <c r="F242" s="78"/>
      <c r="G242"/>
      <c r="H242" s="44"/>
    </row>
    <row r="243" spans="2:8" x14ac:dyDescent="0.2">
      <c r="B243"/>
      <c r="C243" s="78"/>
      <c r="D243" s="78"/>
      <c r="E243" s="78"/>
      <c r="F243" s="78"/>
      <c r="G243"/>
      <c r="H243" s="44"/>
    </row>
    <row r="244" spans="2:8" x14ac:dyDescent="0.2">
      <c r="B244"/>
      <c r="C244" s="78"/>
      <c r="D244" s="78"/>
      <c r="E244" s="78"/>
      <c r="F244" s="78"/>
      <c r="G244"/>
      <c r="H244" s="44"/>
    </row>
    <row r="245" spans="2:8" x14ac:dyDescent="0.2">
      <c r="B245"/>
      <c r="C245" s="78"/>
      <c r="D245" s="78"/>
      <c r="E245" s="78"/>
      <c r="F245" s="78"/>
      <c r="G245"/>
      <c r="H245" s="44"/>
    </row>
    <row r="246" spans="2:8" x14ac:dyDescent="0.2">
      <c r="B246"/>
      <c r="C246" s="78"/>
      <c r="D246" s="78"/>
      <c r="E246" s="78"/>
      <c r="F246" s="78"/>
      <c r="G246"/>
      <c r="H246" s="44"/>
    </row>
    <row r="247" spans="2:8" x14ac:dyDescent="0.2">
      <c r="B247"/>
      <c r="C247" s="78"/>
      <c r="D247" s="78"/>
      <c r="E247" s="78"/>
      <c r="F247" s="78"/>
      <c r="G247"/>
      <c r="H247" s="44"/>
    </row>
    <row r="248" spans="2:8" x14ac:dyDescent="0.2">
      <c r="B248"/>
      <c r="C248" s="78"/>
      <c r="D248" s="78"/>
      <c r="E248" s="78"/>
      <c r="F248" s="78"/>
      <c r="G248"/>
      <c r="H248" s="44"/>
    </row>
    <row r="249" spans="2:8" x14ac:dyDescent="0.2">
      <c r="B249"/>
      <c r="C249" s="78"/>
      <c r="D249" s="78"/>
      <c r="E249" s="78"/>
      <c r="F249" s="78"/>
      <c r="G249"/>
      <c r="H249" s="44"/>
    </row>
    <row r="250" spans="2:8" x14ac:dyDescent="0.2">
      <c r="B250"/>
      <c r="C250" s="78"/>
      <c r="D250" s="78"/>
      <c r="E250" s="78"/>
      <c r="F250" s="78"/>
      <c r="G250"/>
      <c r="H250" s="44"/>
    </row>
    <row r="251" spans="2:8" x14ac:dyDescent="0.2">
      <c r="B251"/>
      <c r="C251" s="78"/>
      <c r="D251" s="78"/>
      <c r="E251" s="78"/>
      <c r="F251" s="78"/>
      <c r="G251"/>
      <c r="H251" s="44"/>
    </row>
    <row r="252" spans="2:8" x14ac:dyDescent="0.2">
      <c r="B252"/>
      <c r="C252" s="78"/>
      <c r="D252" s="78"/>
      <c r="E252" s="78"/>
      <c r="F252" s="78"/>
      <c r="G252"/>
      <c r="H252" s="44"/>
    </row>
    <row r="253" spans="2:8" x14ac:dyDescent="0.2">
      <c r="B253"/>
      <c r="C253" s="584"/>
      <c r="D253" s="584"/>
      <c r="E253" s="584"/>
      <c r="F253" s="584"/>
      <c r="G253"/>
      <c r="H253" s="44"/>
    </row>
    <row r="254" spans="2:8" x14ac:dyDescent="0.2">
      <c r="B254"/>
      <c r="C254" s="584"/>
      <c r="D254" s="584"/>
      <c r="E254" s="584"/>
      <c r="F254" s="584"/>
      <c r="G254"/>
      <c r="H254" s="44"/>
    </row>
    <row r="255" spans="2:8" x14ac:dyDescent="0.2">
      <c r="B255"/>
      <c r="C255" s="584"/>
      <c r="D255" s="584"/>
      <c r="E255" s="584"/>
      <c r="F255" s="584"/>
      <c r="G255"/>
      <c r="H255" s="44"/>
    </row>
    <row r="256" spans="2:8" ht="15.75" x14ac:dyDescent="0.25">
      <c r="B256"/>
      <c r="C256" s="808"/>
      <c r="D256" s="808"/>
      <c r="E256" s="808"/>
      <c r="F256" s="808"/>
      <c r="G256"/>
      <c r="H256" s="44"/>
    </row>
    <row r="257" spans="2:8" ht="13.5" hidden="1" thickBot="1" x14ac:dyDescent="0.25">
      <c r="B257"/>
      <c r="C257" s="587" t="s">
        <v>838</v>
      </c>
      <c r="D257" s="587" t="s">
        <v>962</v>
      </c>
      <c r="E257" s="584"/>
      <c r="F257" s="584"/>
      <c r="G257"/>
      <c r="H257" s="44"/>
    </row>
    <row r="258" spans="2:8" ht="13.5" hidden="1" thickTop="1" x14ac:dyDescent="0.2">
      <c r="B258"/>
      <c r="C258" s="585" t="s">
        <v>910</v>
      </c>
      <c r="D258" s="586">
        <f>IF($D$10="A-Series",'A-Series'!D443,"")</f>
        <v>27300</v>
      </c>
      <c r="E258" s="584"/>
      <c r="F258" s="584"/>
      <c r="G258"/>
      <c r="H258" s="44"/>
    </row>
    <row r="259" spans="2:8" hidden="1" x14ac:dyDescent="0.2">
      <c r="B259"/>
      <c r="C259" s="585" t="s">
        <v>897</v>
      </c>
      <c r="D259" s="586">
        <f>IF($D$10="A-Series",'A-Series'!D444,"")</f>
        <v>10940</v>
      </c>
      <c r="E259" s="584"/>
      <c r="F259" s="584"/>
      <c r="G259"/>
      <c r="H259" s="44"/>
    </row>
    <row r="260" spans="2:8" hidden="1" x14ac:dyDescent="0.2">
      <c r="B260"/>
      <c r="C260" s="585" t="s">
        <v>957</v>
      </c>
      <c r="D260" s="586">
        <f>IF($D$10="A-Series",'A-Series'!D445,"")</f>
        <v>21950</v>
      </c>
      <c r="E260" s="584"/>
      <c r="F260" s="584"/>
      <c r="G260"/>
      <c r="H260" s="44"/>
    </row>
    <row r="261" spans="2:8" hidden="1" x14ac:dyDescent="0.2">
      <c r="B261"/>
      <c r="C261" s="585" t="s">
        <v>861</v>
      </c>
      <c r="D261" s="586">
        <f>IF($D$10="A-Series",'A-Series'!D446,"")</f>
        <v>100</v>
      </c>
      <c r="E261" s="584"/>
      <c r="F261" s="584"/>
      <c r="G261"/>
      <c r="H261" s="44"/>
    </row>
    <row r="262" spans="2:8" hidden="1" x14ac:dyDescent="0.2">
      <c r="B262"/>
      <c r="C262" s="585" t="s">
        <v>865</v>
      </c>
      <c r="D262" s="586" t="e">
        <f>IF($D$10="A-Series",'A-Series'!#REF!,"")</f>
        <v>#REF!</v>
      </c>
      <c r="E262" s="584"/>
      <c r="F262" s="584"/>
      <c r="G262"/>
      <c r="H262" s="44"/>
    </row>
    <row r="263" spans="2:8" hidden="1" x14ac:dyDescent="0.2">
      <c r="B263"/>
      <c r="C263" s="585" t="s">
        <v>952</v>
      </c>
      <c r="D263" s="586">
        <f>IF($D$10="A-Series",'A-Series'!D442,"")</f>
        <v>131825</v>
      </c>
      <c r="E263" s="584"/>
      <c r="F263" s="584"/>
      <c r="G263"/>
      <c r="H263" s="44"/>
    </row>
    <row r="264" spans="2:8" hidden="1" x14ac:dyDescent="0.2">
      <c r="B264"/>
      <c r="C264" s="585" t="s">
        <v>856</v>
      </c>
      <c r="D264" s="586" t="e">
        <f>IF($D$10="A-Series",'A-Series'!#REF!,"")</f>
        <v>#REF!</v>
      </c>
      <c r="E264" s="584"/>
      <c r="F264" s="584"/>
      <c r="G264"/>
      <c r="H264" s="44"/>
    </row>
    <row r="265" spans="2:8" hidden="1" x14ac:dyDescent="0.2">
      <c r="B265"/>
      <c r="C265" s="585" t="s">
        <v>954</v>
      </c>
      <c r="D265" s="586">
        <f>IF($D$10="A-Series",'A-Series'!D447,"")</f>
        <v>0</v>
      </c>
      <c r="E265" s="584"/>
      <c r="F265" s="584"/>
      <c r="G265"/>
      <c r="H265" s="44"/>
    </row>
    <row r="266" spans="2:8" hidden="1" x14ac:dyDescent="0.2">
      <c r="B266"/>
      <c r="C266" s="585" t="s">
        <v>959</v>
      </c>
      <c r="D266" s="586">
        <f>IF($D$10="A-Series",'A-Series'!D448,"")</f>
        <v>2400</v>
      </c>
      <c r="E266" s="584"/>
      <c r="F266" s="584"/>
      <c r="G266"/>
      <c r="H266" s="44"/>
    </row>
    <row r="267" spans="2:8" hidden="1" x14ac:dyDescent="0.2">
      <c r="B267"/>
      <c r="C267" s="585" t="s">
        <v>958</v>
      </c>
      <c r="D267" s="586">
        <f>IF($D$10="A-Series",'A-Series'!D449,"")</f>
        <v>0</v>
      </c>
      <c r="E267" s="584"/>
      <c r="F267" s="584"/>
      <c r="G267"/>
      <c r="H267" s="44"/>
    </row>
    <row r="268" spans="2:8" hidden="1" x14ac:dyDescent="0.2">
      <c r="B268"/>
      <c r="C268" s="585" t="s">
        <v>953</v>
      </c>
      <c r="D268" s="586" t="e">
        <f>IF($D$10="A-Series",'A-Series'!#REF!,"")</f>
        <v>#REF!</v>
      </c>
      <c r="E268" s="584"/>
      <c r="F268" s="584"/>
      <c r="G268"/>
      <c r="H268" s="44"/>
    </row>
    <row r="269" spans="2:8" hidden="1" x14ac:dyDescent="0.2">
      <c r="B269"/>
      <c r="C269" s="585" t="e">
        <v>#N/A</v>
      </c>
      <c r="D269" s="586">
        <f>IF($D$10="A-Series",'A-Series'!D456,"")</f>
        <v>0</v>
      </c>
      <c r="E269" s="584"/>
      <c r="F269" s="584"/>
      <c r="G269"/>
      <c r="H269" s="44"/>
    </row>
    <row r="270" spans="2:8" hidden="1" x14ac:dyDescent="0.2">
      <c r="B270"/>
      <c r="C270" s="584"/>
      <c r="D270" s="588" t="e">
        <f>SUM(D258:D269)</f>
        <v>#REF!</v>
      </c>
      <c r="E270" s="584"/>
      <c r="F270" s="584"/>
      <c r="G270"/>
      <c r="H270" s="44"/>
    </row>
    <row r="271" spans="2:8" x14ac:dyDescent="0.2">
      <c r="B271"/>
      <c r="C271"/>
      <c r="D271"/>
      <c r="E271"/>
      <c r="F271"/>
      <c r="G271"/>
      <c r="H271" s="44"/>
    </row>
    <row r="272" spans="2:8" x14ac:dyDescent="0.2">
      <c r="B272"/>
      <c r="C272"/>
      <c r="D272"/>
      <c r="E272"/>
      <c r="F272"/>
      <c r="G272"/>
      <c r="H272" s="44"/>
    </row>
    <row r="273" spans="2:8" x14ac:dyDescent="0.2">
      <c r="B273"/>
      <c r="C273"/>
      <c r="D273"/>
      <c r="E273"/>
      <c r="F273"/>
      <c r="G273"/>
      <c r="H273" s="44"/>
    </row>
    <row r="274" spans="2:8" x14ac:dyDescent="0.2">
      <c r="B274"/>
      <c r="C274"/>
      <c r="D274"/>
      <c r="E274"/>
      <c r="F274"/>
      <c r="G274"/>
      <c r="H274" s="44"/>
    </row>
    <row r="275" spans="2:8" x14ac:dyDescent="0.2">
      <c r="B275"/>
      <c r="C275"/>
      <c r="D275"/>
      <c r="E275"/>
      <c r="F275"/>
      <c r="G275"/>
      <c r="H275" s="44"/>
    </row>
    <row r="276" spans="2:8" x14ac:dyDescent="0.2">
      <c r="B276"/>
      <c r="C276"/>
      <c r="D276"/>
      <c r="E276"/>
      <c r="F276"/>
      <c r="G276"/>
      <c r="H276" s="44"/>
    </row>
    <row r="277" spans="2:8" x14ac:dyDescent="0.2">
      <c r="B277"/>
      <c r="C277"/>
      <c r="D277"/>
      <c r="E277"/>
      <c r="F277"/>
      <c r="G277"/>
      <c r="H277" s="44"/>
    </row>
    <row r="278" spans="2:8" x14ac:dyDescent="0.2">
      <c r="B278"/>
      <c r="C278"/>
      <c r="D278"/>
      <c r="E278"/>
      <c r="F278"/>
      <c r="G278"/>
      <c r="H278" s="44"/>
    </row>
    <row r="279" spans="2:8" x14ac:dyDescent="0.2">
      <c r="B279"/>
      <c r="C279"/>
      <c r="D279"/>
      <c r="E279"/>
      <c r="F279"/>
      <c r="G279"/>
      <c r="H279" s="44"/>
    </row>
    <row r="280" spans="2:8" x14ac:dyDescent="0.2">
      <c r="B280"/>
      <c r="C280"/>
      <c r="D280"/>
      <c r="E280"/>
      <c r="F280"/>
      <c r="G280"/>
      <c r="H280" s="44"/>
    </row>
    <row r="281" spans="2:8" x14ac:dyDescent="0.2">
      <c r="B281"/>
      <c r="C281" s="79"/>
      <c r="D281" s="79"/>
      <c r="E281" s="79"/>
      <c r="F281" s="79"/>
      <c r="G281"/>
      <c r="H281" s="44"/>
    </row>
    <row r="282" spans="2:8" x14ac:dyDescent="0.2">
      <c r="B282"/>
      <c r="C282" s="79"/>
      <c r="D282" s="79"/>
      <c r="E282" s="79"/>
      <c r="F282" s="79"/>
      <c r="G282"/>
      <c r="H282" s="44"/>
    </row>
    <row r="283" spans="2:8" x14ac:dyDescent="0.2">
      <c r="B283"/>
      <c r="C283" s="79"/>
      <c r="D283" s="79"/>
      <c r="E283" s="79"/>
      <c r="F283" s="79"/>
      <c r="G283"/>
      <c r="H283" s="44"/>
    </row>
    <row r="284" spans="2:8" x14ac:dyDescent="0.2">
      <c r="B284"/>
      <c r="C284" s="57"/>
      <c r="D284" s="57"/>
      <c r="E284" s="57"/>
      <c r="F284" s="57"/>
      <c r="G284" s="46"/>
      <c r="H284" s="44"/>
    </row>
    <row r="285" spans="2:8" x14ac:dyDescent="0.2">
      <c r="C285" s="39"/>
      <c r="D285" s="39"/>
      <c r="F285" s="39"/>
    </row>
    <row r="286" spans="2:8" hidden="1" x14ac:dyDescent="0.2">
      <c r="C286" s="39"/>
      <c r="D286" s="39"/>
      <c r="F286" s="39"/>
    </row>
    <row r="287" spans="2:8" hidden="1" x14ac:dyDescent="0.2">
      <c r="C287" s="39"/>
      <c r="D287" s="39"/>
      <c r="F287" s="39"/>
    </row>
    <row r="288" spans="2:8" hidden="1" x14ac:dyDescent="0.2">
      <c r="C288" s="39"/>
      <c r="D288" s="39"/>
      <c r="F288" s="39"/>
    </row>
    <row r="289" spans="3:8" hidden="1" x14ac:dyDescent="0.2">
      <c r="C289" s="39"/>
      <c r="D289" s="39"/>
      <c r="F289" s="39"/>
    </row>
    <row r="290" spans="3:8" hidden="1" x14ac:dyDescent="0.2">
      <c r="C290" s="39"/>
      <c r="D290" s="39"/>
      <c r="F290" s="39"/>
    </row>
    <row r="291" spans="3:8" hidden="1" x14ac:dyDescent="0.2">
      <c r="C291" s="39"/>
      <c r="D291" s="39"/>
      <c r="F291" s="39"/>
    </row>
    <row r="292" spans="3:8" hidden="1" x14ac:dyDescent="0.2">
      <c r="C292" s="39"/>
      <c r="D292" s="39"/>
      <c r="F292" s="39"/>
    </row>
    <row r="293" spans="3:8" hidden="1" x14ac:dyDescent="0.2">
      <c r="C293" s="39"/>
      <c r="D293" s="39"/>
      <c r="F293" s="39"/>
    </row>
    <row r="294" spans="3:8" hidden="1" x14ac:dyDescent="0.2">
      <c r="C294" s="39"/>
      <c r="D294" s="39"/>
      <c r="F294" s="39"/>
    </row>
    <row r="295" spans="3:8" hidden="1" x14ac:dyDescent="0.2">
      <c r="C295" s="39"/>
      <c r="D295" s="39"/>
      <c r="F295" s="39"/>
    </row>
    <row r="296" spans="3:8" hidden="1" x14ac:dyDescent="0.2">
      <c r="C296" s="39"/>
      <c r="D296" s="39"/>
      <c r="F296" s="39"/>
    </row>
    <row r="297" spans="3:8" hidden="1" x14ac:dyDescent="0.2">
      <c r="C297" s="39"/>
      <c r="D297" s="39"/>
      <c r="F297" s="39"/>
    </row>
    <row r="298" spans="3:8" hidden="1" x14ac:dyDescent="0.2">
      <c r="C298" s="39"/>
      <c r="D298" s="39"/>
      <c r="F298" s="39"/>
    </row>
    <row r="299" spans="3:8" hidden="1" x14ac:dyDescent="0.2">
      <c r="C299" s="39"/>
      <c r="D299" s="39"/>
      <c r="F299" s="39"/>
    </row>
    <row r="300" spans="3:8" hidden="1" x14ac:dyDescent="0.2">
      <c r="C300" s="39"/>
      <c r="D300" s="39"/>
      <c r="F300" s="39"/>
    </row>
    <row r="301" spans="3:8" hidden="1" x14ac:dyDescent="0.2">
      <c r="C301" s="39"/>
      <c r="D301" s="39"/>
      <c r="F301" s="39"/>
      <c r="H301" s="57"/>
    </row>
    <row r="302" spans="3:8" hidden="1" x14ac:dyDescent="0.2">
      <c r="C302" s="39"/>
      <c r="D302" s="39"/>
      <c r="E302" s="57" t="s">
        <v>33</v>
      </c>
      <c r="F302" s="57"/>
      <c r="G302" s="57"/>
      <c r="H302" s="57"/>
    </row>
    <row r="303" spans="3:8" hidden="1" x14ac:dyDescent="0.2">
      <c r="C303" s="39"/>
      <c r="D303" s="39"/>
      <c r="E303" s="57" t="s">
        <v>34</v>
      </c>
      <c r="F303" s="57"/>
      <c r="G303" s="57"/>
      <c r="H303" s="57"/>
    </row>
    <row r="304" spans="3:8" hidden="1" x14ac:dyDescent="0.2">
      <c r="C304" s="39"/>
      <c r="D304" s="39"/>
      <c r="E304" s="57" t="s">
        <v>35</v>
      </c>
      <c r="F304" s="57"/>
      <c r="G304" s="57"/>
      <c r="H304" s="57"/>
    </row>
    <row r="305" spans="3:8" hidden="1" x14ac:dyDescent="0.2">
      <c r="C305" s="39"/>
      <c r="D305" s="39"/>
      <c r="E305" s="57"/>
      <c r="F305" s="57"/>
      <c r="G305" s="57"/>
      <c r="H305" s="57"/>
    </row>
    <row r="306" spans="3:8" hidden="1" x14ac:dyDescent="0.2">
      <c r="C306" s="39"/>
      <c r="D306" s="39"/>
      <c r="E306" s="57"/>
      <c r="F306" s="57"/>
      <c r="G306" s="57"/>
      <c r="H306" s="57"/>
    </row>
    <row r="307" spans="3:8" hidden="1" x14ac:dyDescent="0.2">
      <c r="C307" s="39"/>
      <c r="D307" s="39"/>
      <c r="E307" s="57"/>
      <c r="F307" s="57"/>
      <c r="G307" s="57"/>
      <c r="H307" s="57"/>
    </row>
    <row r="308" spans="3:8" hidden="1" x14ac:dyDescent="0.2">
      <c r="C308" s="39"/>
      <c r="D308" s="39"/>
      <c r="E308" s="57"/>
      <c r="F308" s="57"/>
      <c r="G308" s="57"/>
      <c r="H308" s="57"/>
    </row>
    <row r="309" spans="3:8" hidden="1" x14ac:dyDescent="0.2">
      <c r="C309" s="39"/>
      <c r="D309" s="39"/>
      <c r="E309" s="57"/>
      <c r="F309" s="57"/>
      <c r="G309" s="57"/>
      <c r="H309" s="57"/>
    </row>
    <row r="310" spans="3:8" hidden="1" x14ac:dyDescent="0.2">
      <c r="C310" s="39"/>
      <c r="D310" s="39"/>
      <c r="E310" s="57"/>
      <c r="F310" s="57"/>
      <c r="G310" s="57"/>
      <c r="H310" s="57"/>
    </row>
    <row r="311" spans="3:8" hidden="1" x14ac:dyDescent="0.2">
      <c r="C311" s="39"/>
      <c r="D311" s="39"/>
      <c r="E311" s="129" t="s">
        <v>302</v>
      </c>
      <c r="F311" s="57"/>
      <c r="G311" s="32" t="s">
        <v>36</v>
      </c>
      <c r="H311" s="57"/>
    </row>
    <row r="312" spans="3:8" hidden="1" x14ac:dyDescent="0.2">
      <c r="C312" s="39"/>
      <c r="D312" s="39"/>
      <c r="E312" s="129" t="s">
        <v>510</v>
      </c>
      <c r="F312" s="57"/>
      <c r="G312" s="32"/>
      <c r="H312" s="57"/>
    </row>
    <row r="313" spans="3:8" hidden="1" x14ac:dyDescent="0.2">
      <c r="C313" s="39"/>
      <c r="D313" s="39"/>
      <c r="E313" s="129" t="s">
        <v>102</v>
      </c>
      <c r="F313" s="57"/>
      <c r="G313" s="32"/>
      <c r="H313" s="57"/>
    </row>
    <row r="314" spans="3:8" hidden="1" x14ac:dyDescent="0.2">
      <c r="C314" s="39"/>
      <c r="D314" s="39"/>
      <c r="E314" s="129" t="s">
        <v>75</v>
      </c>
      <c r="F314" s="57"/>
      <c r="G314" s="32" t="s">
        <v>37</v>
      </c>
      <c r="H314" s="57"/>
    </row>
    <row r="315" spans="3:8" hidden="1" x14ac:dyDescent="0.2">
      <c r="C315" s="39"/>
      <c r="D315" s="39"/>
      <c r="E315" s="129" t="s">
        <v>541</v>
      </c>
      <c r="F315" s="57"/>
      <c r="G315" s="32"/>
      <c r="H315" s="57"/>
    </row>
    <row r="316" spans="3:8" hidden="1" x14ac:dyDescent="0.2">
      <c r="C316" s="39"/>
      <c r="D316" s="39"/>
      <c r="E316" s="71" t="s">
        <v>24</v>
      </c>
      <c r="F316" s="57"/>
      <c r="G316" s="32" t="s">
        <v>38</v>
      </c>
      <c r="H316" s="57"/>
    </row>
    <row r="317" spans="3:8" hidden="1" x14ac:dyDescent="0.2">
      <c r="C317" s="39"/>
      <c r="D317" s="39"/>
      <c r="E317" s="71" t="s">
        <v>4</v>
      </c>
      <c r="F317" s="57"/>
      <c r="G317" s="32" t="s">
        <v>39</v>
      </c>
      <c r="H317" s="57"/>
    </row>
    <row r="318" spans="3:8" hidden="1" x14ac:dyDescent="0.2">
      <c r="C318" s="39"/>
      <c r="D318" s="39"/>
      <c r="E318" s="71" t="s">
        <v>20</v>
      </c>
      <c r="F318" s="57"/>
      <c r="G318" s="32" t="s">
        <v>40</v>
      </c>
      <c r="H318" s="57"/>
    </row>
    <row r="319" spans="3:8" hidden="1" x14ac:dyDescent="0.2">
      <c r="C319" s="39"/>
      <c r="D319" s="39"/>
      <c r="E319" s="129" t="s">
        <v>303</v>
      </c>
      <c r="F319" s="57"/>
      <c r="G319" s="32"/>
      <c r="H319" s="57"/>
    </row>
    <row r="320" spans="3:8" hidden="1" x14ac:dyDescent="0.2">
      <c r="C320" s="39"/>
      <c r="D320" s="39"/>
      <c r="E320" s="129" t="s">
        <v>511</v>
      </c>
      <c r="F320" s="57"/>
      <c r="G320" s="32"/>
      <c r="H320" s="57"/>
    </row>
    <row r="321" spans="3:8" hidden="1" x14ac:dyDescent="0.2">
      <c r="C321" s="39"/>
      <c r="D321" s="39"/>
      <c r="E321" s="129" t="s">
        <v>512</v>
      </c>
      <c r="F321" s="57"/>
      <c r="G321" s="32" t="s">
        <v>34</v>
      </c>
      <c r="H321" s="57"/>
    </row>
    <row r="322" spans="3:8" hidden="1" x14ac:dyDescent="0.2">
      <c r="C322" s="39"/>
      <c r="D322" s="39"/>
      <c r="E322" s="71" t="s">
        <v>21</v>
      </c>
      <c r="F322" s="57"/>
      <c r="G322" s="32" t="s">
        <v>35</v>
      </c>
      <c r="H322" s="57"/>
    </row>
    <row r="323" spans="3:8" hidden="1" x14ac:dyDescent="0.2">
      <c r="C323" s="39"/>
      <c r="D323" s="39"/>
      <c r="E323" s="71" t="s">
        <v>22</v>
      </c>
      <c r="F323" s="57"/>
      <c r="G323" s="57" t="s">
        <v>41</v>
      </c>
      <c r="H323" s="57"/>
    </row>
    <row r="324" spans="3:8" hidden="1" x14ac:dyDescent="0.2">
      <c r="C324" s="39"/>
      <c r="D324" s="39"/>
      <c r="E324" s="102" t="s">
        <v>49</v>
      </c>
      <c r="F324" s="57"/>
      <c r="G324" s="57"/>
      <c r="H324" s="57"/>
    </row>
    <row r="325" spans="3:8" hidden="1" x14ac:dyDescent="0.2">
      <c r="C325" s="39"/>
      <c r="D325" s="39"/>
      <c r="E325" s="71" t="s">
        <v>23</v>
      </c>
      <c r="F325" s="57"/>
      <c r="G325" s="77" t="s">
        <v>25</v>
      </c>
      <c r="H325" s="57"/>
    </row>
    <row r="326" spans="3:8" hidden="1" x14ac:dyDescent="0.2">
      <c r="C326" s="39"/>
      <c r="D326" s="39"/>
      <c r="F326" s="57"/>
      <c r="G326" s="57"/>
    </row>
    <row r="327" spans="3:8" hidden="1" x14ac:dyDescent="0.2">
      <c r="C327" s="39"/>
      <c r="D327" s="39"/>
      <c r="F327" s="39"/>
    </row>
    <row r="328" spans="3:8" hidden="1" x14ac:dyDescent="0.2">
      <c r="C328" s="39"/>
      <c r="D328" s="39"/>
      <c r="F328" s="39"/>
    </row>
    <row r="329" spans="3:8" hidden="1" x14ac:dyDescent="0.2">
      <c r="C329" s="39"/>
      <c r="D329" s="39"/>
      <c r="F329" s="39"/>
    </row>
    <row r="330" spans="3:8" hidden="1" x14ac:dyDescent="0.2">
      <c r="C330" s="39"/>
      <c r="D330" s="39"/>
      <c r="E330" s="39" t="s">
        <v>1096</v>
      </c>
      <c r="F330" s="39" t="s">
        <v>1096</v>
      </c>
      <c r="G330" s="39" t="s">
        <v>1097</v>
      </c>
    </row>
    <row r="331" spans="3:8" hidden="1" x14ac:dyDescent="0.2">
      <c r="C331" s="39"/>
      <c r="D331" s="39"/>
      <c r="E331" s="39" t="s">
        <v>1098</v>
      </c>
      <c r="F331" s="39">
        <v>1</v>
      </c>
      <c r="G331" s="39">
        <v>7</v>
      </c>
    </row>
    <row r="332" spans="3:8" hidden="1" x14ac:dyDescent="0.2">
      <c r="C332" s="39"/>
      <c r="D332" s="39"/>
      <c r="E332" s="39" t="s">
        <v>1099</v>
      </c>
      <c r="F332" s="39">
        <v>2</v>
      </c>
      <c r="G332" s="39">
        <v>14</v>
      </c>
    </row>
    <row r="333" spans="3:8" hidden="1" x14ac:dyDescent="0.2">
      <c r="C333" s="39"/>
      <c r="D333" s="39"/>
      <c r="E333" s="39" t="s">
        <v>1100</v>
      </c>
      <c r="F333" s="39">
        <v>3</v>
      </c>
      <c r="G333" s="39">
        <v>21</v>
      </c>
    </row>
    <row r="334" spans="3:8" hidden="1" x14ac:dyDescent="0.2">
      <c r="C334" s="39"/>
      <c r="D334" s="39"/>
      <c r="E334" s="39" t="s">
        <v>1101</v>
      </c>
      <c r="F334" s="39">
        <v>4</v>
      </c>
      <c r="G334" s="39">
        <v>28</v>
      </c>
    </row>
    <row r="335" spans="3:8" hidden="1" x14ac:dyDescent="0.2">
      <c r="C335" s="39"/>
      <c r="D335" s="39"/>
      <c r="E335" s="39" t="s">
        <v>1102</v>
      </c>
      <c r="F335" s="39">
        <v>5</v>
      </c>
      <c r="G335" s="39">
        <v>35</v>
      </c>
    </row>
    <row r="336" spans="3:8" hidden="1" x14ac:dyDescent="0.2">
      <c r="C336" s="39"/>
      <c r="D336" s="39"/>
      <c r="E336" s="39" t="s">
        <v>1103</v>
      </c>
      <c r="F336" s="39">
        <v>6</v>
      </c>
      <c r="G336" s="39">
        <v>42</v>
      </c>
    </row>
    <row r="337" spans="3:7" hidden="1" x14ac:dyDescent="0.2">
      <c r="C337" s="39"/>
      <c r="D337" s="39"/>
      <c r="E337" s="39" t="s">
        <v>1104</v>
      </c>
      <c r="F337" s="39">
        <v>7</v>
      </c>
      <c r="G337" s="39">
        <v>49</v>
      </c>
    </row>
    <row r="338" spans="3:7" hidden="1" x14ac:dyDescent="0.2">
      <c r="C338" s="39"/>
      <c r="D338" s="39"/>
      <c r="E338" s="39" t="s">
        <v>1105</v>
      </c>
      <c r="F338" s="39">
        <v>8</v>
      </c>
      <c r="G338" s="39">
        <v>56</v>
      </c>
    </row>
    <row r="339" spans="3:7" hidden="1" x14ac:dyDescent="0.2">
      <c r="C339" s="39"/>
      <c r="D339" s="39"/>
      <c r="E339" s="39" t="s">
        <v>1106</v>
      </c>
      <c r="F339" s="39">
        <v>9</v>
      </c>
      <c r="G339" s="39">
        <v>63</v>
      </c>
    </row>
    <row r="340" spans="3:7" hidden="1" x14ac:dyDescent="0.2">
      <c r="C340" s="39"/>
      <c r="D340" s="39"/>
      <c r="E340" s="39" t="s">
        <v>1107</v>
      </c>
      <c r="F340" s="39">
        <v>10</v>
      </c>
      <c r="G340" s="39">
        <v>70</v>
      </c>
    </row>
    <row r="341" spans="3:7" hidden="1" x14ac:dyDescent="0.2">
      <c r="C341" s="39"/>
      <c r="D341" s="39"/>
      <c r="E341" s="39" t="s">
        <v>1108</v>
      </c>
      <c r="F341" s="39">
        <v>11</v>
      </c>
      <c r="G341" s="39">
        <v>77</v>
      </c>
    </row>
    <row r="342" spans="3:7" hidden="1" x14ac:dyDescent="0.2">
      <c r="C342" s="39"/>
      <c r="D342" s="39"/>
      <c r="E342" s="39" t="s">
        <v>1109</v>
      </c>
      <c r="F342" s="39">
        <v>12</v>
      </c>
      <c r="G342" s="39">
        <v>84</v>
      </c>
    </row>
    <row r="343" spans="3:7" hidden="1" x14ac:dyDescent="0.2">
      <c r="C343" s="39"/>
      <c r="D343" s="39"/>
      <c r="E343" s="39" t="s">
        <v>1110</v>
      </c>
      <c r="F343" s="39">
        <v>13</v>
      </c>
      <c r="G343" s="39">
        <v>91</v>
      </c>
    </row>
    <row r="344" spans="3:7" hidden="1" x14ac:dyDescent="0.2">
      <c r="C344" s="39"/>
      <c r="D344" s="39"/>
      <c r="E344" s="39" t="s">
        <v>1111</v>
      </c>
      <c r="F344" s="39">
        <v>14</v>
      </c>
      <c r="G344" s="39">
        <v>98</v>
      </c>
    </row>
    <row r="345" spans="3:7" hidden="1" x14ac:dyDescent="0.2">
      <c r="C345" s="39"/>
      <c r="D345" s="39"/>
      <c r="E345" s="39" t="s">
        <v>1112</v>
      </c>
      <c r="F345" s="39">
        <v>15</v>
      </c>
      <c r="G345" s="39">
        <v>105</v>
      </c>
    </row>
    <row r="346" spans="3:7" hidden="1" x14ac:dyDescent="0.2">
      <c r="C346" s="39"/>
      <c r="D346" s="39"/>
      <c r="E346" s="39" t="s">
        <v>1113</v>
      </c>
      <c r="F346" s="39">
        <v>16</v>
      </c>
      <c r="G346" s="39">
        <v>112</v>
      </c>
    </row>
    <row r="347" spans="3:7" hidden="1" x14ac:dyDescent="0.2">
      <c r="C347" s="39"/>
      <c r="D347" s="39"/>
      <c r="E347" s="39" t="s">
        <v>1114</v>
      </c>
      <c r="F347" s="39">
        <v>17</v>
      </c>
      <c r="G347" s="39">
        <v>119</v>
      </c>
    </row>
    <row r="348" spans="3:7" hidden="1" x14ac:dyDescent="0.2">
      <c r="C348" s="39"/>
      <c r="D348" s="39"/>
      <c r="E348" s="39" t="s">
        <v>1115</v>
      </c>
      <c r="F348" s="39">
        <v>18</v>
      </c>
      <c r="G348" s="39">
        <v>126</v>
      </c>
    </row>
    <row r="349" spans="3:7" hidden="1" x14ac:dyDescent="0.2">
      <c r="C349" s="39"/>
      <c r="D349" s="39"/>
      <c r="E349" s="39" t="s">
        <v>1116</v>
      </c>
      <c r="F349" s="39">
        <v>19</v>
      </c>
      <c r="G349" s="39">
        <v>133</v>
      </c>
    </row>
    <row r="350" spans="3:7" hidden="1" x14ac:dyDescent="0.2">
      <c r="C350" s="39"/>
      <c r="D350" s="39"/>
      <c r="E350" s="39" t="s">
        <v>1117</v>
      </c>
      <c r="F350" s="39">
        <v>20</v>
      </c>
      <c r="G350" s="39">
        <v>140</v>
      </c>
    </row>
    <row r="351" spans="3:7" hidden="1" x14ac:dyDescent="0.2">
      <c r="C351" s="39"/>
      <c r="D351" s="39"/>
      <c r="F351" s="39"/>
    </row>
    <row r="352" spans="3:7" hidden="1" x14ac:dyDescent="0.2">
      <c r="C352" s="39"/>
      <c r="D352" s="39"/>
      <c r="F352" s="39"/>
    </row>
    <row r="353" spans="3:6" hidden="1" x14ac:dyDescent="0.2">
      <c r="C353" s="39"/>
      <c r="D353" s="39"/>
      <c r="F353" s="39"/>
    </row>
    <row r="354" spans="3:6" hidden="1" x14ac:dyDescent="0.2">
      <c r="C354" s="39"/>
      <c r="D354" s="39"/>
      <c r="F354" s="39"/>
    </row>
    <row r="355" spans="3:6" hidden="1" x14ac:dyDescent="0.2">
      <c r="C355" s="39"/>
      <c r="D355" s="39"/>
      <c r="F355" s="39"/>
    </row>
    <row r="356" spans="3:6" hidden="1" x14ac:dyDescent="0.2">
      <c r="C356" s="39"/>
      <c r="D356" s="39"/>
      <c r="F356" s="39"/>
    </row>
    <row r="357" spans="3:6" hidden="1" x14ac:dyDescent="0.2">
      <c r="C357" s="39"/>
      <c r="D357" s="39"/>
      <c r="F357" s="39"/>
    </row>
    <row r="358" spans="3:6" hidden="1" x14ac:dyDescent="0.2">
      <c r="C358" s="39"/>
      <c r="D358" s="39"/>
      <c r="F358" s="39"/>
    </row>
    <row r="359" spans="3:6" hidden="1" x14ac:dyDescent="0.2">
      <c r="C359" s="39"/>
      <c r="D359" s="39"/>
      <c r="F359" s="39"/>
    </row>
    <row r="360" spans="3:6" hidden="1" x14ac:dyDescent="0.2">
      <c r="C360" s="39"/>
      <c r="D360" s="39"/>
      <c r="F360" s="39"/>
    </row>
    <row r="361" spans="3:6" hidden="1" x14ac:dyDescent="0.2">
      <c r="C361" s="39"/>
      <c r="D361" s="39"/>
      <c r="F361" s="39"/>
    </row>
    <row r="362" spans="3:6" hidden="1" x14ac:dyDescent="0.2">
      <c r="C362" s="39"/>
      <c r="D362" s="39"/>
      <c r="F362" s="39"/>
    </row>
    <row r="363" spans="3:6" hidden="1" x14ac:dyDescent="0.2">
      <c r="C363" s="39"/>
      <c r="D363" s="39"/>
      <c r="F363" s="39"/>
    </row>
    <row r="364" spans="3:6" hidden="1" x14ac:dyDescent="0.2">
      <c r="C364" s="39"/>
      <c r="D364" s="39"/>
      <c r="F364" s="39"/>
    </row>
    <row r="365" spans="3:6" hidden="1" x14ac:dyDescent="0.2">
      <c r="C365" s="39"/>
      <c r="D365" s="39"/>
      <c r="F365" s="39"/>
    </row>
    <row r="366" spans="3:6" hidden="1" x14ac:dyDescent="0.2">
      <c r="C366" s="39"/>
      <c r="D366" s="39"/>
      <c r="F366" s="39"/>
    </row>
    <row r="367" spans="3:6" hidden="1" x14ac:dyDescent="0.2">
      <c r="C367" s="39"/>
      <c r="D367" s="39"/>
      <c r="F367" s="39"/>
    </row>
    <row r="368" spans="3:6" hidden="1" x14ac:dyDescent="0.2">
      <c r="C368" s="39"/>
      <c r="D368" s="39"/>
      <c r="F368" s="39"/>
    </row>
    <row r="369" spans="3:6" hidden="1" x14ac:dyDescent="0.2">
      <c r="C369" s="39"/>
      <c r="D369" s="39"/>
      <c r="F369" s="39"/>
    </row>
    <row r="370" spans="3:6" hidden="1" x14ac:dyDescent="0.2">
      <c r="C370" s="39"/>
      <c r="D370" s="39"/>
      <c r="F370" s="39"/>
    </row>
    <row r="371" spans="3:6" hidden="1" x14ac:dyDescent="0.2">
      <c r="C371" s="39"/>
      <c r="D371" s="39"/>
      <c r="F371" s="39"/>
    </row>
    <row r="372" spans="3:6" hidden="1" x14ac:dyDescent="0.2">
      <c r="C372" s="39"/>
      <c r="D372" s="39"/>
      <c r="F372" s="39"/>
    </row>
    <row r="373" spans="3:6" hidden="1" x14ac:dyDescent="0.2">
      <c r="C373" s="39"/>
      <c r="D373" s="39"/>
      <c r="F373" s="39"/>
    </row>
    <row r="374" spans="3:6" hidden="1" x14ac:dyDescent="0.2">
      <c r="C374" s="39"/>
      <c r="D374" s="39"/>
      <c r="F374" s="39"/>
    </row>
    <row r="375" spans="3:6" hidden="1" x14ac:dyDescent="0.2">
      <c r="C375" s="39"/>
      <c r="D375" s="39"/>
      <c r="F375" s="39"/>
    </row>
    <row r="376" spans="3:6" hidden="1" x14ac:dyDescent="0.2">
      <c r="C376" s="39"/>
      <c r="D376" s="39"/>
      <c r="F376" s="39"/>
    </row>
    <row r="377" spans="3:6" hidden="1" x14ac:dyDescent="0.2">
      <c r="C377" s="39"/>
      <c r="D377" s="39"/>
      <c r="F377" s="39"/>
    </row>
    <row r="378" spans="3:6" hidden="1" x14ac:dyDescent="0.2">
      <c r="C378" s="39"/>
      <c r="D378" s="39"/>
      <c r="F378" s="39"/>
    </row>
    <row r="379" spans="3:6" hidden="1" x14ac:dyDescent="0.2">
      <c r="C379" s="39"/>
      <c r="D379" s="39"/>
      <c r="F379" s="39"/>
    </row>
    <row r="380" spans="3:6" hidden="1" x14ac:dyDescent="0.2">
      <c r="C380" s="39"/>
      <c r="D380" s="39"/>
      <c r="F380" s="39"/>
    </row>
    <row r="381" spans="3:6" hidden="1" x14ac:dyDescent="0.2">
      <c r="C381" s="39"/>
      <c r="D381" s="39"/>
      <c r="F381" s="39"/>
    </row>
    <row r="382" spans="3:6" hidden="1" x14ac:dyDescent="0.2">
      <c r="C382" s="39"/>
      <c r="D382" s="39"/>
      <c r="F382" s="39"/>
    </row>
    <row r="383" spans="3:6" hidden="1" x14ac:dyDescent="0.2">
      <c r="C383" s="39"/>
      <c r="D383" s="39"/>
      <c r="F383" s="39"/>
    </row>
    <row r="384" spans="3:6" hidden="1" x14ac:dyDescent="0.2">
      <c r="C384" s="39"/>
      <c r="D384" s="39"/>
      <c r="F384" s="39"/>
    </row>
    <row r="385" spans="3:6" hidden="1" x14ac:dyDescent="0.2">
      <c r="C385" s="39"/>
      <c r="D385" s="39"/>
      <c r="F385" s="39"/>
    </row>
    <row r="386" spans="3:6" hidden="1" x14ac:dyDescent="0.2">
      <c r="C386" s="39"/>
      <c r="D386" s="39"/>
      <c r="F386" s="39"/>
    </row>
    <row r="387" spans="3:6" hidden="1" x14ac:dyDescent="0.2">
      <c r="C387" s="39"/>
      <c r="D387" s="39"/>
      <c r="F387" s="39"/>
    </row>
    <row r="388" spans="3:6" hidden="1" x14ac:dyDescent="0.2">
      <c r="C388" s="39"/>
      <c r="D388" s="39"/>
      <c r="F388" s="39"/>
    </row>
    <row r="389" spans="3:6" hidden="1" x14ac:dyDescent="0.2">
      <c r="C389" s="39"/>
      <c r="D389" s="39"/>
      <c r="F389" s="39"/>
    </row>
    <row r="390" spans="3:6" hidden="1" x14ac:dyDescent="0.2">
      <c r="C390" s="39"/>
      <c r="D390" s="39"/>
      <c r="F390" s="39"/>
    </row>
    <row r="391" spans="3:6" hidden="1" x14ac:dyDescent="0.2">
      <c r="C391" s="39"/>
      <c r="D391" s="39"/>
      <c r="F391" s="39"/>
    </row>
    <row r="392" spans="3:6" hidden="1" x14ac:dyDescent="0.2">
      <c r="C392" s="39"/>
      <c r="D392" s="39"/>
      <c r="F392" s="39"/>
    </row>
    <row r="393" spans="3:6" hidden="1" x14ac:dyDescent="0.2">
      <c r="C393" s="39"/>
      <c r="D393" s="39"/>
      <c r="F393" s="39"/>
    </row>
    <row r="394" spans="3:6" hidden="1" x14ac:dyDescent="0.2">
      <c r="C394" s="39"/>
      <c r="D394" s="39"/>
      <c r="F394" s="39"/>
    </row>
    <row r="395" spans="3:6" hidden="1" x14ac:dyDescent="0.2">
      <c r="C395" s="39"/>
      <c r="D395" s="39"/>
      <c r="F395" s="39"/>
    </row>
    <row r="396" spans="3:6" hidden="1" x14ac:dyDescent="0.2">
      <c r="C396" s="39"/>
      <c r="D396" s="39"/>
      <c r="F396" s="39"/>
    </row>
    <row r="397" spans="3:6" hidden="1" x14ac:dyDescent="0.2">
      <c r="C397" s="39"/>
      <c r="D397" s="39"/>
      <c r="F397" s="39"/>
    </row>
    <row r="398" spans="3:6" hidden="1" x14ac:dyDescent="0.2">
      <c r="C398" s="39"/>
      <c r="D398" s="39"/>
      <c r="F398" s="39"/>
    </row>
    <row r="399" spans="3:6" hidden="1" x14ac:dyDescent="0.2">
      <c r="C399" s="39"/>
      <c r="D399" s="39"/>
      <c r="F399" s="39"/>
    </row>
    <row r="400" spans="3:6" hidden="1" x14ac:dyDescent="0.2">
      <c r="C400" s="39"/>
      <c r="D400" s="39"/>
      <c r="F400" s="39"/>
    </row>
    <row r="401" spans="3:6" hidden="1" x14ac:dyDescent="0.2">
      <c r="C401" s="39"/>
      <c r="D401" s="39"/>
      <c r="F401" s="39"/>
    </row>
    <row r="402" spans="3:6" hidden="1" x14ac:dyDescent="0.2">
      <c r="C402" s="39"/>
      <c r="D402" s="39"/>
      <c r="F402" s="39"/>
    </row>
    <row r="403" spans="3:6" hidden="1" x14ac:dyDescent="0.2">
      <c r="C403" s="39"/>
      <c r="D403" s="39"/>
      <c r="F403" s="39"/>
    </row>
    <row r="404" spans="3:6" hidden="1" x14ac:dyDescent="0.2">
      <c r="C404" s="39"/>
      <c r="D404" s="39"/>
      <c r="F404" s="39"/>
    </row>
    <row r="405" spans="3:6" hidden="1" x14ac:dyDescent="0.2">
      <c r="C405" s="39"/>
      <c r="D405" s="39"/>
      <c r="F405" s="39"/>
    </row>
    <row r="406" spans="3:6" hidden="1" x14ac:dyDescent="0.2">
      <c r="C406" s="39"/>
      <c r="D406" s="39"/>
      <c r="F406" s="39"/>
    </row>
    <row r="407" spans="3:6" hidden="1" x14ac:dyDescent="0.2">
      <c r="C407" s="39"/>
      <c r="D407" s="39"/>
      <c r="F407" s="39"/>
    </row>
    <row r="408" spans="3:6" hidden="1" x14ac:dyDescent="0.2">
      <c r="C408" s="39"/>
      <c r="D408" s="39"/>
      <c r="F408" s="39"/>
    </row>
    <row r="409" spans="3:6" hidden="1" x14ac:dyDescent="0.2">
      <c r="C409" s="39"/>
      <c r="D409" s="39"/>
      <c r="F409" s="39"/>
    </row>
    <row r="410" spans="3:6" hidden="1" x14ac:dyDescent="0.2">
      <c r="C410" s="39"/>
      <c r="D410" s="39"/>
      <c r="F410" s="39"/>
    </row>
    <row r="411" spans="3:6" hidden="1" x14ac:dyDescent="0.2">
      <c r="C411" s="39"/>
      <c r="D411" s="39"/>
      <c r="F411" s="39"/>
    </row>
    <row r="412" spans="3:6" hidden="1" x14ac:dyDescent="0.2">
      <c r="C412" s="39"/>
      <c r="D412" s="39"/>
      <c r="F412" s="39"/>
    </row>
    <row r="413" spans="3:6" hidden="1" x14ac:dyDescent="0.2">
      <c r="C413" s="39"/>
      <c r="D413" s="39"/>
      <c r="F413" s="39"/>
    </row>
    <row r="414" spans="3:6" hidden="1" x14ac:dyDescent="0.2">
      <c r="C414" s="39"/>
      <c r="D414" s="39"/>
      <c r="F414" s="39"/>
    </row>
    <row r="415" spans="3:6" x14ac:dyDescent="0.2">
      <c r="C415" s="39"/>
      <c r="D415" s="39"/>
      <c r="F415" s="39"/>
    </row>
    <row r="416" spans="3:6" x14ac:dyDescent="0.2">
      <c r="C416" s="39"/>
      <c r="D416" s="39"/>
      <c r="F416" s="39"/>
    </row>
    <row r="417" spans="3:6" x14ac:dyDescent="0.2">
      <c r="C417" s="39"/>
      <c r="D417" s="39"/>
      <c r="F417" s="39"/>
    </row>
    <row r="418" spans="3:6" x14ac:dyDescent="0.2">
      <c r="C418" s="39"/>
      <c r="D418" s="39"/>
      <c r="F418" s="39"/>
    </row>
    <row r="419" spans="3:6" x14ac:dyDescent="0.2">
      <c r="C419" s="39"/>
      <c r="D419" s="39"/>
      <c r="F419" s="39"/>
    </row>
    <row r="420" spans="3:6" x14ac:dyDescent="0.2">
      <c r="C420" s="39"/>
      <c r="D420" s="39"/>
      <c r="F420" s="39"/>
    </row>
    <row r="421" spans="3:6" x14ac:dyDescent="0.2">
      <c r="C421" s="39"/>
      <c r="D421" s="39"/>
      <c r="F421" s="39"/>
    </row>
    <row r="422" spans="3:6" x14ac:dyDescent="0.2">
      <c r="C422" s="39"/>
      <c r="D422" s="39"/>
      <c r="F422" s="39"/>
    </row>
    <row r="423" spans="3:6" x14ac:dyDescent="0.2">
      <c r="C423" s="39"/>
      <c r="D423" s="39"/>
      <c r="F423" s="39"/>
    </row>
    <row r="424" spans="3:6" x14ac:dyDescent="0.2">
      <c r="C424" s="39"/>
      <c r="D424" s="39"/>
      <c r="F424" s="39"/>
    </row>
  </sheetData>
  <sheetProtection password="C583" sheet="1" selectLockedCells="1"/>
  <protectedRanges>
    <protectedRange sqref="C81:C84 E81:E84 D33:D35 C40 D49:D50 C57 F62:F65 F47:F51 D62:D63 F53:F56 F33:F44 E51 F233 D29:D30 F117:F143 F110:F112 C113:G113 D114:G115 D12:D24 F88 F100" name="Range1"/>
    <protectedRange sqref="D8 F8" name="Range1_1"/>
    <protectedRange sqref="D27:D28" name="Range1_6"/>
  </protectedRanges>
  <sortState xmlns:xlrd2="http://schemas.microsoft.com/office/spreadsheetml/2017/richdata2" ref="E269:E290">
    <sortCondition ref="E269"/>
  </sortState>
  <mergeCells count="24">
    <mergeCell ref="D225:E225"/>
    <mergeCell ref="C67:F86"/>
    <mergeCell ref="D21:E21"/>
    <mergeCell ref="D14:E14"/>
    <mergeCell ref="C49:D49"/>
    <mergeCell ref="C50:D50"/>
    <mergeCell ref="D24:E24"/>
    <mergeCell ref="D23:E23"/>
    <mergeCell ref="D16:E16"/>
    <mergeCell ref="C109:E109"/>
    <mergeCell ref="C5:F5"/>
    <mergeCell ref="D13:E13"/>
    <mergeCell ref="C39:D39"/>
    <mergeCell ref="C40:D40"/>
    <mergeCell ref="C36:D36"/>
    <mergeCell ref="D20:E20"/>
    <mergeCell ref="D17:E17"/>
    <mergeCell ref="D12:E12"/>
    <mergeCell ref="D15:E15"/>
    <mergeCell ref="D18:E18"/>
    <mergeCell ref="D19:E19"/>
    <mergeCell ref="C7:F7"/>
    <mergeCell ref="C6:F6"/>
    <mergeCell ref="D22:E22"/>
  </mergeCells>
  <conditionalFormatting sqref="D18:E19 D14:E14 D21:E21 E39:E44 E49 D22">
    <cfRule type="containsBlanks" dxfId="147" priority="47">
      <formula>LEN(TRIM(D14))=0</formula>
    </cfRule>
  </conditionalFormatting>
  <conditionalFormatting sqref="D12:E12">
    <cfRule type="containsBlanks" dxfId="146" priority="46">
      <formula>LEN(TRIM(D12))=0</formula>
    </cfRule>
  </conditionalFormatting>
  <conditionalFormatting sqref="D15:E15">
    <cfRule type="containsBlanks" dxfId="145" priority="45">
      <formula>LEN(TRIM(D15))=0</formula>
    </cfRule>
  </conditionalFormatting>
  <conditionalFormatting sqref="D13:E13">
    <cfRule type="containsBlanks" dxfId="144" priority="44">
      <formula>LEN(TRIM(D13))=0</formula>
    </cfRule>
  </conditionalFormatting>
  <conditionalFormatting sqref="D17:E17">
    <cfRule type="containsBlanks" dxfId="143" priority="43">
      <formula>LEN(TRIM(D17))=0</formula>
    </cfRule>
  </conditionalFormatting>
  <conditionalFormatting sqref="D20:E20">
    <cfRule type="containsBlanks" dxfId="142" priority="42">
      <formula>LEN(TRIM(D20))=0</formula>
    </cfRule>
  </conditionalFormatting>
  <conditionalFormatting sqref="D24:E24">
    <cfRule type="containsBlanks" dxfId="141" priority="41">
      <formula>LEN(TRIM(D24))=0</formula>
    </cfRule>
  </conditionalFormatting>
  <conditionalFormatting sqref="E50">
    <cfRule type="containsBlanks" dxfId="140" priority="40">
      <formula>LEN(TRIM(E50))=0</formula>
    </cfRule>
  </conditionalFormatting>
  <conditionalFormatting sqref="D27:D28">
    <cfRule type="containsBlanks" dxfId="139" priority="39">
      <formula>LEN(TRIM(D27))=0</formula>
    </cfRule>
  </conditionalFormatting>
  <conditionalFormatting sqref="D23:E23">
    <cfRule type="containsBlanks" dxfId="138" priority="38">
      <formula>LEN(TRIM(D23))=0</formula>
    </cfRule>
  </conditionalFormatting>
  <conditionalFormatting sqref="F176:F183">
    <cfRule type="cellIs" dxfId="137" priority="34" operator="greaterThan">
      <formula>1</formula>
    </cfRule>
  </conditionalFormatting>
  <conditionalFormatting sqref="F186:F190">
    <cfRule type="cellIs" dxfId="136" priority="33" operator="greaterThan">
      <formula>1</formula>
    </cfRule>
  </conditionalFormatting>
  <conditionalFormatting sqref="E176:E183">
    <cfRule type="notContainsBlanks" dxfId="135" priority="30">
      <formula>LEN(TRIM(E176))&gt;0</formula>
    </cfRule>
    <cfRule type="containsBlanks" priority="31">
      <formula>LEN(TRIM(E176))=0</formula>
    </cfRule>
  </conditionalFormatting>
  <conditionalFormatting sqref="E171:E173">
    <cfRule type="notContainsBlanks" dxfId="134" priority="28">
      <formula>LEN(TRIM(E171))&gt;0</formula>
    </cfRule>
    <cfRule type="containsBlanks" priority="29">
      <formula>LEN(TRIM(E171))=0</formula>
    </cfRule>
  </conditionalFormatting>
  <conditionalFormatting sqref="E186:E190">
    <cfRule type="notContainsBlanks" dxfId="133" priority="26">
      <formula>LEN(TRIM(E186))&gt;0</formula>
    </cfRule>
    <cfRule type="containsBlanks" priority="27">
      <formula>LEN(TRIM(E186))=0</formula>
    </cfRule>
  </conditionalFormatting>
  <conditionalFormatting sqref="E149">
    <cfRule type="notContainsBlanks" dxfId="132" priority="24">
      <formula>LEN(TRIM(E149))&gt;0</formula>
    </cfRule>
    <cfRule type="containsBlanks" priority="25">
      <formula>LEN(TRIM(E149))=0</formula>
    </cfRule>
  </conditionalFormatting>
  <conditionalFormatting sqref="F171:F173">
    <cfRule type="cellIs" dxfId="131" priority="22" operator="greaterThan">
      <formula>1</formula>
    </cfRule>
  </conditionalFormatting>
  <conditionalFormatting sqref="D192 D209">
    <cfRule type="cellIs" dxfId="130" priority="21" operator="greaterThan">
      <formula>0</formula>
    </cfRule>
  </conditionalFormatting>
  <conditionalFormatting sqref="E27">
    <cfRule type="cellIs" dxfId="129" priority="48" operator="equal">
      <formula>0</formula>
    </cfRule>
  </conditionalFormatting>
  <conditionalFormatting sqref="D16:E16">
    <cfRule type="containsBlanks" dxfId="128" priority="19">
      <formula>LEN(TRIM(D16))=0</formula>
    </cfRule>
  </conditionalFormatting>
  <conditionalFormatting sqref="E91:E99 E101">
    <cfRule type="notContainsBlanks" dxfId="127" priority="18">
      <formula>LEN(TRIM(E91))&gt;0</formula>
    </cfRule>
  </conditionalFormatting>
  <conditionalFormatting sqref="E103">
    <cfRule type="expression" dxfId="126" priority="16">
      <formula>$D$103&lt;&gt;$G$103</formula>
    </cfRule>
  </conditionalFormatting>
  <conditionalFormatting sqref="E104">
    <cfRule type="expression" dxfId="125" priority="15">
      <formula>$D$104&lt;&gt;$G$104</formula>
    </cfRule>
  </conditionalFormatting>
  <conditionalFormatting sqref="E105:E107">
    <cfRule type="expression" dxfId="124" priority="14">
      <formula>$D$105&lt;&gt;$G$105</formula>
    </cfRule>
  </conditionalFormatting>
  <conditionalFormatting sqref="E150 E158 E162">
    <cfRule type="notContainsBlanks" dxfId="123" priority="12">
      <formula>LEN(TRIM(E150))&gt;0</formula>
    </cfRule>
    <cfRule type="containsBlanks" priority="13">
      <formula>LEN(TRIM(E150))=0</formula>
    </cfRule>
  </conditionalFormatting>
  <conditionalFormatting sqref="F158 F162">
    <cfRule type="cellIs" dxfId="122" priority="11" operator="greaterThan">
      <formula>1</formula>
    </cfRule>
  </conditionalFormatting>
  <conditionalFormatting sqref="D230">
    <cfRule type="cellIs" dxfId="121" priority="10" operator="greaterThan">
      <formula>0</formula>
    </cfRule>
  </conditionalFormatting>
  <conditionalFormatting sqref="E151:E157">
    <cfRule type="notContainsBlanks" dxfId="120" priority="8">
      <formula>LEN(TRIM(E151))&gt;0</formula>
    </cfRule>
    <cfRule type="containsBlanks" priority="9">
      <formula>LEN(TRIM(E151))=0</formula>
    </cfRule>
  </conditionalFormatting>
  <conditionalFormatting sqref="D163">
    <cfRule type="cellIs" dxfId="119" priority="5" operator="greaterThan">
      <formula>0</formula>
    </cfRule>
  </conditionalFormatting>
  <conditionalFormatting sqref="F149:F157">
    <cfRule type="cellIs" dxfId="118" priority="4" operator="greaterThan">
      <formula>1</formula>
    </cfRule>
  </conditionalFormatting>
  <conditionalFormatting sqref="F159:F161">
    <cfRule type="cellIs" dxfId="117" priority="3" operator="greaterThan">
      <formula>1</formula>
    </cfRule>
  </conditionalFormatting>
  <conditionalFormatting sqref="E159:E161">
    <cfRule type="notContainsBlanks" dxfId="116" priority="1">
      <formula>LEN(TRIM(E159))&gt;0</formula>
    </cfRule>
    <cfRule type="containsBlanks" priority="2">
      <formula>LEN(TRIM(E159))=0</formula>
    </cfRule>
  </conditionalFormatting>
  <dataValidations xWindow="1183" yWindow="678" count="13">
    <dataValidation type="list" showInputMessage="1" showErrorMessage="1" prompt="&lt;select Yes / Blank&gt;" sqref="D59:D60 D57 E36" xr:uid="{00000000-0002-0000-0300-000000000000}">
      <formula1>$E$303:$E$304</formula1>
    </dataValidation>
    <dataValidation type="list" showInputMessage="1" showErrorMessage="1" prompt="&lt;select Yes / Blank&gt;" sqref="F62:F64 D63" xr:uid="{00000000-0002-0000-0300-000001000000}">
      <formula1>$G$311:$G$318</formula1>
    </dataValidation>
    <dataValidation type="list" allowBlank="1" showErrorMessage="1" promptTitle="Technology" prompt="Please select which models have been used for this project." sqref="D10" xr:uid="{00000000-0002-0000-0300-000002000000}">
      <formula1>$K$36:$K$39</formula1>
    </dataValidation>
    <dataValidation type="list" allowBlank="1" showErrorMessage="1" promptTitle="Customer Type" sqref="D15:E15" xr:uid="{00000000-0002-0000-0300-000003000000}">
      <formula1>"New Customer, Existing Customer"</formula1>
    </dataValidation>
    <dataValidation type="list" allowBlank="1" showInputMessage="1" showErrorMessage="1" promptTitle="Welcome Pack" prompt="Has the welcome kit been sent to the customer?" sqref="D29:E30" xr:uid="{00000000-0002-0000-0300-000004000000}">
      <formula1>"Completed, Incomplete"</formula1>
    </dataValidation>
    <dataValidation type="list" allowBlank="1" showInputMessage="1" showErrorMessage="1" sqref="D22:E22" xr:uid="{00000000-0002-0000-0300-000005000000}">
      <formula1>"Project Engineer - Please call to discuss, No further information required"</formula1>
    </dataValidation>
    <dataValidation showInputMessage="1" showErrorMessage="1" prompt="&lt;select Yes / Blank&gt;" sqref="E37" xr:uid="{00000000-0002-0000-0300-000006000000}"/>
    <dataValidation allowBlank="1" showInputMessage="1" showErrorMessage="1" promptTitle="Welcome Pack" prompt="Has the customer recieved a welcome pack?" sqref="D27:D28" xr:uid="{00000000-0002-0000-0300-000007000000}"/>
    <dataValidation type="list" allowBlank="1" showInputMessage="1" showErrorMessage="1" sqref="D23:E23" xr:uid="{00000000-0002-0000-0300-000008000000}">
      <formula1>"Yes, No"</formula1>
    </dataValidation>
    <dataValidation type="list" allowBlank="1" showInputMessage="1" showErrorMessage="1" promptTitle="Territory Allocation" prompt="To Split Sales between two territories" sqref="E28" xr:uid="{00000000-0002-0000-0300-000009000000}">
      <formula1>"NAT, NSW N, NSW S, NSW W, QLD S, QLD N, QLD, SA, TAS, VIC E, VIC N, VIC W, WA"</formula1>
    </dataValidation>
    <dataValidation type="list" allowBlank="1" promptTitle="Welcome Pack" sqref="D24:E24" xr:uid="{00000000-0002-0000-0300-00000A000000}">
      <formula1>"Completed, Incomplete"</formula1>
    </dataValidation>
    <dataValidation allowBlank="1" promptTitle="Territory Allocation" prompt="To Split Sales between two territories" sqref="E27" xr:uid="{00000000-0002-0000-0300-00000B000000}"/>
    <dataValidation type="list" allowBlank="1" showInputMessage="1" showErrorMessage="1" sqref="D16:E16" xr:uid="{00000000-0002-0000-0300-00000C000000}">
      <formula1>$E$331:$E$350</formula1>
    </dataValidation>
  </dataValidations>
  <pageMargins left="0.74803149606299213" right="0.74803149606299213" top="0.98425196850393704" bottom="0.98425196850393704" header="0.51181102362204722" footer="0.51181102362204722"/>
  <pageSetup paperSize="9" scale="69" fitToHeight="2" orientation="portrait" horizontalDpi="200" r:id="rId1"/>
  <headerFooter alignWithMargins="0">
    <oddHeader>&amp;F</oddHeader>
    <oddFooter>&amp;L&amp;BMatthews Australasia Pty Ltd Confidential&amp;B&amp;C&amp;D&amp;RPage &amp;P</oddFooter>
  </headerFooter>
  <rowBreaks count="1" manualBreakCount="1">
    <brk id="142" min="1" max="6" man="1"/>
  </rowBreaks>
  <ignoredErrors>
    <ignoredError sqref="D119:D122 D127:D128 D131:D132 D134 D137 E49:E50 F103:F105 E100 D139 C109" unlockedFormula="1"/>
    <ignoredError sqref="D213:D214 D223 D262:D270 F16 D136" evalError="1"/>
    <ignoredError sqref="O38:P38" formula="1"/>
    <ignoredError sqref="D182:D183 D157" numberStoredAsText="1"/>
    <ignoredError sqref="E136 D118 D51" evalError="1" unlockedFormula="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tint="0.39997558519241921"/>
    <pageSetUpPr fitToPage="1"/>
  </sheetPr>
  <dimension ref="A1:I208"/>
  <sheetViews>
    <sheetView showGridLines="0" showRowColHeaders="0" zoomScaleNormal="100" workbookViewId="0">
      <pane ySplit="18" topLeftCell="A19" activePane="bottomLeft" state="frozen"/>
      <selection activeCell="D10" sqref="D10"/>
      <selection pane="bottomLeft" activeCell="D18" sqref="D18"/>
    </sheetView>
  </sheetViews>
  <sheetFormatPr defaultColWidth="8.7109375" defaultRowHeight="12.75" x14ac:dyDescent="0.2"/>
  <cols>
    <col min="1" max="2" width="8.7109375" style="39"/>
    <col min="3" max="3" width="28.5703125" style="39" bestFit="1" customWidth="1"/>
    <col min="4" max="4" width="34.5703125" style="902" customWidth="1"/>
    <col min="5" max="5" width="33.28515625" style="903" customWidth="1"/>
    <col min="6" max="6" width="65.28515625" style="39" customWidth="1"/>
    <col min="7" max="7" width="23.42578125" style="43" bestFit="1" customWidth="1"/>
    <col min="8" max="8" width="15.42578125" style="39" hidden="1" customWidth="1"/>
    <col min="9" max="16384" width="8.7109375" style="39"/>
  </cols>
  <sheetData>
    <row r="1" spans="1:9" x14ac:dyDescent="0.2">
      <c r="A1" s="117"/>
    </row>
    <row r="2" spans="1:9" x14ac:dyDescent="0.2">
      <c r="A2" s="117"/>
    </row>
    <row r="3" spans="1:9" x14ac:dyDescent="0.2">
      <c r="A3" s="117"/>
    </row>
    <row r="7" spans="1:9" x14ac:dyDescent="0.2">
      <c r="B7" s="44"/>
      <c r="C7" s="44"/>
      <c r="D7" s="904"/>
      <c r="E7" s="905"/>
      <c r="F7" s="44"/>
      <c r="G7" s="649"/>
      <c r="H7" s="44"/>
      <c r="I7" s="44"/>
    </row>
    <row r="8" spans="1:9" x14ac:dyDescent="0.2">
      <c r="B8" s="44"/>
      <c r="C8" s="44"/>
      <c r="D8" s="904"/>
      <c r="E8" s="905"/>
      <c r="F8" s="44"/>
      <c r="G8" s="649"/>
      <c r="H8" s="44"/>
      <c r="I8" s="44"/>
    </row>
    <row r="9" spans="1:9" ht="21" thickBot="1" x14ac:dyDescent="0.25">
      <c r="B9" s="44"/>
      <c r="C9" s="1062" t="s">
        <v>1005</v>
      </c>
      <c r="D9" s="1062"/>
      <c r="E9" s="1062"/>
      <c r="F9" s="1062"/>
      <c r="G9" s="1062"/>
      <c r="H9" s="44"/>
      <c r="I9" s="44"/>
    </row>
    <row r="10" spans="1:9" ht="20.25" x14ac:dyDescent="0.2">
      <c r="B10" s="44"/>
      <c r="C10" s="848"/>
      <c r="D10" s="906"/>
      <c r="E10" s="906"/>
      <c r="F10" s="848"/>
      <c r="G10" s="848"/>
      <c r="H10" s="44"/>
      <c r="I10" s="44"/>
    </row>
    <row r="11" spans="1:9" ht="9" hidden="1" customHeight="1" x14ac:dyDescent="0.2">
      <c r="B11" s="44"/>
      <c r="C11" s="44"/>
      <c r="D11" s="904"/>
      <c r="E11" s="905"/>
      <c r="F11" s="44"/>
      <c r="G11" s="649"/>
      <c r="H11" s="44"/>
      <c r="I11" s="44"/>
    </row>
    <row r="12" spans="1:9" hidden="1" x14ac:dyDescent="0.2">
      <c r="B12" s="44"/>
      <c r="C12" s="44"/>
      <c r="D12" s="904"/>
      <c r="E12" s="905"/>
      <c r="F12" s="44"/>
      <c r="G12" s="649"/>
      <c r="H12" s="44"/>
      <c r="I12" s="44"/>
    </row>
    <row r="13" spans="1:9" hidden="1" x14ac:dyDescent="0.2">
      <c r="B13" s="44"/>
      <c r="C13" s="44"/>
      <c r="D13" s="904"/>
      <c r="E13" s="905"/>
      <c r="F13" s="44"/>
      <c r="G13" s="649"/>
      <c r="H13" s="44"/>
      <c r="I13" s="44"/>
    </row>
    <row r="14" spans="1:9" hidden="1" x14ac:dyDescent="0.2">
      <c r="B14" s="44"/>
      <c r="C14" s="44"/>
      <c r="D14" s="904"/>
      <c r="E14" s="905"/>
      <c r="F14" s="44"/>
      <c r="G14" s="649"/>
      <c r="H14" s="44"/>
      <c r="I14" s="44"/>
    </row>
    <row r="15" spans="1:9" s="659" customFormat="1" hidden="1" x14ac:dyDescent="0.2">
      <c r="B15" s="139"/>
      <c r="C15" s="648" t="s">
        <v>1004</v>
      </c>
      <c r="D15" t="s">
        <v>1344</v>
      </c>
      <c r="E15" s="907"/>
      <c r="F15" s="139"/>
      <c r="G15" s="655"/>
      <c r="H15" s="139"/>
      <c r="I15" s="139"/>
    </row>
    <row r="16" spans="1:9" s="659" customFormat="1" hidden="1" x14ac:dyDescent="0.2">
      <c r="B16" s="139"/>
      <c r="C16" s="656" t="s">
        <v>1000</v>
      </c>
      <c r="D16" t="s">
        <v>1084</v>
      </c>
      <c r="E16" s="907"/>
      <c r="F16" s="139"/>
      <c r="G16" s="655"/>
      <c r="H16" s="139"/>
      <c r="I16" s="139"/>
    </row>
    <row r="17" spans="2:9" s="659" customFormat="1" hidden="1" x14ac:dyDescent="0.2">
      <c r="B17" s="139"/>
      <c r="C17" s="139"/>
      <c r="D17" s="908"/>
      <c r="E17" s="907"/>
      <c r="F17" s="139"/>
      <c r="G17" s="655"/>
      <c r="H17" s="139"/>
      <c r="I17" s="139"/>
    </row>
    <row r="18" spans="2:9" s="659" customFormat="1" x14ac:dyDescent="0.2">
      <c r="B18" s="139"/>
      <c r="C18" s="990" t="s">
        <v>1083</v>
      </c>
      <c r="D18" s="991" t="s">
        <v>998</v>
      </c>
      <c r="E18" s="992" t="s">
        <v>997</v>
      </c>
      <c r="F18" s="989" t="s">
        <v>999</v>
      </c>
      <c r="G18" s="993" t="s">
        <v>1006</v>
      </c>
      <c r="H18" s="278" t="s">
        <v>1007</v>
      </c>
      <c r="I18"/>
    </row>
    <row r="19" spans="2:9" x14ac:dyDescent="0.2">
      <c r="B19" s="44"/>
      <c r="C19" t="s">
        <v>157</v>
      </c>
      <c r="D19" s="1" t="s">
        <v>1344</v>
      </c>
      <c r="E19" s="1" t="s">
        <v>1344</v>
      </c>
      <c r="F19" s="93" t="s">
        <v>1344</v>
      </c>
      <c r="G19" s="658"/>
      <c r="H19" s="651"/>
      <c r="I19"/>
    </row>
    <row r="20" spans="2:9" x14ac:dyDescent="0.2">
      <c r="B20" s="44"/>
      <c r="C20" t="s">
        <v>1345</v>
      </c>
      <c r="D20"/>
      <c r="E20"/>
      <c r="F20"/>
      <c r="G20" s="658"/>
      <c r="H20" s="651"/>
      <c r="I20"/>
    </row>
    <row r="21" spans="2:9" x14ac:dyDescent="0.2">
      <c r="B21" s="44"/>
      <c r="C21" s="962" t="s">
        <v>10</v>
      </c>
      <c r="D21" s="962"/>
      <c r="E21" s="962"/>
      <c r="F21" s="962"/>
      <c r="G21" s="658"/>
      <c r="H21" s="651"/>
      <c r="I21"/>
    </row>
    <row r="22" spans="2:9" x14ac:dyDescent="0.2">
      <c r="B22" s="44"/>
      <c r="C22"/>
      <c r="D22"/>
      <c r="E22"/>
      <c r="F22"/>
      <c r="G22"/>
      <c r="H22"/>
      <c r="I22"/>
    </row>
    <row r="23" spans="2:9" x14ac:dyDescent="0.2">
      <c r="B23" s="44"/>
      <c r="C23"/>
      <c r="D23"/>
      <c r="E23"/>
      <c r="F23"/>
      <c r="G23"/>
      <c r="H23"/>
      <c r="I23"/>
    </row>
    <row r="24" spans="2:9" x14ac:dyDescent="0.2">
      <c r="B24" s="44"/>
      <c r="C24"/>
      <c r="D24"/>
      <c r="E24"/>
      <c r="F24"/>
      <c r="G24"/>
      <c r="H24"/>
      <c r="I24"/>
    </row>
    <row r="25" spans="2:9" x14ac:dyDescent="0.2">
      <c r="B25" s="44"/>
      <c r="C25"/>
      <c r="D25"/>
      <c r="E25"/>
      <c r="F25"/>
      <c r="G25"/>
      <c r="H25"/>
      <c r="I25"/>
    </row>
    <row r="26" spans="2:9" x14ac:dyDescent="0.2">
      <c r="B26" s="44"/>
      <c r="C26"/>
      <c r="D26"/>
      <c r="E26"/>
      <c r="F26"/>
      <c r="G26"/>
      <c r="H26"/>
      <c r="I26"/>
    </row>
    <row r="27" spans="2:9" x14ac:dyDescent="0.2">
      <c r="B27" s="44"/>
      <c r="C27"/>
      <c r="D27"/>
      <c r="E27"/>
      <c r="F27"/>
      <c r="G27"/>
      <c r="H27"/>
      <c r="I27"/>
    </row>
    <row r="28" spans="2:9" x14ac:dyDescent="0.2">
      <c r="B28" s="44"/>
      <c r="C28"/>
      <c r="D28"/>
      <c r="E28"/>
      <c r="F28"/>
      <c r="G28"/>
      <c r="H28"/>
      <c r="I28"/>
    </row>
    <row r="29" spans="2:9" x14ac:dyDescent="0.2">
      <c r="B29" s="44"/>
      <c r="C29"/>
      <c r="D29"/>
      <c r="E29"/>
      <c r="F29"/>
      <c r="G29"/>
      <c r="H29"/>
      <c r="I29"/>
    </row>
    <row r="30" spans="2:9" x14ac:dyDescent="0.2">
      <c r="B30" s="44"/>
      <c r="C30"/>
      <c r="D30"/>
      <c r="E30"/>
      <c r="F30"/>
      <c r="G30"/>
      <c r="H30"/>
      <c r="I30"/>
    </row>
    <row r="31" spans="2:9" x14ac:dyDescent="0.2">
      <c r="B31" s="44"/>
      <c r="C31"/>
      <c r="D31"/>
      <c r="E31"/>
      <c r="F31"/>
      <c r="G31"/>
      <c r="H31"/>
      <c r="I31"/>
    </row>
    <row r="32" spans="2:9" x14ac:dyDescent="0.2">
      <c r="B32" s="44"/>
      <c r="C32"/>
      <c r="D32"/>
      <c r="E32"/>
      <c r="F32"/>
      <c r="G32"/>
      <c r="H32"/>
      <c r="I32"/>
    </row>
    <row r="33" spans="2:9" x14ac:dyDescent="0.2">
      <c r="B33" s="44"/>
      <c r="C33"/>
      <c r="D33"/>
      <c r="E33"/>
      <c r="F33"/>
      <c r="G33"/>
      <c r="H33"/>
      <c r="I33"/>
    </row>
    <row r="34" spans="2:9" x14ac:dyDescent="0.2">
      <c r="B34" s="44"/>
      <c r="C34"/>
      <c r="D34"/>
      <c r="E34"/>
      <c r="F34"/>
      <c r="G34"/>
      <c r="H34"/>
      <c r="I34"/>
    </row>
    <row r="35" spans="2:9" x14ac:dyDescent="0.2">
      <c r="B35" s="44"/>
      <c r="C35"/>
      <c r="D35"/>
      <c r="E35"/>
      <c r="F35"/>
      <c r="G35"/>
      <c r="H35"/>
      <c r="I35"/>
    </row>
    <row r="36" spans="2:9" x14ac:dyDescent="0.2">
      <c r="B36" s="44"/>
      <c r="C36"/>
      <c r="D36"/>
      <c r="E36"/>
      <c r="F36"/>
      <c r="G36"/>
      <c r="H36"/>
      <c r="I36"/>
    </row>
    <row r="37" spans="2:9" x14ac:dyDescent="0.2">
      <c r="B37" s="44"/>
      <c r="C37"/>
      <c r="D37"/>
      <c r="E37"/>
      <c r="F37"/>
      <c r="G37"/>
      <c r="H37"/>
      <c r="I37"/>
    </row>
    <row r="38" spans="2:9" x14ac:dyDescent="0.2">
      <c r="B38" s="44"/>
      <c r="C38"/>
      <c r="D38"/>
      <c r="E38"/>
      <c r="F38"/>
      <c r="G38"/>
      <c r="H38"/>
      <c r="I38"/>
    </row>
    <row r="39" spans="2:9" x14ac:dyDescent="0.2">
      <c r="B39" s="44"/>
      <c r="C39"/>
      <c r="D39"/>
      <c r="E39"/>
      <c r="F39"/>
      <c r="G39"/>
      <c r="H39"/>
      <c r="I39"/>
    </row>
    <row r="40" spans="2:9" x14ac:dyDescent="0.2">
      <c r="B40" s="44"/>
      <c r="C40"/>
      <c r="D40"/>
      <c r="E40"/>
      <c r="F40"/>
      <c r="G40"/>
      <c r="H40"/>
      <c r="I40"/>
    </row>
    <row r="41" spans="2:9" x14ac:dyDescent="0.2">
      <c r="B41" s="44"/>
      <c r="C41"/>
      <c r="D41"/>
      <c r="E41"/>
      <c r="F41"/>
      <c r="G41"/>
      <c r="H41"/>
      <c r="I41"/>
    </row>
    <row r="42" spans="2:9" x14ac:dyDescent="0.2">
      <c r="B42" s="44"/>
      <c r="C42"/>
      <c r="D42"/>
      <c r="E42"/>
      <c r="F42"/>
      <c r="G42"/>
      <c r="H42"/>
      <c r="I42"/>
    </row>
    <row r="43" spans="2:9" x14ac:dyDescent="0.2">
      <c r="B43" s="44"/>
      <c r="C43"/>
      <c r="D43"/>
      <c r="E43"/>
      <c r="F43"/>
      <c r="G43"/>
      <c r="H43"/>
      <c r="I43"/>
    </row>
    <row r="44" spans="2:9" x14ac:dyDescent="0.2">
      <c r="B44" s="44"/>
      <c r="C44"/>
      <c r="D44"/>
      <c r="E44"/>
      <c r="F44"/>
      <c r="G44"/>
      <c r="H44"/>
      <c r="I44"/>
    </row>
    <row r="45" spans="2:9" x14ac:dyDescent="0.2">
      <c r="B45" s="44"/>
      <c r="C45"/>
      <c r="D45"/>
      <c r="E45"/>
      <c r="F45"/>
      <c r="G45"/>
      <c r="H45"/>
      <c r="I45"/>
    </row>
    <row r="46" spans="2:9" x14ac:dyDescent="0.2">
      <c r="B46" s="44"/>
      <c r="C46"/>
      <c r="D46"/>
      <c r="E46"/>
      <c r="F46"/>
      <c r="G46"/>
      <c r="H46"/>
      <c r="I46"/>
    </row>
    <row r="47" spans="2:9" x14ac:dyDescent="0.2">
      <c r="B47" s="44"/>
      <c r="C47"/>
      <c r="D47"/>
      <c r="E47"/>
      <c r="F47"/>
      <c r="G47"/>
      <c r="H47"/>
      <c r="I47"/>
    </row>
    <row r="48" spans="2:9" x14ac:dyDescent="0.2">
      <c r="B48" s="44"/>
      <c r="C48"/>
      <c r="D48"/>
      <c r="E48"/>
      <c r="F48"/>
      <c r="G48"/>
      <c r="H48"/>
      <c r="I48"/>
    </row>
    <row r="49" spans="2:9" x14ac:dyDescent="0.2">
      <c r="B49" s="44"/>
      <c r="C49"/>
      <c r="D49"/>
      <c r="E49"/>
      <c r="F49"/>
      <c r="G49"/>
      <c r="H49"/>
      <c r="I49" s="44"/>
    </row>
    <row r="50" spans="2:9" x14ac:dyDescent="0.2">
      <c r="B50" s="44"/>
      <c r="C50"/>
      <c r="D50"/>
      <c r="E50"/>
      <c r="F50"/>
      <c r="G50"/>
      <c r="H50"/>
      <c r="I50" s="44"/>
    </row>
    <row r="51" spans="2:9" x14ac:dyDescent="0.2">
      <c r="B51" s="44"/>
      <c r="C51"/>
      <c r="D51"/>
      <c r="E51"/>
      <c r="F51"/>
      <c r="G51"/>
      <c r="H51"/>
      <c r="I51" s="44"/>
    </row>
    <row r="52" spans="2:9" x14ac:dyDescent="0.2">
      <c r="B52" s="44"/>
      <c r="C52"/>
      <c r="D52"/>
      <c r="E52"/>
      <c r="F52"/>
      <c r="G52"/>
      <c r="H52"/>
      <c r="I52" s="44"/>
    </row>
    <row r="53" spans="2:9" x14ac:dyDescent="0.2">
      <c r="B53" s="44"/>
      <c r="C53"/>
      <c r="D53"/>
      <c r="E53"/>
      <c r="F53"/>
      <c r="G53"/>
      <c r="H53"/>
      <c r="I53" s="44"/>
    </row>
    <row r="54" spans="2:9" x14ac:dyDescent="0.2">
      <c r="B54" s="44"/>
      <c r="C54"/>
      <c r="D54"/>
      <c r="E54"/>
      <c r="F54"/>
      <c r="G54"/>
      <c r="H54"/>
      <c r="I54" s="44"/>
    </row>
    <row r="55" spans="2:9" x14ac:dyDescent="0.2">
      <c r="B55" s="44"/>
      <c r="C55"/>
      <c r="D55"/>
      <c r="E55"/>
      <c r="F55"/>
      <c r="G55"/>
      <c r="H55"/>
      <c r="I55" s="44"/>
    </row>
    <row r="56" spans="2:9" x14ac:dyDescent="0.2">
      <c r="B56" s="44"/>
      <c r="C56"/>
      <c r="D56"/>
      <c r="E56"/>
      <c r="F56"/>
      <c r="G56"/>
      <c r="H56"/>
      <c r="I56" s="44"/>
    </row>
    <row r="57" spans="2:9" x14ac:dyDescent="0.2">
      <c r="B57" s="44"/>
      <c r="C57"/>
      <c r="D57"/>
      <c r="E57"/>
      <c r="F57"/>
      <c r="G57"/>
      <c r="H57"/>
      <c r="I57" s="44"/>
    </row>
    <row r="58" spans="2:9" x14ac:dyDescent="0.2">
      <c r="B58" s="44"/>
      <c r="C58"/>
      <c r="D58"/>
      <c r="E58"/>
      <c r="F58"/>
      <c r="G58"/>
      <c r="H58"/>
      <c r="I58" s="44"/>
    </row>
    <row r="59" spans="2:9" x14ac:dyDescent="0.2">
      <c r="B59" s="44"/>
      <c r="C59"/>
      <c r="D59"/>
      <c r="E59"/>
      <c r="F59"/>
      <c r="G59"/>
      <c r="H59"/>
      <c r="I59" s="44"/>
    </row>
    <row r="60" spans="2:9" x14ac:dyDescent="0.2">
      <c r="B60" s="44"/>
      <c r="C60"/>
      <c r="D60"/>
      <c r="E60"/>
      <c r="F60"/>
      <c r="G60"/>
      <c r="H60"/>
      <c r="I60" s="44"/>
    </row>
    <row r="61" spans="2:9" x14ac:dyDescent="0.2">
      <c r="B61" s="44"/>
      <c r="C61"/>
      <c r="D61"/>
      <c r="E61"/>
      <c r="F61"/>
      <c r="G61"/>
      <c r="H61"/>
      <c r="I61" s="44"/>
    </row>
    <row r="62" spans="2:9" x14ac:dyDescent="0.2">
      <c r="B62" s="44"/>
      <c r="C62"/>
      <c r="D62"/>
      <c r="E62"/>
      <c r="F62"/>
      <c r="G62"/>
      <c r="H62"/>
      <c r="I62" s="44"/>
    </row>
    <row r="63" spans="2:9" x14ac:dyDescent="0.2">
      <c r="B63" s="44"/>
      <c r="C63"/>
      <c r="D63"/>
      <c r="E63"/>
      <c r="F63"/>
      <c r="G63"/>
      <c r="H63"/>
      <c r="I63" s="44"/>
    </row>
    <row r="64" spans="2:9" x14ac:dyDescent="0.2">
      <c r="B64" s="44"/>
      <c r="C64"/>
      <c r="D64"/>
      <c r="E64"/>
      <c r="F64"/>
      <c r="G64"/>
      <c r="H64"/>
      <c r="I64" s="44"/>
    </row>
    <row r="65" spans="2:9" x14ac:dyDescent="0.2">
      <c r="B65" s="44"/>
      <c r="C65"/>
      <c r="D65"/>
      <c r="E65"/>
      <c r="F65"/>
      <c r="G65"/>
      <c r="H65"/>
      <c r="I65" s="44"/>
    </row>
    <row r="66" spans="2:9" x14ac:dyDescent="0.2">
      <c r="B66" s="44"/>
      <c r="C66"/>
      <c r="D66"/>
      <c r="E66"/>
      <c r="F66"/>
      <c r="G66"/>
      <c r="H66"/>
      <c r="I66" s="44"/>
    </row>
    <row r="67" spans="2:9" x14ac:dyDescent="0.2">
      <c r="B67" s="44"/>
      <c r="C67"/>
      <c r="D67"/>
      <c r="E67"/>
      <c r="F67"/>
      <c r="G67"/>
      <c r="H67"/>
      <c r="I67" s="44"/>
    </row>
    <row r="68" spans="2:9" x14ac:dyDescent="0.2">
      <c r="B68" s="44"/>
      <c r="C68"/>
      <c r="D68"/>
      <c r="E68"/>
      <c r="F68"/>
      <c r="G68"/>
      <c r="H68"/>
      <c r="I68" s="44"/>
    </row>
    <row r="69" spans="2:9" x14ac:dyDescent="0.2">
      <c r="B69" s="44"/>
      <c r="C69"/>
      <c r="D69"/>
      <c r="E69"/>
      <c r="F69"/>
      <c r="G69"/>
      <c r="H69"/>
      <c r="I69" s="44"/>
    </row>
    <row r="70" spans="2:9" x14ac:dyDescent="0.2">
      <c r="B70" s="44"/>
      <c r="C70"/>
      <c r="D70"/>
      <c r="E70"/>
      <c r="F70"/>
      <c r="G70"/>
      <c r="H70"/>
      <c r="I70" s="44"/>
    </row>
    <row r="71" spans="2:9" x14ac:dyDescent="0.2">
      <c r="B71" s="44"/>
      <c r="C71"/>
      <c r="D71"/>
      <c r="E71"/>
      <c r="F71"/>
      <c r="G71"/>
      <c r="H71"/>
      <c r="I71" s="44"/>
    </row>
    <row r="72" spans="2:9" x14ac:dyDescent="0.2">
      <c r="B72" s="44"/>
      <c r="C72"/>
      <c r="D72"/>
      <c r="E72"/>
      <c r="F72"/>
      <c r="G72"/>
      <c r="H72"/>
      <c r="I72" s="44"/>
    </row>
    <row r="73" spans="2:9" x14ac:dyDescent="0.2">
      <c r="B73" s="44"/>
      <c r="C73"/>
      <c r="D73"/>
      <c r="E73"/>
      <c r="F73"/>
      <c r="G73"/>
      <c r="H73"/>
      <c r="I73" s="44"/>
    </row>
    <row r="74" spans="2:9" x14ac:dyDescent="0.2">
      <c r="B74" s="44"/>
      <c r="C74"/>
      <c r="D74"/>
      <c r="E74"/>
      <c r="F74"/>
      <c r="G74"/>
      <c r="H74"/>
      <c r="I74" s="44"/>
    </row>
    <row r="75" spans="2:9" x14ac:dyDescent="0.2">
      <c r="B75" s="44"/>
      <c r="C75"/>
      <c r="D75"/>
      <c r="E75"/>
      <c r="F75"/>
      <c r="G75"/>
      <c r="H75"/>
      <c r="I75" s="44"/>
    </row>
    <row r="76" spans="2:9" x14ac:dyDescent="0.2">
      <c r="B76" s="44"/>
      <c r="C76"/>
      <c r="D76"/>
      <c r="E76"/>
      <c r="F76"/>
      <c r="G76"/>
      <c r="H76"/>
      <c r="I76" s="44"/>
    </row>
    <row r="77" spans="2:9" x14ac:dyDescent="0.2">
      <c r="B77" s="44"/>
      <c r="C77"/>
      <c r="D77"/>
      <c r="E77"/>
      <c r="F77"/>
      <c r="G77"/>
      <c r="H77"/>
      <c r="I77" s="44"/>
    </row>
    <row r="78" spans="2:9" x14ac:dyDescent="0.2">
      <c r="B78" s="44"/>
      <c r="C78"/>
      <c r="D78"/>
      <c r="E78"/>
      <c r="F78"/>
      <c r="G78"/>
      <c r="H78"/>
      <c r="I78" s="44"/>
    </row>
    <row r="79" spans="2:9" x14ac:dyDescent="0.2">
      <c r="B79" s="44"/>
      <c r="C79"/>
      <c r="D79"/>
      <c r="E79"/>
      <c r="F79"/>
      <c r="G79"/>
      <c r="H79"/>
      <c r="I79" s="44"/>
    </row>
    <row r="80" spans="2:9" x14ac:dyDescent="0.2">
      <c r="B80" s="44"/>
      <c r="C80"/>
      <c r="D80"/>
      <c r="E80"/>
      <c r="F80"/>
      <c r="G80"/>
      <c r="H80"/>
      <c r="I80" s="44"/>
    </row>
    <row r="81" spans="2:9" x14ac:dyDescent="0.2">
      <c r="B81" s="44"/>
      <c r="C81"/>
      <c r="D81"/>
      <c r="E81"/>
      <c r="F81"/>
      <c r="G81"/>
      <c r="H81"/>
      <c r="I81" s="44"/>
    </row>
    <row r="82" spans="2:9" x14ac:dyDescent="0.2">
      <c r="B82" s="44"/>
      <c r="C82"/>
      <c r="D82"/>
      <c r="E82"/>
      <c r="F82"/>
      <c r="G82"/>
      <c r="H82"/>
      <c r="I82" s="44"/>
    </row>
    <row r="83" spans="2:9" x14ac:dyDescent="0.2">
      <c r="B83" s="44"/>
      <c r="C83"/>
      <c r="D83"/>
      <c r="E83"/>
      <c r="F83"/>
      <c r="G83"/>
      <c r="H83"/>
      <c r="I83" s="44"/>
    </row>
    <row r="84" spans="2:9" x14ac:dyDescent="0.2">
      <c r="B84" s="44"/>
      <c r="C84"/>
      <c r="D84"/>
      <c r="E84"/>
      <c r="F84"/>
      <c r="G84"/>
      <c r="H84"/>
      <c r="I84" s="44"/>
    </row>
    <row r="85" spans="2:9" x14ac:dyDescent="0.2">
      <c r="B85" s="44"/>
      <c r="C85"/>
      <c r="D85"/>
      <c r="E85"/>
      <c r="F85"/>
      <c r="G85"/>
      <c r="H85"/>
      <c r="I85" s="44"/>
    </row>
    <row r="86" spans="2:9" x14ac:dyDescent="0.2">
      <c r="B86" s="44"/>
      <c r="C86"/>
      <c r="D86"/>
      <c r="E86"/>
      <c r="F86"/>
      <c r="G86"/>
      <c r="H86"/>
      <c r="I86" s="44"/>
    </row>
    <row r="87" spans="2:9" x14ac:dyDescent="0.2">
      <c r="B87" s="44"/>
      <c r="C87"/>
      <c r="D87"/>
      <c r="E87"/>
      <c r="F87"/>
      <c r="G87"/>
      <c r="H87"/>
      <c r="I87" s="44"/>
    </row>
    <row r="88" spans="2:9" x14ac:dyDescent="0.2">
      <c r="B88" s="44"/>
      <c r="C88"/>
      <c r="D88"/>
      <c r="E88"/>
      <c r="F88"/>
      <c r="G88"/>
      <c r="H88"/>
      <c r="I88" s="44"/>
    </row>
    <row r="89" spans="2:9" x14ac:dyDescent="0.2">
      <c r="B89" s="44"/>
      <c r="C89"/>
      <c r="D89"/>
      <c r="E89"/>
      <c r="F89"/>
      <c r="G89"/>
      <c r="H89"/>
      <c r="I89" s="44"/>
    </row>
    <row r="90" spans="2:9" x14ac:dyDescent="0.2">
      <c r="B90" s="44"/>
      <c r="C90"/>
      <c r="D90"/>
      <c r="E90"/>
      <c r="F90"/>
      <c r="G90"/>
      <c r="H90"/>
      <c r="I90" s="44"/>
    </row>
    <row r="91" spans="2:9" x14ac:dyDescent="0.2">
      <c r="B91" s="44"/>
      <c r="C91"/>
      <c r="D91"/>
      <c r="E91"/>
      <c r="F91"/>
      <c r="G91"/>
      <c r="H91"/>
      <c r="I91" s="44"/>
    </row>
    <row r="92" spans="2:9" x14ac:dyDescent="0.2">
      <c r="B92" s="44"/>
      <c r="C92"/>
      <c r="D92"/>
      <c r="E92"/>
      <c r="F92"/>
      <c r="G92"/>
      <c r="H92"/>
      <c r="I92" s="44"/>
    </row>
    <row r="93" spans="2:9" x14ac:dyDescent="0.2">
      <c r="B93" s="44"/>
      <c r="C93"/>
      <c r="D93"/>
      <c r="E93"/>
      <c r="F93"/>
      <c r="G93"/>
      <c r="H93"/>
      <c r="I93" s="44"/>
    </row>
    <row r="94" spans="2:9" x14ac:dyDescent="0.2">
      <c r="B94" s="44"/>
      <c r="C94"/>
      <c r="D94"/>
      <c r="E94"/>
      <c r="F94"/>
      <c r="G94"/>
      <c r="H94"/>
      <c r="I94" s="44"/>
    </row>
    <row r="95" spans="2:9" x14ac:dyDescent="0.2">
      <c r="B95" s="44"/>
      <c r="C95"/>
      <c r="D95"/>
      <c r="E95"/>
      <c r="F95"/>
      <c r="G95"/>
      <c r="H95"/>
      <c r="I95" s="44"/>
    </row>
    <row r="96" spans="2:9" x14ac:dyDescent="0.2">
      <c r="B96" s="44"/>
      <c r="C96"/>
      <c r="D96"/>
      <c r="E96"/>
      <c r="F96"/>
      <c r="G96"/>
      <c r="H96"/>
      <c r="I96" s="44"/>
    </row>
    <row r="97" spans="2:9" x14ac:dyDescent="0.2">
      <c r="B97" s="44"/>
      <c r="C97"/>
      <c r="D97"/>
      <c r="E97"/>
      <c r="F97"/>
      <c r="G97"/>
      <c r="H97"/>
      <c r="I97" s="44"/>
    </row>
    <row r="98" spans="2:9" x14ac:dyDescent="0.2">
      <c r="B98" s="44"/>
      <c r="C98"/>
      <c r="D98"/>
      <c r="E98"/>
      <c r="F98"/>
      <c r="G98"/>
      <c r="H98"/>
      <c r="I98" s="44"/>
    </row>
    <row r="99" spans="2:9" x14ac:dyDescent="0.2">
      <c r="B99" s="44"/>
      <c r="C99"/>
      <c r="D99"/>
      <c r="E99"/>
      <c r="F99"/>
      <c r="G99"/>
      <c r="H99"/>
      <c r="I99" s="44"/>
    </row>
    <row r="100" spans="2:9" x14ac:dyDescent="0.2">
      <c r="B100" s="44"/>
      <c r="C100"/>
      <c r="D100"/>
      <c r="E100"/>
      <c r="F100"/>
      <c r="G100"/>
      <c r="H100"/>
      <c r="I100" s="44"/>
    </row>
    <row r="101" spans="2:9" x14ac:dyDescent="0.2">
      <c r="B101" s="44"/>
      <c r="C101"/>
      <c r="D101"/>
      <c r="E101"/>
      <c r="F101"/>
      <c r="G101"/>
      <c r="H101"/>
      <c r="I101" s="44"/>
    </row>
    <row r="102" spans="2:9" x14ac:dyDescent="0.2">
      <c r="B102" s="44"/>
      <c r="C102"/>
      <c r="D102"/>
      <c r="E102"/>
      <c r="F102"/>
      <c r="G102"/>
      <c r="H102"/>
      <c r="I102" s="44"/>
    </row>
    <row r="103" spans="2:9" x14ac:dyDescent="0.2">
      <c r="B103" s="44"/>
      <c r="C103"/>
      <c r="D103"/>
      <c r="E103"/>
      <c r="F103"/>
      <c r="G103"/>
      <c r="H103"/>
      <c r="I103" s="44"/>
    </row>
    <row r="104" spans="2:9" x14ac:dyDescent="0.2">
      <c r="C104"/>
      <c r="D104"/>
      <c r="E104"/>
      <c r="F104"/>
      <c r="G104"/>
      <c r="H104"/>
    </row>
    <row r="105" spans="2:9" x14ac:dyDescent="0.2">
      <c r="C105"/>
      <c r="D105"/>
      <c r="E105"/>
      <c r="F105"/>
      <c r="G105"/>
      <c r="H105"/>
    </row>
    <row r="106" spans="2:9" x14ac:dyDescent="0.2">
      <c r="C106"/>
      <c r="D106"/>
      <c r="E106"/>
      <c r="F106"/>
      <c r="G106"/>
      <c r="H106"/>
    </row>
    <row r="107" spans="2:9" x14ac:dyDescent="0.2">
      <c r="C107"/>
      <c r="D107"/>
      <c r="E107"/>
      <c r="F107"/>
      <c r="G107"/>
      <c r="H107"/>
    </row>
    <row r="108" spans="2:9" x14ac:dyDescent="0.2">
      <c r="C108"/>
      <c r="D108"/>
      <c r="E108"/>
      <c r="F108"/>
      <c r="G108"/>
      <c r="H108"/>
    </row>
    <row r="109" spans="2:9" x14ac:dyDescent="0.2">
      <c r="C109"/>
      <c r="D109"/>
      <c r="E109"/>
      <c r="F109"/>
      <c r="G109"/>
      <c r="H109"/>
    </row>
    <row r="110" spans="2:9" x14ac:dyDescent="0.2">
      <c r="C110"/>
      <c r="D110"/>
      <c r="E110"/>
      <c r="F110"/>
      <c r="G110"/>
      <c r="H110"/>
    </row>
    <row r="111" spans="2:9" x14ac:dyDescent="0.2">
      <c r="C111"/>
      <c r="D111"/>
      <c r="E111"/>
      <c r="F111"/>
      <c r="G111"/>
      <c r="H111"/>
    </row>
    <row r="112" spans="2:9" x14ac:dyDescent="0.2">
      <c r="C112"/>
      <c r="D112"/>
      <c r="E112"/>
      <c r="F112"/>
      <c r="G112"/>
      <c r="H112"/>
    </row>
    <row r="113" spans="3:8" x14ac:dyDescent="0.2">
      <c r="C113"/>
      <c r="D113"/>
      <c r="E113"/>
      <c r="F113"/>
      <c r="G113"/>
      <c r="H113"/>
    </row>
    <row r="114" spans="3:8" x14ac:dyDescent="0.2">
      <c r="C114"/>
      <c r="D114"/>
      <c r="E114"/>
      <c r="F114"/>
      <c r="G114"/>
      <c r="H114"/>
    </row>
    <row r="115" spans="3:8" x14ac:dyDescent="0.2">
      <c r="C115"/>
      <c r="D115"/>
      <c r="E115"/>
      <c r="F115"/>
      <c r="G115"/>
      <c r="H115"/>
    </row>
    <row r="116" spans="3:8" x14ac:dyDescent="0.2">
      <c r="C116"/>
      <c r="D116"/>
      <c r="E116"/>
      <c r="F116"/>
      <c r="G116"/>
      <c r="H116"/>
    </row>
    <row r="117" spans="3:8" x14ac:dyDescent="0.2">
      <c r="C117"/>
      <c r="D117"/>
      <c r="E117"/>
      <c r="F117"/>
      <c r="G117"/>
      <c r="H117"/>
    </row>
    <row r="118" spans="3:8" x14ac:dyDescent="0.2">
      <c r="C118"/>
      <c r="D118"/>
      <c r="E118"/>
      <c r="F118"/>
      <c r="G118"/>
      <c r="H118"/>
    </row>
    <row r="119" spans="3:8" x14ac:dyDescent="0.2">
      <c r="C119"/>
      <c r="D119"/>
      <c r="E119"/>
      <c r="F119"/>
      <c r="G119"/>
      <c r="H119"/>
    </row>
    <row r="120" spans="3:8" x14ac:dyDescent="0.2">
      <c r="C120"/>
      <c r="D120"/>
      <c r="E120"/>
      <c r="F120"/>
      <c r="G120"/>
      <c r="H120"/>
    </row>
    <row r="121" spans="3:8" x14ac:dyDescent="0.2">
      <c r="C121"/>
      <c r="D121"/>
      <c r="E121"/>
      <c r="F121"/>
      <c r="G121"/>
      <c r="H121"/>
    </row>
    <row r="122" spans="3:8" x14ac:dyDescent="0.2">
      <c r="C122"/>
      <c r="D122"/>
      <c r="E122"/>
      <c r="F122"/>
      <c r="G122"/>
      <c r="H122"/>
    </row>
    <row r="123" spans="3:8" x14ac:dyDescent="0.2">
      <c r="C123"/>
      <c r="D123"/>
      <c r="E123"/>
      <c r="F123"/>
      <c r="G123"/>
      <c r="H123"/>
    </row>
    <row r="124" spans="3:8" x14ac:dyDescent="0.2">
      <c r="C124"/>
      <c r="D124"/>
      <c r="E124"/>
      <c r="F124"/>
      <c r="G124"/>
      <c r="H124"/>
    </row>
    <row r="125" spans="3:8" x14ac:dyDescent="0.2">
      <c r="C125"/>
      <c r="D125"/>
      <c r="E125"/>
      <c r="F125"/>
      <c r="G125"/>
      <c r="H125"/>
    </row>
    <row r="126" spans="3:8" x14ac:dyDescent="0.2">
      <c r="C126"/>
      <c r="D126"/>
      <c r="E126"/>
      <c r="F126"/>
      <c r="G126"/>
      <c r="H126"/>
    </row>
    <row r="127" spans="3:8" x14ac:dyDescent="0.2">
      <c r="C127"/>
      <c r="D127"/>
      <c r="E127"/>
      <c r="F127"/>
      <c r="G127"/>
      <c r="H127"/>
    </row>
    <row r="128" spans="3:8" x14ac:dyDescent="0.2">
      <c r="C128"/>
      <c r="D128"/>
      <c r="E128"/>
      <c r="F128"/>
      <c r="G128"/>
      <c r="H128"/>
    </row>
    <row r="129" spans="3:8" x14ac:dyDescent="0.2">
      <c r="C129"/>
      <c r="D129"/>
      <c r="E129"/>
      <c r="F129"/>
      <c r="G129"/>
      <c r="H129"/>
    </row>
    <row r="130" spans="3:8" x14ac:dyDescent="0.2">
      <c r="C130"/>
      <c r="D130"/>
      <c r="E130"/>
      <c r="F130"/>
      <c r="G130"/>
      <c r="H130"/>
    </row>
    <row r="131" spans="3:8" x14ac:dyDescent="0.2">
      <c r="C131"/>
      <c r="D131"/>
      <c r="E131"/>
      <c r="F131"/>
      <c r="G131"/>
      <c r="H131"/>
    </row>
    <row r="132" spans="3:8" x14ac:dyDescent="0.2">
      <c r="C132"/>
      <c r="D132"/>
      <c r="E132"/>
      <c r="F132"/>
      <c r="G132"/>
      <c r="H132"/>
    </row>
    <row r="133" spans="3:8" x14ac:dyDescent="0.2">
      <c r="C133"/>
      <c r="D133"/>
      <c r="E133"/>
      <c r="F133"/>
      <c r="G133"/>
      <c r="H133"/>
    </row>
    <row r="134" spans="3:8" x14ac:dyDescent="0.2">
      <c r="C134"/>
      <c r="D134"/>
      <c r="E134"/>
      <c r="F134"/>
      <c r="G134"/>
      <c r="H134"/>
    </row>
    <row r="135" spans="3:8" x14ac:dyDescent="0.2">
      <c r="C135"/>
      <c r="D135"/>
      <c r="E135"/>
      <c r="F135"/>
      <c r="G135"/>
      <c r="H135"/>
    </row>
    <row r="136" spans="3:8" x14ac:dyDescent="0.2">
      <c r="C136"/>
      <c r="D136"/>
      <c r="E136"/>
      <c r="F136"/>
      <c r="G136"/>
      <c r="H136"/>
    </row>
    <row r="137" spans="3:8" x14ac:dyDescent="0.2">
      <c r="C137"/>
      <c r="D137"/>
      <c r="E137"/>
      <c r="F137"/>
      <c r="G137"/>
      <c r="H137"/>
    </row>
    <row r="138" spans="3:8" x14ac:dyDescent="0.2">
      <c r="C138"/>
      <c r="D138"/>
      <c r="E138"/>
      <c r="F138"/>
      <c r="G138"/>
      <c r="H138"/>
    </row>
    <row r="139" spans="3:8" x14ac:dyDescent="0.2">
      <c r="C139"/>
      <c r="D139"/>
      <c r="E139"/>
      <c r="F139"/>
      <c r="G139"/>
      <c r="H139"/>
    </row>
    <row r="140" spans="3:8" x14ac:dyDescent="0.2">
      <c r="C140"/>
      <c r="D140"/>
      <c r="E140"/>
      <c r="F140"/>
      <c r="G140"/>
      <c r="H140"/>
    </row>
    <row r="141" spans="3:8" x14ac:dyDescent="0.2">
      <c r="C141"/>
      <c r="D141"/>
      <c r="E141"/>
      <c r="F141"/>
      <c r="G141"/>
      <c r="H141"/>
    </row>
    <row r="142" spans="3:8" x14ac:dyDescent="0.2">
      <c r="C142"/>
      <c r="D142"/>
      <c r="E142"/>
      <c r="F142"/>
      <c r="G142"/>
      <c r="H142"/>
    </row>
    <row r="143" spans="3:8" x14ac:dyDescent="0.2">
      <c r="C143"/>
      <c r="D143"/>
      <c r="E143"/>
      <c r="F143"/>
      <c r="G143"/>
      <c r="H143"/>
    </row>
    <row r="144" spans="3:8" x14ac:dyDescent="0.2">
      <c r="C144"/>
      <c r="D144"/>
      <c r="E144"/>
      <c r="F144"/>
      <c r="G144"/>
      <c r="H144"/>
    </row>
    <row r="145" spans="3:8" x14ac:dyDescent="0.2">
      <c r="C145"/>
      <c r="D145"/>
      <c r="E145"/>
      <c r="F145"/>
      <c r="G145"/>
      <c r="H145"/>
    </row>
    <row r="146" spans="3:8" x14ac:dyDescent="0.2">
      <c r="C146"/>
      <c r="D146"/>
      <c r="E146"/>
      <c r="F146"/>
      <c r="G146"/>
      <c r="H146"/>
    </row>
    <row r="147" spans="3:8" x14ac:dyDescent="0.2">
      <c r="C147"/>
      <c r="D147"/>
      <c r="E147"/>
      <c r="F147"/>
      <c r="G147"/>
      <c r="H147"/>
    </row>
    <row r="148" spans="3:8" x14ac:dyDescent="0.2">
      <c r="C148"/>
      <c r="D148"/>
      <c r="E148"/>
      <c r="F148"/>
      <c r="G148"/>
      <c r="H148"/>
    </row>
    <row r="149" spans="3:8" x14ac:dyDescent="0.2">
      <c r="C149"/>
      <c r="D149"/>
      <c r="E149"/>
      <c r="F149"/>
      <c r="G149"/>
      <c r="H149"/>
    </row>
    <row r="150" spans="3:8" x14ac:dyDescent="0.2">
      <c r="C150"/>
      <c r="D150"/>
      <c r="E150"/>
      <c r="F150"/>
      <c r="G150"/>
      <c r="H150"/>
    </row>
    <row r="151" spans="3:8" x14ac:dyDescent="0.2">
      <c r="C151"/>
      <c r="D151"/>
      <c r="E151"/>
      <c r="F151"/>
      <c r="G151"/>
      <c r="H151"/>
    </row>
    <row r="152" spans="3:8" x14ac:dyDescent="0.2">
      <c r="C152"/>
      <c r="D152"/>
      <c r="E152"/>
      <c r="F152"/>
      <c r="G152"/>
      <c r="H152"/>
    </row>
    <row r="153" spans="3:8" x14ac:dyDescent="0.2">
      <c r="C153"/>
      <c r="D153"/>
      <c r="E153"/>
      <c r="F153"/>
      <c r="G153"/>
      <c r="H153"/>
    </row>
    <row r="154" spans="3:8" x14ac:dyDescent="0.2">
      <c r="C154"/>
      <c r="D154"/>
      <c r="E154"/>
      <c r="F154"/>
      <c r="G154"/>
      <c r="H154"/>
    </row>
    <row r="155" spans="3:8" x14ac:dyDescent="0.2">
      <c r="C155"/>
      <c r="D155"/>
      <c r="E155"/>
      <c r="F155"/>
      <c r="G155"/>
      <c r="H155"/>
    </row>
    <row r="156" spans="3:8" x14ac:dyDescent="0.2">
      <c r="C156"/>
      <c r="D156"/>
      <c r="E156"/>
      <c r="F156"/>
      <c r="G156"/>
      <c r="H156"/>
    </row>
    <row r="157" spans="3:8" x14ac:dyDescent="0.2">
      <c r="C157"/>
      <c r="D157"/>
      <c r="E157"/>
      <c r="F157"/>
      <c r="G157"/>
      <c r="H157"/>
    </row>
    <row r="158" spans="3:8" x14ac:dyDescent="0.2">
      <c r="C158"/>
      <c r="D158"/>
      <c r="E158"/>
      <c r="F158"/>
      <c r="G158"/>
      <c r="H158"/>
    </row>
    <row r="159" spans="3:8" x14ac:dyDescent="0.2">
      <c r="C159"/>
      <c r="D159"/>
      <c r="E159"/>
      <c r="F159"/>
      <c r="G159"/>
      <c r="H159"/>
    </row>
    <row r="160" spans="3:8" x14ac:dyDescent="0.2">
      <c r="C160"/>
      <c r="D160"/>
      <c r="E160"/>
      <c r="F160"/>
      <c r="G160"/>
      <c r="H160"/>
    </row>
    <row r="161" spans="3:8" x14ac:dyDescent="0.2">
      <c r="C161"/>
      <c r="D161"/>
      <c r="E161"/>
      <c r="F161"/>
      <c r="G161"/>
      <c r="H161"/>
    </row>
    <row r="162" spans="3:8" x14ac:dyDescent="0.2">
      <c r="C162"/>
      <c r="D162"/>
      <c r="E162"/>
      <c r="F162"/>
      <c r="G162"/>
      <c r="H162"/>
    </row>
    <row r="163" spans="3:8" x14ac:dyDescent="0.2">
      <c r="C163"/>
      <c r="D163"/>
      <c r="E163"/>
      <c r="F163"/>
      <c r="G163"/>
      <c r="H163"/>
    </row>
    <row r="164" spans="3:8" x14ac:dyDescent="0.2">
      <c r="C164"/>
      <c r="D164"/>
      <c r="E164"/>
      <c r="F164"/>
      <c r="G164"/>
      <c r="H164"/>
    </row>
    <row r="165" spans="3:8" x14ac:dyDescent="0.2">
      <c r="C165"/>
      <c r="D165"/>
      <c r="E165"/>
      <c r="F165"/>
      <c r="G165"/>
      <c r="H165"/>
    </row>
    <row r="166" spans="3:8" x14ac:dyDescent="0.2">
      <c r="C166"/>
      <c r="D166"/>
      <c r="E166"/>
      <c r="F166"/>
      <c r="G166"/>
      <c r="H166"/>
    </row>
    <row r="167" spans="3:8" x14ac:dyDescent="0.2">
      <c r="C167"/>
      <c r="D167"/>
      <c r="E167"/>
      <c r="F167"/>
      <c r="G167"/>
      <c r="H167"/>
    </row>
    <row r="168" spans="3:8" x14ac:dyDescent="0.2">
      <c r="C168"/>
      <c r="D168"/>
      <c r="E168"/>
      <c r="F168"/>
      <c r="G168"/>
      <c r="H168"/>
    </row>
    <row r="169" spans="3:8" x14ac:dyDescent="0.2">
      <c r="C169"/>
      <c r="D169"/>
      <c r="E169"/>
      <c r="F169"/>
      <c r="G169"/>
      <c r="H169"/>
    </row>
    <row r="170" spans="3:8" x14ac:dyDescent="0.2">
      <c r="C170"/>
      <c r="D170"/>
      <c r="E170"/>
      <c r="F170"/>
      <c r="G170"/>
      <c r="H170"/>
    </row>
    <row r="171" spans="3:8" x14ac:dyDescent="0.2">
      <c r="C171"/>
      <c r="D171"/>
      <c r="E171"/>
      <c r="F171"/>
      <c r="G171"/>
      <c r="H171"/>
    </row>
    <row r="172" spans="3:8" x14ac:dyDescent="0.2">
      <c r="C172"/>
      <c r="D172"/>
      <c r="E172"/>
      <c r="F172"/>
      <c r="G172"/>
      <c r="H172"/>
    </row>
    <row r="173" spans="3:8" x14ac:dyDescent="0.2">
      <c r="C173"/>
      <c r="D173"/>
      <c r="E173"/>
      <c r="F173"/>
      <c r="G173"/>
      <c r="H173"/>
    </row>
    <row r="174" spans="3:8" x14ac:dyDescent="0.2">
      <c r="C174"/>
      <c r="D174"/>
      <c r="E174"/>
      <c r="F174"/>
      <c r="G174"/>
      <c r="H174"/>
    </row>
    <row r="175" spans="3:8" x14ac:dyDescent="0.2">
      <c r="C175"/>
      <c r="D175"/>
      <c r="E175"/>
      <c r="F175"/>
      <c r="G175"/>
      <c r="H175"/>
    </row>
    <row r="176" spans="3:8" x14ac:dyDescent="0.2">
      <c r="C176"/>
      <c r="D176"/>
      <c r="E176"/>
      <c r="F176"/>
      <c r="G176"/>
      <c r="H176"/>
    </row>
    <row r="177" spans="3:8" x14ac:dyDescent="0.2">
      <c r="C177"/>
      <c r="D177"/>
      <c r="E177"/>
      <c r="F177"/>
      <c r="G177"/>
      <c r="H177"/>
    </row>
    <row r="178" spans="3:8" x14ac:dyDescent="0.2">
      <c r="C178"/>
      <c r="D178"/>
      <c r="E178"/>
      <c r="F178"/>
      <c r="G178"/>
      <c r="H178"/>
    </row>
    <row r="179" spans="3:8" x14ac:dyDescent="0.2">
      <c r="C179"/>
      <c r="D179"/>
      <c r="E179"/>
      <c r="F179"/>
      <c r="G179"/>
      <c r="H179"/>
    </row>
    <row r="180" spans="3:8" x14ac:dyDescent="0.2">
      <c r="C180"/>
      <c r="D180"/>
      <c r="E180"/>
      <c r="F180"/>
      <c r="G180"/>
      <c r="H180"/>
    </row>
    <row r="181" spans="3:8" x14ac:dyDescent="0.2">
      <c r="C181"/>
      <c r="D181"/>
      <c r="E181"/>
      <c r="F181"/>
      <c r="G181"/>
      <c r="H181"/>
    </row>
    <row r="182" spans="3:8" x14ac:dyDescent="0.2">
      <c r="C182"/>
      <c r="D182"/>
      <c r="E182"/>
      <c r="F182"/>
      <c r="G182"/>
      <c r="H182"/>
    </row>
    <row r="183" spans="3:8" x14ac:dyDescent="0.2">
      <c r="C183"/>
      <c r="D183"/>
      <c r="E183"/>
      <c r="F183"/>
      <c r="G183"/>
      <c r="H183"/>
    </row>
    <row r="184" spans="3:8" x14ac:dyDescent="0.2">
      <c r="C184"/>
      <c r="D184"/>
      <c r="E184"/>
      <c r="F184"/>
      <c r="G184"/>
      <c r="H184"/>
    </row>
    <row r="185" spans="3:8" x14ac:dyDescent="0.2">
      <c r="C185"/>
      <c r="D185"/>
      <c r="E185"/>
      <c r="F185"/>
      <c r="G185"/>
      <c r="H185"/>
    </row>
    <row r="186" spans="3:8" x14ac:dyDescent="0.2">
      <c r="C186"/>
      <c r="D186"/>
      <c r="E186"/>
      <c r="F186"/>
      <c r="G186"/>
      <c r="H186"/>
    </row>
    <row r="187" spans="3:8" x14ac:dyDescent="0.2">
      <c r="C187"/>
      <c r="D187"/>
      <c r="E187"/>
      <c r="F187"/>
      <c r="G187"/>
      <c r="H187"/>
    </row>
    <row r="188" spans="3:8" x14ac:dyDescent="0.2">
      <c r="C188"/>
      <c r="D188"/>
      <c r="E188"/>
      <c r="F188"/>
      <c r="G188"/>
      <c r="H188"/>
    </row>
    <row r="189" spans="3:8" x14ac:dyDescent="0.2">
      <c r="C189"/>
      <c r="D189"/>
      <c r="E189"/>
      <c r="F189"/>
      <c r="G189"/>
      <c r="H189"/>
    </row>
    <row r="190" spans="3:8" x14ac:dyDescent="0.2">
      <c r="C190"/>
      <c r="D190"/>
      <c r="E190"/>
      <c r="F190"/>
      <c r="G190"/>
      <c r="H190"/>
    </row>
    <row r="191" spans="3:8" x14ac:dyDescent="0.2">
      <c r="C191"/>
      <c r="D191"/>
      <c r="E191"/>
      <c r="F191"/>
      <c r="G191"/>
      <c r="H191"/>
    </row>
    <row r="192" spans="3:8" x14ac:dyDescent="0.2">
      <c r="C192"/>
      <c r="D192"/>
      <c r="E192"/>
      <c r="F192"/>
      <c r="G192"/>
      <c r="H192"/>
    </row>
    <row r="193" spans="3:8" x14ac:dyDescent="0.2">
      <c r="C193"/>
      <c r="D193"/>
      <c r="E193"/>
      <c r="F193"/>
      <c r="G193"/>
      <c r="H193"/>
    </row>
    <row r="194" spans="3:8" x14ac:dyDescent="0.2">
      <c r="C194"/>
      <c r="D194"/>
      <c r="E194"/>
      <c r="F194"/>
      <c r="G194"/>
      <c r="H194"/>
    </row>
    <row r="195" spans="3:8" x14ac:dyDescent="0.2">
      <c r="C195"/>
      <c r="D195"/>
      <c r="E195"/>
      <c r="F195"/>
      <c r="G195"/>
      <c r="H195"/>
    </row>
    <row r="196" spans="3:8" x14ac:dyDescent="0.2">
      <c r="C196"/>
      <c r="D196"/>
      <c r="E196"/>
      <c r="F196"/>
      <c r="G196"/>
      <c r="H196"/>
    </row>
    <row r="197" spans="3:8" x14ac:dyDescent="0.2">
      <c r="C197"/>
      <c r="D197"/>
      <c r="E197"/>
      <c r="F197"/>
      <c r="G197"/>
      <c r="H197"/>
    </row>
    <row r="198" spans="3:8" x14ac:dyDescent="0.2">
      <c r="C198"/>
      <c r="D198"/>
      <c r="E198"/>
      <c r="F198"/>
      <c r="G198"/>
      <c r="H198"/>
    </row>
    <row r="199" spans="3:8" x14ac:dyDescent="0.2">
      <c r="C199"/>
      <c r="D199"/>
      <c r="E199"/>
      <c r="F199"/>
      <c r="G199"/>
      <c r="H199"/>
    </row>
    <row r="200" spans="3:8" x14ac:dyDescent="0.2">
      <c r="C200"/>
      <c r="D200"/>
      <c r="E200"/>
      <c r="F200"/>
      <c r="G200"/>
      <c r="H200"/>
    </row>
    <row r="201" spans="3:8" x14ac:dyDescent="0.2">
      <c r="C201"/>
      <c r="D201"/>
      <c r="E201"/>
      <c r="F201"/>
      <c r="G201"/>
      <c r="H201"/>
    </row>
    <row r="202" spans="3:8" x14ac:dyDescent="0.2">
      <c r="C202"/>
      <c r="D202"/>
      <c r="E202"/>
      <c r="F202"/>
      <c r="G202"/>
      <c r="H202"/>
    </row>
    <row r="203" spans="3:8" x14ac:dyDescent="0.2">
      <c r="C203"/>
      <c r="D203"/>
      <c r="E203"/>
      <c r="F203"/>
      <c r="G203"/>
      <c r="H203"/>
    </row>
    <row r="204" spans="3:8" x14ac:dyDescent="0.2">
      <c r="C204"/>
      <c r="D204"/>
      <c r="E204"/>
      <c r="F204"/>
      <c r="G204"/>
      <c r="H204"/>
    </row>
    <row r="205" spans="3:8" x14ac:dyDescent="0.2">
      <c r="C205"/>
      <c r="D205"/>
      <c r="E205"/>
      <c r="F205"/>
      <c r="G205"/>
      <c r="H205"/>
    </row>
    <row r="206" spans="3:8" x14ac:dyDescent="0.2">
      <c r="C206"/>
      <c r="D206"/>
      <c r="E206"/>
      <c r="F206"/>
      <c r="G206"/>
      <c r="H206"/>
    </row>
    <row r="207" spans="3:8" x14ac:dyDescent="0.2">
      <c r="C207"/>
      <c r="D207"/>
      <c r="E207"/>
      <c r="F207"/>
      <c r="G207"/>
      <c r="H207"/>
    </row>
    <row r="208" spans="3:8" x14ac:dyDescent="0.2">
      <c r="C208"/>
      <c r="D208"/>
      <c r="E208"/>
      <c r="F208"/>
      <c r="G208"/>
      <c r="H208"/>
    </row>
  </sheetData>
  <sheetProtection password="C583" sheet="1" objects="1" scenarios="1" selectLockedCells="1"/>
  <mergeCells count="1">
    <mergeCell ref="C9:G9"/>
  </mergeCells>
  <pageMargins left="0.70866141732283472" right="0.70866141732283472" top="0.74803149606299213" bottom="0.74803149606299213" header="0.31496062992125984" footer="0.31496062992125984"/>
  <pageSetup paperSize="9" scale="54"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361" r:id="rId5" name="Button 1">
              <controlPr locked="0" defaultSize="0" print="0" autoFill="0" autoPict="0" macro="[0]!Button1_Refresh_Click">
                <anchor moveWithCells="1">
                  <from>
                    <xdr:col>5</xdr:col>
                    <xdr:colOff>3086100</xdr:colOff>
                    <xdr:row>1</xdr:row>
                    <xdr:rowOff>142875</xdr:rowOff>
                  </from>
                  <to>
                    <xdr:col>6</xdr:col>
                    <xdr:colOff>133350</xdr:colOff>
                    <xdr:row>3</xdr:row>
                    <xdr:rowOff>133350</xdr:rowOff>
                  </to>
                </anchor>
              </controlPr>
            </control>
          </mc:Choice>
        </mc:AlternateContent>
        <mc:AlternateContent xmlns:mc="http://schemas.openxmlformats.org/markup-compatibility/2006">
          <mc:Choice Requires="x14">
            <control shapeId="15362" r:id="rId6" name="Button 2">
              <controlPr defaultSize="0" print="0" autoFill="0" autoPict="0" macro="[0]!PrintSelectKey">
                <anchor moveWithCells="1" sizeWithCells="1">
                  <from>
                    <xdr:col>6</xdr:col>
                    <xdr:colOff>590550</xdr:colOff>
                    <xdr:row>1</xdr:row>
                    <xdr:rowOff>142875</xdr:rowOff>
                  </from>
                  <to>
                    <xdr:col>9</xdr:col>
                    <xdr:colOff>66675</xdr:colOff>
                    <xdr:row>3</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0"/>
  </sheetPr>
  <dimension ref="A3:BD999"/>
  <sheetViews>
    <sheetView showGridLines="0" showRowColHeaders="0" topLeftCell="B1" zoomScale="80" zoomScaleNormal="80" zoomScaleSheetLayoutView="85" workbookViewId="0">
      <pane ySplit="17" topLeftCell="A388" activePane="bottomLeft" state="frozen"/>
      <selection pane="bottomLeft" activeCell="F362" sqref="F362"/>
    </sheetView>
  </sheetViews>
  <sheetFormatPr defaultColWidth="9.28515625" defaultRowHeight="12.75" x14ac:dyDescent="0.2"/>
  <cols>
    <col min="1" max="1" width="9.28515625" style="89" customWidth="1"/>
    <col min="2" max="2" width="9.28515625" style="39"/>
    <col min="3" max="3" width="27.28515625" style="40" customWidth="1"/>
    <col min="4" max="4" width="19.28515625" style="40" customWidth="1"/>
    <col min="5" max="5" width="11.7109375" style="40" customWidth="1"/>
    <col min="6" max="6" width="54.28515625" style="39" customWidth="1"/>
    <col min="7" max="7" width="9.42578125" style="43" bestFit="1" customWidth="1"/>
    <col min="8" max="8" width="11.7109375" style="39" bestFit="1" customWidth="1"/>
    <col min="9" max="9" width="10.7109375" style="39" customWidth="1"/>
    <col min="10" max="10" width="7.5703125" style="117" customWidth="1"/>
    <col min="11" max="11" width="8.7109375" style="117" customWidth="1"/>
    <col min="12" max="12" width="9.28515625" style="641" hidden="1" customWidth="1"/>
    <col min="13" max="14" width="9.5703125" style="641" hidden="1" customWidth="1"/>
    <col min="15" max="15" width="9.5703125" style="929" hidden="1" customWidth="1"/>
    <col min="16" max="16" width="9.5703125" style="930" hidden="1" customWidth="1"/>
    <col min="17" max="22" width="9.5703125" style="641" hidden="1" customWidth="1"/>
    <col min="23" max="34" width="9.28515625" style="641" hidden="1" customWidth="1"/>
    <col min="35" max="35" width="9.42578125" style="641" hidden="1" customWidth="1"/>
    <col min="36" max="36" width="10.28515625" style="641" hidden="1" customWidth="1"/>
    <col min="37" max="37" width="9.28515625" style="931" hidden="1" customWidth="1"/>
    <col min="38" max="41" width="9.28515625" style="641" hidden="1" customWidth="1"/>
    <col min="42" max="42" width="16.28515625" style="641" hidden="1" customWidth="1"/>
    <col min="43" max="44" width="9.28515625" style="641" hidden="1" customWidth="1"/>
    <col min="45" max="52" width="9.28515625" style="89" customWidth="1"/>
    <col min="53" max="53" width="9.28515625" style="89"/>
    <col min="54" max="16384" width="9.28515625" style="39"/>
  </cols>
  <sheetData>
    <row r="3" spans="2:23" x14ac:dyDescent="0.2">
      <c r="B3"/>
      <c r="C3"/>
      <c r="D3"/>
      <c r="E3"/>
      <c r="F3"/>
      <c r="G3"/>
      <c r="H3"/>
      <c r="I3"/>
      <c r="J3" s="564"/>
    </row>
    <row r="4" spans="2:23" ht="23.25" x14ac:dyDescent="0.35">
      <c r="B4" s="41"/>
      <c r="C4" s="42"/>
      <c r="D4" s="42"/>
      <c r="E4" s="42"/>
      <c r="F4" s="36"/>
      <c r="G4" s="13"/>
      <c r="H4" s="36"/>
      <c r="I4" s="36"/>
      <c r="J4" s="565"/>
    </row>
    <row r="5" spans="2:23" x14ac:dyDescent="0.2">
      <c r="B5"/>
      <c r="C5" s="1"/>
      <c r="D5" s="1"/>
      <c r="E5" s="1"/>
      <c r="F5"/>
      <c r="G5" s="2"/>
      <c r="H5"/>
      <c r="I5"/>
      <c r="J5" s="565"/>
      <c r="S5" s="932" t="s">
        <v>624</v>
      </c>
      <c r="U5" s="933" t="s">
        <v>625</v>
      </c>
      <c r="V5" s="933" t="s">
        <v>214</v>
      </c>
      <c r="W5" s="933" t="s">
        <v>225</v>
      </c>
    </row>
    <row r="6" spans="2:23" x14ac:dyDescent="0.2">
      <c r="B6"/>
      <c r="C6" s="1"/>
      <c r="D6" s="1"/>
      <c r="E6" s="1"/>
      <c r="F6"/>
      <c r="G6" s="2"/>
      <c r="H6"/>
      <c r="I6"/>
      <c r="J6" s="565"/>
      <c r="S6" s="930" t="s">
        <v>615</v>
      </c>
      <c r="U6" s="641" t="s">
        <v>220</v>
      </c>
      <c r="V6" s="641" t="s">
        <v>613</v>
      </c>
      <c r="W6" s="641" t="s">
        <v>226</v>
      </c>
    </row>
    <row r="7" spans="2:23" hidden="1" x14ac:dyDescent="0.2">
      <c r="B7"/>
      <c r="C7" s="1"/>
      <c r="D7" s="1"/>
      <c r="E7" s="1"/>
      <c r="F7" s="277"/>
      <c r="G7" s="2"/>
      <c r="H7"/>
      <c r="I7"/>
      <c r="J7" s="565"/>
      <c r="S7" s="930" t="s">
        <v>616</v>
      </c>
      <c r="U7" s="641" t="s">
        <v>215</v>
      </c>
      <c r="V7" s="641" t="s">
        <v>614</v>
      </c>
      <c r="W7" s="641" t="s">
        <v>227</v>
      </c>
    </row>
    <row r="8" spans="2:23" hidden="1" x14ac:dyDescent="0.2">
      <c r="B8"/>
      <c r="C8" s="23" t="s">
        <v>83</v>
      </c>
      <c r="D8" s="177" t="s">
        <v>35</v>
      </c>
      <c r="E8" s="1"/>
      <c r="F8"/>
      <c r="G8" s="2"/>
      <c r="H8"/>
      <c r="I8"/>
      <c r="J8" s="565"/>
      <c r="S8" s="930" t="s">
        <v>617</v>
      </c>
      <c r="U8" s="641" t="s">
        <v>216</v>
      </c>
      <c r="V8" s="641" t="s">
        <v>223</v>
      </c>
    </row>
    <row r="9" spans="2:23" hidden="1" x14ac:dyDescent="0.2">
      <c r="B9"/>
      <c r="C9" s="174" t="s">
        <v>88</v>
      </c>
      <c r="D9" s="175">
        <f>CP!H5</f>
        <v>0.15</v>
      </c>
      <c r="E9" s="1"/>
      <c r="F9" s="171"/>
      <c r="G9" s="2"/>
      <c r="H9"/>
      <c r="I9"/>
      <c r="J9" s="565"/>
      <c r="S9" s="930" t="s">
        <v>618</v>
      </c>
      <c r="U9" s="641" t="s">
        <v>217</v>
      </c>
      <c r="V9" s="641" t="s">
        <v>224</v>
      </c>
    </row>
    <row r="10" spans="2:23" hidden="1" x14ac:dyDescent="0.2">
      <c r="B10"/>
      <c r="C10" s="176" t="s">
        <v>89</v>
      </c>
      <c r="D10" s="175">
        <f>CP!G5</f>
        <v>0.1</v>
      </c>
      <c r="E10" s="1"/>
      <c r="F10" s="171"/>
      <c r="G10" s="2"/>
      <c r="H10"/>
      <c r="I10"/>
      <c r="J10" s="565"/>
      <c r="S10" s="930" t="s">
        <v>619</v>
      </c>
      <c r="U10" s="641" t="s">
        <v>218</v>
      </c>
    </row>
    <row r="11" spans="2:23" hidden="1" x14ac:dyDescent="0.2">
      <c r="B11"/>
      <c r="C11" s="453"/>
      <c r="D11" s="454"/>
      <c r="E11" s="1"/>
      <c r="F11" s="172"/>
      <c r="G11" s="2"/>
      <c r="H11"/>
      <c r="I11"/>
      <c r="J11" s="565"/>
      <c r="S11" s="930" t="s">
        <v>620</v>
      </c>
      <c r="U11" s="641" t="s">
        <v>219</v>
      </c>
    </row>
    <row r="12" spans="2:23" hidden="1" x14ac:dyDescent="0.2">
      <c r="B12"/>
      <c r="C12" s="453"/>
      <c r="D12" s="455"/>
      <c r="E12" s="1"/>
      <c r="F12" s="8"/>
      <c r="G12" s="2"/>
      <c r="H12"/>
      <c r="I12"/>
      <c r="J12" s="565"/>
      <c r="S12" s="930" t="s">
        <v>620</v>
      </c>
      <c r="U12" s="641" t="s">
        <v>219</v>
      </c>
    </row>
    <row r="13" spans="2:23" hidden="1" x14ac:dyDescent="0.2">
      <c r="B13"/>
      <c r="C13" s="1"/>
      <c r="D13" s="1"/>
      <c r="E13" s="1"/>
      <c r="F13" s="8"/>
      <c r="G13" s="2"/>
      <c r="H13"/>
      <c r="I13"/>
      <c r="J13" s="565"/>
      <c r="S13" s="930" t="s">
        <v>621</v>
      </c>
      <c r="U13" s="641" t="s">
        <v>229</v>
      </c>
    </row>
    <row r="14" spans="2:23" hidden="1" x14ac:dyDescent="0.2">
      <c r="B14"/>
      <c r="C14" s="1"/>
      <c r="D14" s="1"/>
      <c r="E14" s="1"/>
      <c r="F14" s="8"/>
      <c r="G14" s="2"/>
      <c r="H14"/>
      <c r="I14"/>
      <c r="J14" s="565"/>
      <c r="S14" s="930" t="s">
        <v>622</v>
      </c>
      <c r="U14" s="641" t="s">
        <v>230</v>
      </c>
    </row>
    <row r="15" spans="2:23" hidden="1" x14ac:dyDescent="0.2">
      <c r="B15"/>
      <c r="C15" s="1"/>
      <c r="D15" s="1"/>
      <c r="E15" s="1"/>
      <c r="F15" s="8"/>
      <c r="G15" s="2"/>
      <c r="H15"/>
      <c r="I15"/>
      <c r="J15" s="565"/>
      <c r="S15" s="930"/>
    </row>
    <row r="16" spans="2:23" hidden="1" x14ac:dyDescent="0.2">
      <c r="B16"/>
      <c r="C16" s="1"/>
      <c r="D16" s="1"/>
      <c r="E16" s="1"/>
      <c r="F16" s="8"/>
      <c r="G16" s="2"/>
      <c r="H16"/>
      <c r="I16"/>
      <c r="J16" s="565"/>
      <c r="S16" s="930" t="s">
        <v>623</v>
      </c>
      <c r="U16" s="641" t="s">
        <v>228</v>
      </c>
    </row>
    <row r="17" spans="2:44" x14ac:dyDescent="0.2">
      <c r="B17"/>
      <c r="C17" s="1"/>
      <c r="D17" s="1"/>
      <c r="E17" s="1"/>
      <c r="F17" s="8"/>
      <c r="G17" s="2"/>
      <c r="H17"/>
      <c r="I17"/>
      <c r="J17" s="565"/>
      <c r="AH17" s="641">
        <v>23030002</v>
      </c>
      <c r="AI17" s="641" t="s">
        <v>981</v>
      </c>
    </row>
    <row r="18" spans="2:44" x14ac:dyDescent="0.2">
      <c r="B18"/>
      <c r="C18" s="23"/>
      <c r="D18" s="23"/>
      <c r="E18" s="169"/>
      <c r="F18" s="8"/>
      <c r="G18" s="2"/>
      <c r="H18"/>
      <c r="I18"/>
      <c r="J18" s="565"/>
      <c r="AH18" s="641">
        <v>23030001</v>
      </c>
      <c r="AI18" s="641" t="s">
        <v>982</v>
      </c>
    </row>
    <row r="19" spans="2:44" ht="13.5" thickBot="1" x14ac:dyDescent="0.25">
      <c r="B19"/>
      <c r="C19" s="23"/>
      <c r="D19" s="23"/>
      <c r="E19" s="169"/>
      <c r="F19" s="8"/>
      <c r="G19" s="2"/>
      <c r="H19"/>
      <c r="I19"/>
      <c r="J19" s="565"/>
      <c r="AH19" s="641">
        <v>23030004</v>
      </c>
      <c r="AI19" s="641" t="s">
        <v>983</v>
      </c>
    </row>
    <row r="20" spans="2:44" ht="18.600000000000001" customHeight="1" thickBot="1" x14ac:dyDescent="0.25">
      <c r="B20"/>
      <c r="C20" s="356" t="s">
        <v>12</v>
      </c>
      <c r="D20" s="28"/>
      <c r="E20" s="28"/>
      <c r="F20" s="35"/>
      <c r="G20" s="30"/>
      <c r="H20" s="29"/>
      <c r="I20" s="31"/>
      <c r="J20" s="565"/>
      <c r="L20" s="641">
        <f>SUM(L23:L99)</f>
        <v>0</v>
      </c>
    </row>
    <row r="21" spans="2:44" ht="4.5" customHeight="1" thickBot="1" x14ac:dyDescent="0.25">
      <c r="B21"/>
      <c r="C21"/>
      <c r="D21"/>
      <c r="E21"/>
      <c r="F21"/>
      <c r="G21"/>
      <c r="H21"/>
      <c r="I21"/>
      <c r="J21" s="565"/>
    </row>
    <row r="22" spans="2:44" ht="16.149999999999999" customHeight="1" x14ac:dyDescent="0.25">
      <c r="B22"/>
      <c r="C22" s="343"/>
      <c r="D22" s="801" t="s">
        <v>2</v>
      </c>
      <c r="E22" s="801" t="s">
        <v>5</v>
      </c>
      <c r="F22" s="802" t="s">
        <v>0</v>
      </c>
      <c r="G22" s="803" t="s">
        <v>1</v>
      </c>
      <c r="H22" s="802" t="s">
        <v>3</v>
      </c>
      <c r="I22" s="804" t="s">
        <v>8</v>
      </c>
      <c r="J22" s="565"/>
    </row>
    <row r="23" spans="2:44" ht="15" x14ac:dyDescent="0.25">
      <c r="B23"/>
      <c r="C23" s="267"/>
      <c r="D23" s="268"/>
      <c r="E23" s="268"/>
      <c r="F23" s="269"/>
      <c r="G23" s="270"/>
      <c r="H23" s="269"/>
      <c r="I23" s="271"/>
      <c r="J23" s="565"/>
      <c r="AG23" s="641" t="s">
        <v>997</v>
      </c>
      <c r="AH23" s="641" t="s">
        <v>998</v>
      </c>
      <c r="AI23" s="641" t="s">
        <v>999</v>
      </c>
      <c r="AJ23" s="642" t="s">
        <v>971</v>
      </c>
      <c r="AK23" s="643" t="s">
        <v>1000</v>
      </c>
      <c r="AL23" s="641" t="s">
        <v>1002</v>
      </c>
      <c r="AM23" s="934" t="s">
        <v>963</v>
      </c>
      <c r="AN23" s="642" t="s">
        <v>1001</v>
      </c>
      <c r="AO23" s="641" t="s">
        <v>1004</v>
      </c>
      <c r="AP23" s="641" t="s">
        <v>1083</v>
      </c>
      <c r="AQ23" s="641" t="s">
        <v>1003</v>
      </c>
      <c r="AR23" s="641" t="s">
        <v>1374</v>
      </c>
    </row>
    <row r="24" spans="2:44" ht="15" x14ac:dyDescent="0.25">
      <c r="B24"/>
      <c r="C24" s="531" t="s">
        <v>248</v>
      </c>
      <c r="D24" s="327"/>
      <c r="E24" s="264"/>
      <c r="F24" s="265"/>
      <c r="G24" s="266"/>
      <c r="H24" s="265"/>
      <c r="I24" s="101"/>
      <c r="J24" s="565"/>
      <c r="L24" s="641">
        <f>IF(AND(G25=1, L25="2010"), 1,0)</f>
        <v>0</v>
      </c>
      <c r="M24" s="642"/>
      <c r="N24" s="642"/>
      <c r="Y24" s="641" t="s">
        <v>838</v>
      </c>
      <c r="AL24" s="934"/>
      <c r="AM24" s="934" t="s">
        <v>963</v>
      </c>
      <c r="AN24" s="642" t="s">
        <v>343</v>
      </c>
    </row>
    <row r="25" spans="2:44" ht="20.100000000000001" customHeight="1" x14ac:dyDescent="0.2">
      <c r="B25"/>
      <c r="C25" s="742"/>
      <c r="D25" s="748" t="str">
        <f t="shared" ref="D25:D34" si="0">VLOOKUP($F25,$F$505:$I$935,3,FALSE)</f>
        <v>A100001</v>
      </c>
      <c r="E25" s="749">
        <f t="shared" ref="E25:E34" si="1">VLOOKUP($F25,$F$505:$I$935,2,FALSE)</f>
        <v>23010001</v>
      </c>
      <c r="F25" s="752" t="s">
        <v>309</v>
      </c>
      <c r="G25" s="753"/>
      <c r="H25" s="396" t="str">
        <f t="shared" ref="H25:H34" si="2">IF(G25&gt;=0.1,VLOOKUP(F25,F$504:I$935,4,FALSE),"")</f>
        <v/>
      </c>
      <c r="I25" s="73" t="str">
        <f t="shared" ref="I25:I41" si="3">IF(ISERROR(H25*G25),"",H25*G25)</f>
        <v/>
      </c>
      <c r="J25" s="565"/>
      <c r="L25" s="641" t="str">
        <f>LEFT(F25,4)</f>
        <v xml:space="preserve">D43 </v>
      </c>
      <c r="M25" s="642" t="str">
        <f>MID(F25,6,4)</f>
        <v>PA</v>
      </c>
      <c r="N25" s="642" t="str">
        <f>IF(G25=1,M25,"")</f>
        <v/>
      </c>
      <c r="O25" s="929">
        <v>1</v>
      </c>
      <c r="Q25" s="641" t="s">
        <v>246</v>
      </c>
      <c r="R25" s="641" t="e">
        <f>G25+#REF!</f>
        <v>#REF!</v>
      </c>
      <c r="S25" s="641">
        <f>IFERROR(VLOOKUP(R25,G936:I958,3,FALSE),0)</f>
        <v>0</v>
      </c>
      <c r="V25" s="641" t="s">
        <v>280</v>
      </c>
      <c r="AG25" s="641" t="str">
        <f>IF(D25="","",D25)</f>
        <v>A100001</v>
      </c>
      <c r="AH25" s="641">
        <f>IF(E25="","",E25)</f>
        <v>23010001</v>
      </c>
      <c r="AI25" s="641" t="str">
        <f>IF(F25="","",F25)</f>
        <v>D43 LPA</v>
      </c>
      <c r="AJ25" s="641" t="s">
        <v>952</v>
      </c>
      <c r="AK25" s="931" t="str">
        <f>VLOOKUP(E25,$G$505:$N$891,8,FALSE)</f>
        <v>LPA01</v>
      </c>
      <c r="AL25" s="935" t="str">
        <f t="shared" ref="AL25:AL43" si="4">IF(G25&gt;0,I25,"")</f>
        <v/>
      </c>
      <c r="AM25" s="936">
        <f t="shared" ref="AM25:AM41" si="5">IF(AL25="",0,AL25*(1+$E$436))</f>
        <v>0</v>
      </c>
      <c r="AN25" s="641">
        <f>IF(G25="",0,G25)</f>
        <v>0</v>
      </c>
      <c r="AO25" s="641" t="str">
        <f>IF(AN25&gt;0,"Show", "")</f>
        <v/>
      </c>
      <c r="AP25" s="641" t="s">
        <v>981</v>
      </c>
    </row>
    <row r="26" spans="2:44" ht="30.75" customHeight="1" x14ac:dyDescent="0.2">
      <c r="B26"/>
      <c r="C26" s="743"/>
      <c r="D26" s="342" t="str">
        <f t="shared" si="0"/>
        <v>K102250, A100536</v>
      </c>
      <c r="E26" s="313" t="str">
        <f t="shared" si="1"/>
        <v>23020235, 23020270</v>
      </c>
      <c r="F26" s="407" t="s">
        <v>1025</v>
      </c>
      <c r="G26" s="311">
        <f>$G$25</f>
        <v>0</v>
      </c>
      <c r="H26" s="396" t="str">
        <f t="shared" si="2"/>
        <v/>
      </c>
      <c r="I26" s="73" t="str">
        <f t="shared" si="3"/>
        <v/>
      </c>
      <c r="J26" s="565"/>
      <c r="M26" s="642"/>
      <c r="N26" s="642"/>
      <c r="AG26" s="641" t="str">
        <f t="shared" ref="AG26:AG101" si="6">IF(D26="","",D26)</f>
        <v>K102250, A100536</v>
      </c>
      <c r="AH26" s="641" t="str">
        <f t="shared" ref="AH26:AH101" si="7">IF(E26="","",E26)</f>
        <v>23020235, 23020270</v>
      </c>
      <c r="AI26" s="641" t="str">
        <f t="shared" ref="AI26:AI101" si="8">IF(F26="","",F26)</f>
        <v>E-Wipe 90 Applicator G2 250 (Repeater) - L→R</v>
      </c>
      <c r="AJ26" s="641" t="s">
        <v>856</v>
      </c>
      <c r="AK26" s="931" t="s">
        <v>952</v>
      </c>
      <c r="AL26" s="935" t="str">
        <f t="shared" si="4"/>
        <v/>
      </c>
      <c r="AM26" s="936">
        <f t="shared" si="5"/>
        <v>0</v>
      </c>
      <c r="AN26" s="641">
        <f t="shared" ref="AN26:AN101" si="9">IF(G26="",0,G26)</f>
        <v>0</v>
      </c>
      <c r="AO26" s="641" t="str">
        <f t="shared" ref="AO26:AO101" si="10">IF(AN26&gt;0,"Show", "")</f>
        <v/>
      </c>
      <c r="AP26" s="641" t="s">
        <v>981</v>
      </c>
    </row>
    <row r="27" spans="2:44" ht="30.75" customHeight="1" x14ac:dyDescent="0.2">
      <c r="B27"/>
      <c r="C27" s="743"/>
      <c r="D27" s="342" t="str">
        <f t="shared" si="0"/>
        <v>K103250, A100536</v>
      </c>
      <c r="E27" s="313" t="str">
        <f t="shared" si="1"/>
        <v>23020224, 23020270</v>
      </c>
      <c r="F27" s="407" t="s">
        <v>1026</v>
      </c>
      <c r="G27" s="311"/>
      <c r="H27" s="396" t="str">
        <f t="shared" si="2"/>
        <v/>
      </c>
      <c r="I27" s="73" t="str">
        <f>IF(ISERROR(H27*G27),"",H27*G27)</f>
        <v/>
      </c>
      <c r="J27" s="565"/>
      <c r="M27" s="642"/>
      <c r="N27" s="642"/>
      <c r="AG27" s="641" t="str">
        <f t="shared" si="6"/>
        <v>K103250, A100536</v>
      </c>
      <c r="AH27" s="641" t="str">
        <f t="shared" si="7"/>
        <v>23020224, 23020270</v>
      </c>
      <c r="AI27" s="641" t="str">
        <f t="shared" si="8"/>
        <v>E-Wipe 90 Applicator G2 250 (Repeater) - R→L</v>
      </c>
      <c r="AJ27" s="641" t="s">
        <v>856</v>
      </c>
      <c r="AK27" s="931" t="s">
        <v>952</v>
      </c>
      <c r="AL27" s="935" t="str">
        <f t="shared" si="4"/>
        <v/>
      </c>
      <c r="AM27" s="936">
        <f t="shared" si="5"/>
        <v>0</v>
      </c>
      <c r="AN27" s="641">
        <f t="shared" si="9"/>
        <v>0</v>
      </c>
      <c r="AO27" s="641" t="str">
        <f t="shared" si="10"/>
        <v/>
      </c>
      <c r="AP27" s="641" t="s">
        <v>981</v>
      </c>
    </row>
    <row r="28" spans="2:44" ht="12.75" customHeight="1" x14ac:dyDescent="0.2">
      <c r="B28"/>
      <c r="C28" s="743"/>
      <c r="D28" s="342" t="str">
        <f t="shared" si="0"/>
        <v>TBA</v>
      </c>
      <c r="E28" s="313">
        <f t="shared" si="1"/>
        <v>23020047</v>
      </c>
      <c r="F28" s="81" t="s">
        <v>422</v>
      </c>
      <c r="G28" s="311">
        <f t="shared" ref="G28:G41" si="11">$G$25</f>
        <v>0</v>
      </c>
      <c r="H28" s="396" t="str">
        <f t="shared" si="2"/>
        <v/>
      </c>
      <c r="I28" s="73" t="str">
        <f t="shared" si="3"/>
        <v/>
      </c>
      <c r="J28" s="565"/>
      <c r="M28" s="642"/>
      <c r="N28" s="642"/>
      <c r="AG28" s="641" t="str">
        <f t="shared" si="6"/>
        <v>TBA</v>
      </c>
      <c r="AH28" s="641">
        <f t="shared" si="7"/>
        <v>23020047</v>
      </c>
      <c r="AI28" s="641" t="str">
        <f t="shared" si="8"/>
        <v>Applicator Plate  104mm X 55mm</v>
      </c>
      <c r="AJ28" s="641" t="s">
        <v>856</v>
      </c>
      <c r="AK28" s="931" t="s">
        <v>952</v>
      </c>
      <c r="AL28" s="935" t="str">
        <f t="shared" si="4"/>
        <v/>
      </c>
      <c r="AM28" s="936">
        <f t="shared" si="5"/>
        <v>0</v>
      </c>
      <c r="AN28" s="641">
        <f t="shared" si="9"/>
        <v>0</v>
      </c>
      <c r="AO28" s="641" t="str">
        <f t="shared" si="10"/>
        <v/>
      </c>
      <c r="AP28" s="641" t="s">
        <v>981</v>
      </c>
    </row>
    <row r="29" spans="2:44" ht="25.5" x14ac:dyDescent="0.2">
      <c r="B29"/>
      <c r="C29" s="743"/>
      <c r="D29" s="342" t="str">
        <f t="shared" si="0"/>
        <v>K100130</v>
      </c>
      <c r="E29" s="313">
        <f t="shared" si="1"/>
        <v>23020177</v>
      </c>
      <c r="F29" s="407" t="s">
        <v>814</v>
      </c>
      <c r="G29" s="311">
        <f t="shared" si="11"/>
        <v>0</v>
      </c>
      <c r="H29" s="396" t="str">
        <f t="shared" si="2"/>
        <v/>
      </c>
      <c r="I29" s="73" t="str">
        <f t="shared" si="3"/>
        <v/>
      </c>
      <c r="J29" s="565"/>
      <c r="M29" s="642"/>
      <c r="N29" s="642"/>
      <c r="AG29" s="641" t="str">
        <f t="shared" si="6"/>
        <v>K100130</v>
      </c>
      <c r="AH29" s="641">
        <f t="shared" si="7"/>
        <v>23020177</v>
      </c>
      <c r="AI29" s="641" t="str">
        <f t="shared" si="8"/>
        <v>Mini-panel with 4 buttons &amp; Holder that allow mounting - Status beacon &amp; chassis.</v>
      </c>
      <c r="AJ29" s="641" t="s">
        <v>856</v>
      </c>
      <c r="AK29" s="931" t="s">
        <v>952</v>
      </c>
      <c r="AL29" s="935" t="str">
        <f t="shared" si="4"/>
        <v/>
      </c>
      <c r="AM29" s="936">
        <f t="shared" si="5"/>
        <v>0</v>
      </c>
      <c r="AN29" s="641">
        <f t="shared" si="9"/>
        <v>0</v>
      </c>
      <c r="AO29" s="641" t="str">
        <f t="shared" si="10"/>
        <v/>
      </c>
      <c r="AP29" s="641" t="s">
        <v>981</v>
      </c>
    </row>
    <row r="30" spans="2:44" ht="12.75" customHeight="1" x14ac:dyDescent="0.2">
      <c r="B30"/>
      <c r="C30" s="743"/>
      <c r="D30" s="342" t="str">
        <f t="shared" si="0"/>
        <v>K100005</v>
      </c>
      <c r="E30" s="313">
        <f t="shared" si="1"/>
        <v>23020017</v>
      </c>
      <c r="F30" s="407" t="s">
        <v>452</v>
      </c>
      <c r="G30" s="312"/>
      <c r="H30" s="396" t="str">
        <f t="shared" si="2"/>
        <v/>
      </c>
      <c r="I30" s="73" t="str">
        <f t="shared" si="3"/>
        <v/>
      </c>
      <c r="J30" s="565"/>
      <c r="M30" s="642"/>
      <c r="N30" s="642"/>
      <c r="AG30" s="641" t="str">
        <f>IF(D30="","",D30)</f>
        <v>K100005</v>
      </c>
      <c r="AH30" s="641">
        <f>IF(E30="","",E30)</f>
        <v>23020017</v>
      </c>
      <c r="AI30" s="641" t="str">
        <f>IF(F30="","",F30)</f>
        <v xml:space="preserve">Color touch screen 12” with 1.8 m cabling and ergonomic holder that suits all Autolabel stands
</v>
      </c>
      <c r="AJ30" s="641" t="s">
        <v>856</v>
      </c>
      <c r="AK30" s="931" t="s">
        <v>952</v>
      </c>
      <c r="AL30" s="935" t="str">
        <f t="shared" si="4"/>
        <v/>
      </c>
      <c r="AM30" s="936">
        <f t="shared" si="5"/>
        <v>0</v>
      </c>
      <c r="AN30" s="641">
        <f>IF(G30="",0,G30)</f>
        <v>0</v>
      </c>
      <c r="AO30" s="641" t="str">
        <f>IF(AN30&gt;0,"Show", "")</f>
        <v/>
      </c>
      <c r="AP30" s="641" t="s">
        <v>981</v>
      </c>
    </row>
    <row r="31" spans="2:44" x14ac:dyDescent="0.2">
      <c r="B31"/>
      <c r="C31" s="743"/>
      <c r="D31" s="342" t="str">
        <f t="shared" si="0"/>
        <v>A100248</v>
      </c>
      <c r="E31" s="313">
        <f t="shared" si="1"/>
        <v>23020016</v>
      </c>
      <c r="F31" s="81" t="s">
        <v>530</v>
      </c>
      <c r="G31" s="311">
        <f t="shared" si="11"/>
        <v>0</v>
      </c>
      <c r="H31" s="396" t="str">
        <f t="shared" si="2"/>
        <v/>
      </c>
      <c r="I31" s="73" t="str">
        <f t="shared" si="3"/>
        <v/>
      </c>
      <c r="J31" s="565"/>
      <c r="M31" s="642"/>
      <c r="N31" s="642"/>
      <c r="AG31" s="641" t="str">
        <f t="shared" si="6"/>
        <v>A100248</v>
      </c>
      <c r="AH31" s="641">
        <f t="shared" si="7"/>
        <v>23020016</v>
      </c>
      <c r="AI31" s="641" t="str">
        <f t="shared" si="8"/>
        <v>Column (aluminum 1500mm)</v>
      </c>
      <c r="AJ31" s="641" t="s">
        <v>856</v>
      </c>
      <c r="AK31" s="931" t="s">
        <v>952</v>
      </c>
      <c r="AL31" s="935" t="str">
        <f t="shared" si="4"/>
        <v/>
      </c>
      <c r="AM31" s="936">
        <f t="shared" si="5"/>
        <v>0</v>
      </c>
      <c r="AN31" s="641">
        <f t="shared" si="9"/>
        <v>0</v>
      </c>
      <c r="AO31" s="641" t="str">
        <f t="shared" si="10"/>
        <v/>
      </c>
      <c r="AP31" s="641" t="s">
        <v>981</v>
      </c>
    </row>
    <row r="32" spans="2:44" x14ac:dyDescent="0.2">
      <c r="B32"/>
      <c r="C32" s="743"/>
      <c r="D32" s="342" t="str">
        <f t="shared" si="0"/>
        <v>A100248</v>
      </c>
      <c r="E32" s="313">
        <f t="shared" si="1"/>
        <v>23020016</v>
      </c>
      <c r="F32" s="81" t="s">
        <v>530</v>
      </c>
      <c r="G32" s="311"/>
      <c r="H32" s="396" t="str">
        <f t="shared" si="2"/>
        <v/>
      </c>
      <c r="I32" s="73" t="str">
        <f>IF(ISERROR(H32*G32),"",H32*G32)</f>
        <v/>
      </c>
      <c r="J32" s="565"/>
      <c r="M32" s="642"/>
      <c r="N32" s="642"/>
      <c r="AG32" s="641" t="str">
        <f t="shared" si="6"/>
        <v>A100248</v>
      </c>
      <c r="AH32" s="641">
        <f t="shared" si="7"/>
        <v>23020016</v>
      </c>
      <c r="AI32" s="641" t="str">
        <f t="shared" si="8"/>
        <v>Column (aluminum 1500mm)</v>
      </c>
      <c r="AJ32" s="641" t="s">
        <v>856</v>
      </c>
      <c r="AK32" s="931" t="s">
        <v>952</v>
      </c>
      <c r="AL32" s="935" t="str">
        <f t="shared" si="4"/>
        <v/>
      </c>
      <c r="AM32" s="936">
        <f t="shared" si="5"/>
        <v>0</v>
      </c>
      <c r="AN32" s="641">
        <f t="shared" si="9"/>
        <v>0</v>
      </c>
      <c r="AO32" s="641" t="str">
        <f t="shared" si="10"/>
        <v/>
      </c>
      <c r="AP32" s="641" t="s">
        <v>981</v>
      </c>
    </row>
    <row r="33" spans="2:42" x14ac:dyDescent="0.2">
      <c r="B33"/>
      <c r="C33" s="743"/>
      <c r="D33" s="342">
        <f t="shared" si="0"/>
        <v>23020095</v>
      </c>
      <c r="E33" s="313">
        <f t="shared" si="1"/>
        <v>23020095</v>
      </c>
      <c r="F33" s="321" t="s">
        <v>1052</v>
      </c>
      <c r="G33" s="311">
        <f>G25</f>
        <v>0</v>
      </c>
      <c r="H33" s="396" t="str">
        <f t="shared" si="2"/>
        <v/>
      </c>
      <c r="I33" s="73" t="str">
        <f>IF(ISERROR(H33*G33),"",H33*G33)</f>
        <v/>
      </c>
      <c r="J33" s="565"/>
      <c r="M33" s="642"/>
      <c r="N33" s="642"/>
      <c r="AG33" s="641">
        <f t="shared" ref="AG33:AI34" si="12">IF(D33="","",D33)</f>
        <v>23020095</v>
      </c>
      <c r="AH33" s="641">
        <f t="shared" si="12"/>
        <v>23020095</v>
      </c>
      <c r="AI33" s="641" t="str">
        <f t="shared" si="12"/>
        <v>Min Wireless N Usb Adap 300Mbs</v>
      </c>
      <c r="AJ33" s="641" t="s">
        <v>856</v>
      </c>
      <c r="AK33" s="931" t="s">
        <v>952</v>
      </c>
      <c r="AL33" s="935" t="str">
        <f t="shared" si="4"/>
        <v/>
      </c>
      <c r="AM33" s="936">
        <f t="shared" si="5"/>
        <v>0</v>
      </c>
      <c r="AN33" s="641">
        <f>IF(G33="",0,G33)</f>
        <v>0</v>
      </c>
      <c r="AO33" s="641" t="str">
        <f>IF(AN33&gt;0,"Show", "")</f>
        <v/>
      </c>
      <c r="AP33" s="641" t="s">
        <v>981</v>
      </c>
    </row>
    <row r="34" spans="2:42" x14ac:dyDescent="0.2">
      <c r="B34"/>
      <c r="C34" s="743"/>
      <c r="D34" s="342" t="str">
        <f t="shared" si="0"/>
        <v>CLI 56P310-E0</v>
      </c>
      <c r="E34" s="313" t="str">
        <f t="shared" si="1"/>
        <v>13020122</v>
      </c>
      <c r="F34" s="321" t="s">
        <v>1053</v>
      </c>
      <c r="G34" s="311">
        <f>G25</f>
        <v>0</v>
      </c>
      <c r="H34" s="396" t="str">
        <f t="shared" si="2"/>
        <v/>
      </c>
      <c r="I34" s="73" t="str">
        <f>IF(ISERROR(H34*G34),"",H34*G34)</f>
        <v/>
      </c>
      <c r="J34" s="565"/>
      <c r="M34" s="642"/>
      <c r="N34" s="642"/>
      <c r="AG34" s="641" t="str">
        <f t="shared" si="12"/>
        <v>CLI 56P310-E0</v>
      </c>
      <c r="AH34" s="641" t="str">
        <f t="shared" si="12"/>
        <v>13020122</v>
      </c>
      <c r="AI34" s="641" t="str">
        <f t="shared" si="12"/>
        <v>Plug 250V 10A 3F Pins</v>
      </c>
      <c r="AJ34" s="641" t="s">
        <v>856</v>
      </c>
      <c r="AK34" s="931" t="s">
        <v>952</v>
      </c>
      <c r="AL34" s="935" t="str">
        <f t="shared" si="4"/>
        <v/>
      </c>
      <c r="AM34" s="936">
        <f t="shared" si="5"/>
        <v>0</v>
      </c>
      <c r="AN34" s="641">
        <f>IF(G34="",0,G34)</f>
        <v>0</v>
      </c>
      <c r="AO34" s="641" t="str">
        <f>IF(AN34&gt;0,"Show", "")</f>
        <v/>
      </c>
      <c r="AP34" s="641" t="s">
        <v>981</v>
      </c>
    </row>
    <row r="35" spans="2:42" x14ac:dyDescent="0.2">
      <c r="B35"/>
      <c r="C35" s="743"/>
      <c r="D35" s="476" t="s">
        <v>542</v>
      </c>
      <c r="E35" s="313">
        <v>13020148</v>
      </c>
      <c r="F35" s="81" t="s">
        <v>557</v>
      </c>
      <c r="G35" s="311">
        <f>G31</f>
        <v>0</v>
      </c>
      <c r="H35" s="396" t="str">
        <f>IF(G35&gt;=0.1,240,"")</f>
        <v/>
      </c>
      <c r="I35" s="73" t="str">
        <f>IF(ISERROR(H35*G35),"",H35*G35)</f>
        <v/>
      </c>
      <c r="J35" s="565"/>
      <c r="M35" s="642"/>
      <c r="N35" s="642"/>
      <c r="AG35" s="641" t="str">
        <f t="shared" si="6"/>
        <v>27021519-01_C-01</v>
      </c>
      <c r="AH35" s="641">
        <f t="shared" si="7"/>
        <v>13020148</v>
      </c>
      <c r="AI35" s="641" t="str">
        <f t="shared" si="8"/>
        <v>Base Plate 1</v>
      </c>
      <c r="AJ35" s="641" t="s">
        <v>856</v>
      </c>
      <c r="AK35" s="931" t="s">
        <v>952</v>
      </c>
      <c r="AL35" s="935" t="str">
        <f t="shared" si="4"/>
        <v/>
      </c>
      <c r="AM35" s="936">
        <f t="shared" si="5"/>
        <v>0</v>
      </c>
      <c r="AN35" s="641">
        <f t="shared" si="9"/>
        <v>0</v>
      </c>
      <c r="AO35" s="641" t="str">
        <f t="shared" si="10"/>
        <v/>
      </c>
      <c r="AP35" s="641" t="s">
        <v>981</v>
      </c>
    </row>
    <row r="36" spans="2:42" ht="38.25" x14ac:dyDescent="0.2">
      <c r="B36"/>
      <c r="C36" s="743"/>
      <c r="D36" s="342" t="str">
        <f t="shared" ref="D36:D41" si="13">VLOOKUP($F36,$F$505:$I$935,3,FALSE)</f>
        <v>A100367</v>
      </c>
      <c r="E36" s="313">
        <f t="shared" ref="E36:E41" si="14">VLOOKUP($F36,$F$505:$I$935,2,FALSE)</f>
        <v>23020014</v>
      </c>
      <c r="F36" s="81" t="s">
        <v>532</v>
      </c>
      <c r="G36" s="311"/>
      <c r="H36" s="396" t="str">
        <f t="shared" ref="H36:H41" si="15">IF(G36&gt;=0.1,VLOOKUP(F36,F$504:I$935,4,FALSE),"")</f>
        <v/>
      </c>
      <c r="I36" s="73" t="str">
        <f t="shared" si="3"/>
        <v/>
      </c>
      <c r="J36" s="565"/>
      <c r="M36" s="642"/>
      <c r="N36" s="642"/>
      <c r="AG36" s="641" t="str">
        <f t="shared" si="6"/>
        <v>A100367</v>
      </c>
      <c r="AH36" s="641">
        <f t="shared" si="7"/>
        <v>23020014</v>
      </c>
      <c r="AI36" s="641" t="str">
        <f t="shared" si="8"/>
        <v xml:space="preserve">H-Foot with adjustable rubber feet and built in wheels for convenient relocation of the system. 
  </v>
      </c>
      <c r="AJ36" s="641" t="s">
        <v>856</v>
      </c>
      <c r="AK36" s="931" t="s">
        <v>952</v>
      </c>
      <c r="AL36" s="935" t="str">
        <f t="shared" si="4"/>
        <v/>
      </c>
      <c r="AM36" s="936">
        <f t="shared" si="5"/>
        <v>0</v>
      </c>
      <c r="AN36" s="641">
        <f t="shared" si="9"/>
        <v>0</v>
      </c>
      <c r="AO36" s="641" t="str">
        <f t="shared" si="10"/>
        <v/>
      </c>
      <c r="AP36" s="641" t="s">
        <v>981</v>
      </c>
    </row>
    <row r="37" spans="2:42" x14ac:dyDescent="0.2">
      <c r="B37"/>
      <c r="C37" s="743"/>
      <c r="D37" s="342" t="str">
        <f t="shared" si="13"/>
        <v>A100141</v>
      </c>
      <c r="E37" s="313">
        <f t="shared" si="14"/>
        <v>23020009</v>
      </c>
      <c r="F37" s="81" t="s">
        <v>533</v>
      </c>
      <c r="G37" s="311">
        <f t="shared" si="11"/>
        <v>0</v>
      </c>
      <c r="H37" s="396" t="str">
        <f t="shared" si="15"/>
        <v/>
      </c>
      <c r="I37" s="73" t="str">
        <f t="shared" si="3"/>
        <v/>
      </c>
      <c r="J37" s="565"/>
      <c r="M37" s="642"/>
      <c r="N37" s="642"/>
      <c r="AG37" s="641" t="str">
        <f t="shared" si="6"/>
        <v>A100141</v>
      </c>
      <c r="AH37" s="641">
        <f t="shared" si="7"/>
        <v>23020009</v>
      </c>
      <c r="AI37" s="641" t="str">
        <f t="shared" si="8"/>
        <v>Tube Holder - Mounting arm</v>
      </c>
      <c r="AJ37" s="641" t="s">
        <v>856</v>
      </c>
      <c r="AK37" s="931" t="s">
        <v>952</v>
      </c>
      <c r="AL37" s="935" t="str">
        <f t="shared" si="4"/>
        <v/>
      </c>
      <c r="AM37" s="936">
        <f t="shared" si="5"/>
        <v>0</v>
      </c>
      <c r="AN37" s="641">
        <f t="shared" si="9"/>
        <v>0</v>
      </c>
      <c r="AO37" s="641" t="str">
        <f t="shared" si="10"/>
        <v/>
      </c>
      <c r="AP37" s="641" t="s">
        <v>981</v>
      </c>
    </row>
    <row r="38" spans="2:42" x14ac:dyDescent="0.2">
      <c r="B38"/>
      <c r="C38" s="743"/>
      <c r="D38" s="342" t="str">
        <f t="shared" si="13"/>
        <v>P101566</v>
      </c>
      <c r="E38" s="313">
        <f t="shared" si="14"/>
        <v>23020225</v>
      </c>
      <c r="F38" s="81" t="s">
        <v>837</v>
      </c>
      <c r="G38" s="311">
        <f t="shared" si="11"/>
        <v>0</v>
      </c>
      <c r="H38" s="396" t="str">
        <f t="shared" si="15"/>
        <v/>
      </c>
      <c r="I38" s="73" t="str">
        <f t="shared" si="3"/>
        <v/>
      </c>
      <c r="J38" s="565"/>
      <c r="M38" s="642"/>
      <c r="N38" s="642"/>
      <c r="AG38" s="641" t="str">
        <f t="shared" si="6"/>
        <v>P101566</v>
      </c>
      <c r="AH38" s="641">
        <f t="shared" si="7"/>
        <v>23020225</v>
      </c>
      <c r="AI38" s="641" t="str">
        <f t="shared" si="8"/>
        <v>Holder tube D51 L560</v>
      </c>
      <c r="AJ38" s="641" t="s">
        <v>856</v>
      </c>
      <c r="AK38" s="931" t="s">
        <v>952</v>
      </c>
      <c r="AL38" s="935" t="str">
        <f t="shared" si="4"/>
        <v/>
      </c>
      <c r="AM38" s="936">
        <f t="shared" si="5"/>
        <v>0</v>
      </c>
      <c r="AN38" s="641">
        <f t="shared" si="9"/>
        <v>0</v>
      </c>
      <c r="AO38" s="641" t="str">
        <f t="shared" si="10"/>
        <v/>
      </c>
      <c r="AP38" s="641" t="s">
        <v>981</v>
      </c>
    </row>
    <row r="39" spans="2:42" x14ac:dyDescent="0.2">
      <c r="B39"/>
      <c r="C39" s="743"/>
      <c r="D39" s="342">
        <f t="shared" si="13"/>
        <v>20091604</v>
      </c>
      <c r="E39" s="313" t="str">
        <f t="shared" si="14"/>
        <v>13080192</v>
      </c>
      <c r="F39" s="129" t="s">
        <v>1054</v>
      </c>
      <c r="G39" s="311">
        <f t="shared" si="11"/>
        <v>0</v>
      </c>
      <c r="H39" s="396" t="str">
        <f t="shared" si="15"/>
        <v/>
      </c>
      <c r="I39" s="73" t="str">
        <f>IF(ISERROR(H39*G39),"",H39*G39)</f>
        <v/>
      </c>
      <c r="J39" s="565"/>
      <c r="M39" s="642"/>
      <c r="N39" s="642"/>
      <c r="AG39" s="641">
        <f t="shared" si="6"/>
        <v>20091604</v>
      </c>
      <c r="AH39" s="641" t="str">
        <f t="shared" si="7"/>
        <v>13080192</v>
      </c>
      <c r="AI39" s="641" t="str">
        <f t="shared" si="8"/>
        <v>JBox Assy</v>
      </c>
      <c r="AJ39" s="641" t="s">
        <v>897</v>
      </c>
      <c r="AK39" s="931" t="s">
        <v>952</v>
      </c>
      <c r="AL39" s="935" t="str">
        <f t="shared" si="4"/>
        <v/>
      </c>
      <c r="AM39" s="936">
        <f t="shared" si="5"/>
        <v>0</v>
      </c>
      <c r="AN39" s="641">
        <f t="shared" si="9"/>
        <v>0</v>
      </c>
      <c r="AO39" s="641" t="str">
        <f t="shared" si="10"/>
        <v/>
      </c>
      <c r="AP39" s="641" t="s">
        <v>981</v>
      </c>
    </row>
    <row r="40" spans="2:42" x14ac:dyDescent="0.2">
      <c r="B40"/>
      <c r="C40" s="743"/>
      <c r="D40" s="342">
        <f t="shared" si="13"/>
        <v>15011615</v>
      </c>
      <c r="E40" s="313" t="str">
        <f t="shared" si="14"/>
        <v>13080193</v>
      </c>
      <c r="F40" s="87" t="s">
        <v>1055</v>
      </c>
      <c r="G40" s="311">
        <f t="shared" si="11"/>
        <v>0</v>
      </c>
      <c r="H40" s="396" t="str">
        <f t="shared" si="15"/>
        <v/>
      </c>
      <c r="I40" s="73" t="str">
        <f>IF(ISERROR(H40*G40),"",H40*G40)</f>
        <v/>
      </c>
      <c r="J40" s="565"/>
      <c r="M40" s="642"/>
      <c r="N40" s="642"/>
      <c r="AG40" s="641">
        <f t="shared" si="6"/>
        <v>15011615</v>
      </c>
      <c r="AH40" s="641" t="str">
        <f t="shared" si="7"/>
        <v>13080193</v>
      </c>
      <c r="AI40" s="641" t="str">
        <f t="shared" si="8"/>
        <v>JBox Holding Plate 4mm 304 2B</v>
      </c>
      <c r="AJ40" s="641" t="s">
        <v>897</v>
      </c>
      <c r="AK40" s="931" t="s">
        <v>952</v>
      </c>
      <c r="AL40" s="935" t="str">
        <f t="shared" si="4"/>
        <v/>
      </c>
      <c r="AM40" s="936">
        <f t="shared" si="5"/>
        <v>0</v>
      </c>
      <c r="AN40" s="641">
        <f t="shared" si="9"/>
        <v>0</v>
      </c>
      <c r="AO40" s="641" t="str">
        <f t="shared" si="10"/>
        <v/>
      </c>
      <c r="AP40" s="641" t="s">
        <v>981</v>
      </c>
    </row>
    <row r="41" spans="2:42" ht="25.5" x14ac:dyDescent="0.2">
      <c r="B41"/>
      <c r="C41" s="744"/>
      <c r="D41" s="342" t="str">
        <f t="shared" si="13"/>
        <v>5612B162MATTHEWS</v>
      </c>
      <c r="E41" s="313" t="str">
        <f t="shared" si="14"/>
        <v>13120079</v>
      </c>
      <c r="F41" s="381" t="s">
        <v>458</v>
      </c>
      <c r="G41" s="311">
        <f t="shared" si="11"/>
        <v>0</v>
      </c>
      <c r="H41" s="408" t="str">
        <f t="shared" si="15"/>
        <v/>
      </c>
      <c r="I41" s="73" t="str">
        <f t="shared" si="3"/>
        <v/>
      </c>
      <c r="J41" s="565"/>
      <c r="M41" s="642"/>
      <c r="N41" s="642"/>
      <c r="AG41" s="641" t="str">
        <f t="shared" si="6"/>
        <v>5612B162MATTHEWS</v>
      </c>
      <c r="AH41" s="641" t="str">
        <f t="shared" si="7"/>
        <v>13120079</v>
      </c>
      <c r="AI41" s="641" t="str">
        <f t="shared" si="8"/>
        <v>Air Regulator Assembly</v>
      </c>
      <c r="AJ41" s="641" t="s">
        <v>897</v>
      </c>
      <c r="AK41" s="931" t="s">
        <v>952</v>
      </c>
      <c r="AL41" s="935" t="str">
        <f t="shared" si="4"/>
        <v/>
      </c>
      <c r="AM41" s="936">
        <f t="shared" si="5"/>
        <v>0</v>
      </c>
      <c r="AN41" s="641">
        <f t="shared" si="9"/>
        <v>0</v>
      </c>
      <c r="AO41" s="641" t="str">
        <f t="shared" si="10"/>
        <v/>
      </c>
      <c r="AP41" s="641" t="s">
        <v>981</v>
      </c>
    </row>
    <row r="42" spans="2:42" ht="12.75" customHeight="1" x14ac:dyDescent="0.2">
      <c r="B42"/>
      <c r="C42" s="329"/>
      <c r="D42" s="330"/>
      <c r="E42" s="331"/>
      <c r="F42" s="332"/>
      <c r="G42" s="333"/>
      <c r="H42" s="334"/>
      <c r="I42" s="249"/>
      <c r="J42" s="565"/>
      <c r="M42" s="642"/>
      <c r="N42" s="642"/>
      <c r="AG42" s="641" t="str">
        <f t="shared" si="6"/>
        <v/>
      </c>
      <c r="AH42" s="641" t="str">
        <f t="shared" si="7"/>
        <v/>
      </c>
      <c r="AI42" s="641" t="str">
        <f t="shared" si="8"/>
        <v/>
      </c>
      <c r="AK42" s="931" t="s">
        <v>952</v>
      </c>
      <c r="AL42" s="641" t="str">
        <f t="shared" si="4"/>
        <v/>
      </c>
      <c r="AN42" s="641">
        <f t="shared" si="9"/>
        <v>0</v>
      </c>
      <c r="AO42" s="641" t="str">
        <f t="shared" si="10"/>
        <v/>
      </c>
      <c r="AP42" s="641" t="s">
        <v>981</v>
      </c>
    </row>
    <row r="43" spans="2:42" x14ac:dyDescent="0.2">
      <c r="B43"/>
      <c r="C43" s="335"/>
      <c r="D43" s="336"/>
      <c r="E43" s="337"/>
      <c r="F43" s="338"/>
      <c r="G43" s="339"/>
      <c r="H43" s="340"/>
      <c r="I43" s="238"/>
      <c r="J43" s="565"/>
      <c r="M43" s="642"/>
      <c r="N43" s="642"/>
      <c r="AG43" s="641" t="str">
        <f t="shared" si="6"/>
        <v/>
      </c>
      <c r="AH43" s="641" t="str">
        <f t="shared" si="7"/>
        <v/>
      </c>
      <c r="AI43" s="641" t="str">
        <f t="shared" si="8"/>
        <v/>
      </c>
      <c r="AK43" s="931" t="s">
        <v>952</v>
      </c>
      <c r="AL43" s="641" t="str">
        <f t="shared" si="4"/>
        <v/>
      </c>
      <c r="AN43" s="641">
        <f t="shared" si="9"/>
        <v>0</v>
      </c>
      <c r="AO43" s="641" t="str">
        <f t="shared" si="10"/>
        <v/>
      </c>
      <c r="AP43" s="641" t="s">
        <v>981</v>
      </c>
    </row>
    <row r="44" spans="2:42" ht="19.149999999999999" customHeight="1" x14ac:dyDescent="0.2">
      <c r="B44"/>
      <c r="C44" s="742"/>
      <c r="D44" s="748" t="str">
        <f t="shared" ref="D44:D53" si="16">VLOOKUP($F44,$F$505:$I$935,3,FALSE)</f>
        <v>A100001</v>
      </c>
      <c r="E44" s="749">
        <f t="shared" ref="E44:E53" si="17">VLOOKUP($F44,$F$505:$I$935,2,FALSE)</f>
        <v>23010001</v>
      </c>
      <c r="F44" s="530" t="s">
        <v>309</v>
      </c>
      <c r="G44" s="754"/>
      <c r="H44" s="396" t="str">
        <f t="shared" ref="H44:H53" si="18">IF(G44&gt;=0.1,VLOOKUP(F44,F$504:I$935,4,FALSE),"")</f>
        <v/>
      </c>
      <c r="I44" s="73" t="str">
        <f t="shared" ref="I44:I60" si="19">IF(ISERROR(H44*G44),"",H44*G44)</f>
        <v/>
      </c>
      <c r="J44" s="565"/>
      <c r="M44" s="642"/>
      <c r="N44" s="642"/>
      <c r="AG44" s="641" t="str">
        <f t="shared" si="6"/>
        <v>A100001</v>
      </c>
      <c r="AH44" s="641">
        <f t="shared" si="7"/>
        <v>23010001</v>
      </c>
      <c r="AI44" s="641" t="str">
        <f t="shared" si="8"/>
        <v>D43 LPA</v>
      </c>
      <c r="AJ44" s="641" t="s">
        <v>952</v>
      </c>
      <c r="AK44" s="931" t="s">
        <v>952</v>
      </c>
      <c r="AL44" s="935" t="str">
        <f t="shared" ref="AL44:AL60" si="20">IF(G44&gt;0,I44,"")</f>
        <v/>
      </c>
      <c r="AM44" s="936">
        <f t="shared" ref="AM44:AM60" si="21">IF(AL44="",0,AL44*(1+$E$436))</f>
        <v>0</v>
      </c>
      <c r="AN44" s="641">
        <f t="shared" si="9"/>
        <v>0</v>
      </c>
      <c r="AO44" s="641" t="str">
        <f t="shared" si="10"/>
        <v/>
      </c>
      <c r="AP44" s="641" t="s">
        <v>981</v>
      </c>
    </row>
    <row r="45" spans="2:42" ht="28.5" hidden="1" customHeight="1" x14ac:dyDescent="0.2">
      <c r="B45"/>
      <c r="C45" s="743"/>
      <c r="D45" s="342" t="str">
        <f t="shared" si="16"/>
        <v>A100180</v>
      </c>
      <c r="E45" s="313">
        <f t="shared" si="17"/>
        <v>23020023</v>
      </c>
      <c r="F45" s="407" t="s">
        <v>437</v>
      </c>
      <c r="G45" s="312">
        <f>$G$44</f>
        <v>0</v>
      </c>
      <c r="H45" s="396" t="str">
        <f t="shared" si="18"/>
        <v/>
      </c>
      <c r="I45" s="73" t="str">
        <f t="shared" si="19"/>
        <v/>
      </c>
      <c r="J45" s="565"/>
      <c r="M45" s="642"/>
      <c r="N45" s="642"/>
      <c r="AG45" s="641" t="str">
        <f t="shared" si="6"/>
        <v>A100180</v>
      </c>
      <c r="AH45" s="641">
        <f t="shared" si="7"/>
        <v>23020023</v>
      </c>
      <c r="AI45" s="641" t="str">
        <f t="shared" si="8"/>
        <v>Tamp Applicator (Side Apply)</v>
      </c>
      <c r="AJ45" s="641" t="s">
        <v>856</v>
      </c>
      <c r="AK45" s="931" t="s">
        <v>952</v>
      </c>
      <c r="AL45" s="935" t="str">
        <f t="shared" si="20"/>
        <v/>
      </c>
      <c r="AM45" s="936">
        <f t="shared" si="21"/>
        <v>0</v>
      </c>
      <c r="AN45" s="641">
        <f t="shared" si="9"/>
        <v>0</v>
      </c>
      <c r="AO45" s="641" t="str">
        <f t="shared" si="10"/>
        <v/>
      </c>
      <c r="AP45" s="641" t="s">
        <v>981</v>
      </c>
    </row>
    <row r="46" spans="2:42" ht="28.5" hidden="1" customHeight="1" x14ac:dyDescent="0.2">
      <c r="B46"/>
      <c r="C46" s="743"/>
      <c r="D46" s="342" t="str">
        <f t="shared" si="16"/>
        <v>K103250, A100536</v>
      </c>
      <c r="E46" s="313" t="str">
        <f t="shared" si="17"/>
        <v>23020224, 23020270</v>
      </c>
      <c r="F46" s="407" t="s">
        <v>1026</v>
      </c>
      <c r="G46" s="311"/>
      <c r="H46" s="396" t="str">
        <f t="shared" si="18"/>
        <v/>
      </c>
      <c r="I46" s="73" t="str">
        <f t="shared" si="19"/>
        <v/>
      </c>
      <c r="J46" s="565"/>
      <c r="M46" s="642"/>
      <c r="N46" s="642"/>
      <c r="AG46" s="641" t="str">
        <f t="shared" si="6"/>
        <v>K103250, A100536</v>
      </c>
      <c r="AH46" s="641" t="str">
        <f t="shared" si="7"/>
        <v>23020224, 23020270</v>
      </c>
      <c r="AI46" s="641" t="str">
        <f t="shared" si="8"/>
        <v>E-Wipe 90 Applicator G2 250 (Repeater) - R→L</v>
      </c>
      <c r="AJ46" s="641" t="s">
        <v>856</v>
      </c>
      <c r="AK46" s="931" t="s">
        <v>952</v>
      </c>
      <c r="AL46" s="935" t="str">
        <f t="shared" si="20"/>
        <v/>
      </c>
      <c r="AM46" s="936">
        <f t="shared" si="21"/>
        <v>0</v>
      </c>
      <c r="AN46" s="641">
        <f t="shared" si="9"/>
        <v>0</v>
      </c>
      <c r="AO46" s="641" t="str">
        <f t="shared" si="10"/>
        <v/>
      </c>
      <c r="AP46" s="641" t="s">
        <v>981</v>
      </c>
    </row>
    <row r="47" spans="2:42" hidden="1" x14ac:dyDescent="0.2">
      <c r="B47"/>
      <c r="C47" s="743"/>
      <c r="D47" s="342" t="str">
        <f t="shared" si="16"/>
        <v>TBA</v>
      </c>
      <c r="E47" s="313">
        <f t="shared" si="17"/>
        <v>23020047</v>
      </c>
      <c r="F47" s="81" t="s">
        <v>422</v>
      </c>
      <c r="G47" s="312">
        <f t="shared" ref="G47:G60" si="22">$G$44</f>
        <v>0</v>
      </c>
      <c r="H47" s="396" t="str">
        <f t="shared" si="18"/>
        <v/>
      </c>
      <c r="I47" s="73" t="str">
        <f t="shared" si="19"/>
        <v/>
      </c>
      <c r="J47" s="565"/>
      <c r="M47" s="642"/>
      <c r="N47" s="642"/>
      <c r="AG47" s="641" t="str">
        <f t="shared" si="6"/>
        <v>TBA</v>
      </c>
      <c r="AH47" s="641">
        <f t="shared" si="7"/>
        <v>23020047</v>
      </c>
      <c r="AI47" s="641" t="str">
        <f t="shared" si="8"/>
        <v>Applicator Plate  104mm X 55mm</v>
      </c>
      <c r="AJ47" s="641" t="s">
        <v>856</v>
      </c>
      <c r="AK47" s="931" t="s">
        <v>952</v>
      </c>
      <c r="AL47" s="935" t="str">
        <f t="shared" si="20"/>
        <v/>
      </c>
      <c r="AM47" s="936">
        <f t="shared" si="21"/>
        <v>0</v>
      </c>
      <c r="AN47" s="641">
        <f t="shared" si="9"/>
        <v>0</v>
      </c>
      <c r="AO47" s="641" t="str">
        <f t="shared" si="10"/>
        <v/>
      </c>
      <c r="AP47" s="641" t="s">
        <v>981</v>
      </c>
    </row>
    <row r="48" spans="2:42" ht="25.5" hidden="1" x14ac:dyDescent="0.2">
      <c r="B48"/>
      <c r="C48" s="743"/>
      <c r="D48" s="342" t="str">
        <f t="shared" si="16"/>
        <v>K100130</v>
      </c>
      <c r="E48" s="313">
        <f t="shared" si="17"/>
        <v>23020177</v>
      </c>
      <c r="F48" s="407" t="s">
        <v>814</v>
      </c>
      <c r="G48" s="311">
        <f>G44</f>
        <v>0</v>
      </c>
      <c r="H48" s="396" t="str">
        <f t="shared" si="18"/>
        <v/>
      </c>
      <c r="I48" s="73" t="str">
        <f t="shared" si="19"/>
        <v/>
      </c>
      <c r="J48" s="565"/>
      <c r="M48" s="642"/>
      <c r="N48" s="642"/>
      <c r="AG48" s="641" t="str">
        <f>IF(D48="","",D48)</f>
        <v>K100130</v>
      </c>
      <c r="AH48" s="641">
        <f>IF(E48="","",E48)</f>
        <v>23020177</v>
      </c>
      <c r="AI48" s="641" t="str">
        <f>IF(F48="","",F48)</f>
        <v>Mini-panel with 4 buttons &amp; Holder that allow mounting - Status beacon &amp; chassis.</v>
      </c>
      <c r="AJ48" s="641" t="s">
        <v>856</v>
      </c>
      <c r="AK48" s="931" t="s">
        <v>952</v>
      </c>
      <c r="AL48" s="935" t="str">
        <f t="shared" si="20"/>
        <v/>
      </c>
      <c r="AM48" s="936">
        <f t="shared" si="21"/>
        <v>0</v>
      </c>
      <c r="AN48" s="641">
        <f>IF(G48="",0,G48)</f>
        <v>0</v>
      </c>
      <c r="AO48" s="641" t="str">
        <f>IF(AN48&gt;0,"Show", "")</f>
        <v/>
      </c>
      <c r="AP48" s="641" t="s">
        <v>981</v>
      </c>
    </row>
    <row r="49" spans="2:42" ht="38.25" hidden="1" x14ac:dyDescent="0.2">
      <c r="B49"/>
      <c r="C49" s="743"/>
      <c r="D49" s="342" t="str">
        <f t="shared" si="16"/>
        <v>K100005</v>
      </c>
      <c r="E49" s="313">
        <f t="shared" si="17"/>
        <v>23020017</v>
      </c>
      <c r="F49" s="407" t="s">
        <v>452</v>
      </c>
      <c r="G49" s="312">
        <f>G44</f>
        <v>0</v>
      </c>
      <c r="H49" s="396" t="str">
        <f t="shared" si="18"/>
        <v/>
      </c>
      <c r="I49" s="73" t="str">
        <f t="shared" si="19"/>
        <v/>
      </c>
      <c r="J49" s="565"/>
      <c r="M49" s="642"/>
      <c r="N49" s="642"/>
      <c r="AG49" s="641" t="str">
        <f t="shared" si="6"/>
        <v>K100005</v>
      </c>
      <c r="AH49" s="641">
        <f t="shared" si="7"/>
        <v>23020017</v>
      </c>
      <c r="AI49" s="641" t="str">
        <f t="shared" si="8"/>
        <v xml:space="preserve">Color touch screen 12” with 1.8 m cabling and ergonomic holder that suits all Autolabel stands
</v>
      </c>
      <c r="AJ49" s="641" t="s">
        <v>856</v>
      </c>
      <c r="AK49" s="931" t="s">
        <v>952</v>
      </c>
      <c r="AL49" s="935" t="str">
        <f t="shared" si="20"/>
        <v/>
      </c>
      <c r="AM49" s="936">
        <f t="shared" si="21"/>
        <v>0</v>
      </c>
      <c r="AN49" s="641">
        <f t="shared" si="9"/>
        <v>0</v>
      </c>
      <c r="AO49" s="641" t="str">
        <f t="shared" si="10"/>
        <v/>
      </c>
      <c r="AP49" s="641" t="s">
        <v>981</v>
      </c>
    </row>
    <row r="50" spans="2:42" hidden="1" x14ac:dyDescent="0.2">
      <c r="B50"/>
      <c r="C50" s="743"/>
      <c r="D50" s="342" t="str">
        <f t="shared" si="16"/>
        <v>A100248</v>
      </c>
      <c r="E50" s="313">
        <f t="shared" si="17"/>
        <v>23020016</v>
      </c>
      <c r="F50" s="81" t="s">
        <v>530</v>
      </c>
      <c r="G50" s="312">
        <f t="shared" si="22"/>
        <v>0</v>
      </c>
      <c r="H50" s="396" t="str">
        <f t="shared" si="18"/>
        <v/>
      </c>
      <c r="I50" s="73" t="str">
        <f t="shared" si="19"/>
        <v/>
      </c>
      <c r="J50" s="565"/>
      <c r="M50" s="642"/>
      <c r="N50" s="642"/>
      <c r="AG50" s="641" t="str">
        <f t="shared" si="6"/>
        <v>A100248</v>
      </c>
      <c r="AH50" s="641">
        <f t="shared" si="7"/>
        <v>23020016</v>
      </c>
      <c r="AI50" s="641" t="str">
        <f t="shared" si="8"/>
        <v>Column (aluminum 1500mm)</v>
      </c>
      <c r="AJ50" s="641" t="s">
        <v>856</v>
      </c>
      <c r="AK50" s="931" t="s">
        <v>952</v>
      </c>
      <c r="AL50" s="935" t="str">
        <f t="shared" si="20"/>
        <v/>
      </c>
      <c r="AM50" s="936">
        <f t="shared" si="21"/>
        <v>0</v>
      </c>
      <c r="AN50" s="641">
        <f t="shared" si="9"/>
        <v>0</v>
      </c>
      <c r="AO50" s="641" t="str">
        <f t="shared" si="10"/>
        <v/>
      </c>
      <c r="AP50" s="641" t="s">
        <v>981</v>
      </c>
    </row>
    <row r="51" spans="2:42" hidden="1" x14ac:dyDescent="0.2">
      <c r="B51"/>
      <c r="C51" s="743"/>
      <c r="D51" s="342" t="str">
        <f t="shared" si="16"/>
        <v>A100248</v>
      </c>
      <c r="E51" s="313">
        <f t="shared" si="17"/>
        <v>23020016</v>
      </c>
      <c r="F51" s="81" t="s">
        <v>530</v>
      </c>
      <c r="G51" s="311"/>
      <c r="H51" s="396" t="str">
        <f t="shared" si="18"/>
        <v/>
      </c>
      <c r="I51" s="73" t="str">
        <f t="shared" si="19"/>
        <v/>
      </c>
      <c r="J51" s="565"/>
      <c r="M51" s="642"/>
      <c r="N51" s="642"/>
      <c r="AG51" s="641" t="str">
        <f t="shared" si="6"/>
        <v>A100248</v>
      </c>
      <c r="AH51" s="641">
        <f t="shared" si="7"/>
        <v>23020016</v>
      </c>
      <c r="AI51" s="641" t="str">
        <f t="shared" si="8"/>
        <v>Column (aluminum 1500mm)</v>
      </c>
      <c r="AJ51" s="641" t="s">
        <v>856</v>
      </c>
      <c r="AK51" s="931" t="s">
        <v>952</v>
      </c>
      <c r="AL51" s="935" t="str">
        <f t="shared" si="20"/>
        <v/>
      </c>
      <c r="AM51" s="936">
        <f t="shared" si="21"/>
        <v>0</v>
      </c>
      <c r="AN51" s="641">
        <f t="shared" si="9"/>
        <v>0</v>
      </c>
      <c r="AO51" s="641" t="str">
        <f t="shared" si="10"/>
        <v/>
      </c>
      <c r="AP51" s="641" t="s">
        <v>981</v>
      </c>
    </row>
    <row r="52" spans="2:42" hidden="1" x14ac:dyDescent="0.2">
      <c r="B52"/>
      <c r="C52" s="743"/>
      <c r="D52" s="342">
        <f t="shared" si="16"/>
        <v>23020095</v>
      </c>
      <c r="E52" s="313">
        <f t="shared" si="17"/>
        <v>23020095</v>
      </c>
      <c r="F52" s="321" t="s">
        <v>1052</v>
      </c>
      <c r="G52" s="311">
        <f>G44</f>
        <v>0</v>
      </c>
      <c r="H52" s="396" t="str">
        <f t="shared" si="18"/>
        <v/>
      </c>
      <c r="I52" s="73" t="str">
        <f>IF(ISERROR(H52*G52),"",H52*G52)</f>
        <v/>
      </c>
      <c r="J52" s="565"/>
      <c r="M52" s="642"/>
      <c r="N52" s="642"/>
      <c r="AG52" s="641">
        <f t="shared" ref="AG52:AI53" si="23">IF(D52="","",D52)</f>
        <v>23020095</v>
      </c>
      <c r="AH52" s="641">
        <f t="shared" si="23"/>
        <v>23020095</v>
      </c>
      <c r="AI52" s="641" t="str">
        <f t="shared" si="23"/>
        <v>Min Wireless N Usb Adap 300Mbs</v>
      </c>
      <c r="AJ52" s="641" t="s">
        <v>856</v>
      </c>
      <c r="AK52" s="931" t="s">
        <v>952</v>
      </c>
      <c r="AL52" s="935" t="str">
        <f>IF(G52&gt;0,I52,"")</f>
        <v/>
      </c>
      <c r="AM52" s="936">
        <f t="shared" si="21"/>
        <v>0</v>
      </c>
      <c r="AN52" s="641">
        <f>IF(G52="",0,G52)</f>
        <v>0</v>
      </c>
      <c r="AO52" s="641" t="str">
        <f>IF(AN52&gt;0,"Show", "")</f>
        <v/>
      </c>
      <c r="AP52" s="641" t="s">
        <v>981</v>
      </c>
    </row>
    <row r="53" spans="2:42" hidden="1" x14ac:dyDescent="0.2">
      <c r="B53"/>
      <c r="C53" s="743"/>
      <c r="D53" s="342" t="str">
        <f t="shared" si="16"/>
        <v>CLI 56P310-E0</v>
      </c>
      <c r="E53" s="313" t="str">
        <f t="shared" si="17"/>
        <v>13020122</v>
      </c>
      <c r="F53" s="321" t="s">
        <v>1053</v>
      </c>
      <c r="G53" s="311">
        <f>G44</f>
        <v>0</v>
      </c>
      <c r="H53" s="396" t="str">
        <f t="shared" si="18"/>
        <v/>
      </c>
      <c r="I53" s="73" t="str">
        <f>IF(ISERROR(H53*G53),"",H53*G53)</f>
        <v/>
      </c>
      <c r="J53" s="565"/>
      <c r="M53" s="642"/>
      <c r="N53" s="642"/>
      <c r="AG53" s="641" t="str">
        <f t="shared" si="23"/>
        <v>CLI 56P310-E0</v>
      </c>
      <c r="AH53" s="641" t="str">
        <f t="shared" si="23"/>
        <v>13020122</v>
      </c>
      <c r="AI53" s="641" t="str">
        <f t="shared" si="23"/>
        <v>Plug 250V 10A 3F Pins</v>
      </c>
      <c r="AJ53" s="641" t="s">
        <v>856</v>
      </c>
      <c r="AK53" s="931" t="s">
        <v>952</v>
      </c>
      <c r="AL53" s="935" t="str">
        <f>IF(G53&gt;0,I53,"")</f>
        <v/>
      </c>
      <c r="AM53" s="936">
        <f t="shared" si="21"/>
        <v>0</v>
      </c>
      <c r="AN53" s="641">
        <f>IF(G53="",0,G53)</f>
        <v>0</v>
      </c>
      <c r="AO53" s="641" t="str">
        <f>IF(AN53&gt;0,"Show", "")</f>
        <v/>
      </c>
      <c r="AP53" s="641" t="s">
        <v>981</v>
      </c>
    </row>
    <row r="54" spans="2:42" hidden="1" x14ac:dyDescent="0.2">
      <c r="B54"/>
      <c r="C54" s="743"/>
      <c r="D54" s="476" t="s">
        <v>542</v>
      </c>
      <c r="E54" s="313">
        <v>13020148</v>
      </c>
      <c r="F54" s="81" t="s">
        <v>557</v>
      </c>
      <c r="G54" s="311">
        <f>G50</f>
        <v>0</v>
      </c>
      <c r="H54" s="396" t="str">
        <f>IF(G54&gt;=0.1,240,"")</f>
        <v/>
      </c>
      <c r="I54" s="73" t="str">
        <f t="shared" si="19"/>
        <v/>
      </c>
      <c r="J54" s="565"/>
      <c r="M54" s="642"/>
      <c r="N54" s="642"/>
      <c r="AG54" s="641" t="str">
        <f t="shared" si="6"/>
        <v>27021519-01_C-01</v>
      </c>
      <c r="AH54" s="641">
        <f t="shared" si="7"/>
        <v>13020148</v>
      </c>
      <c r="AI54" s="641" t="str">
        <f t="shared" si="8"/>
        <v>Base Plate 1</v>
      </c>
      <c r="AJ54" s="641" t="s">
        <v>856</v>
      </c>
      <c r="AK54" s="931" t="s">
        <v>952</v>
      </c>
      <c r="AL54" s="935" t="str">
        <f t="shared" si="20"/>
        <v/>
      </c>
      <c r="AM54" s="936">
        <f t="shared" si="21"/>
        <v>0</v>
      </c>
      <c r="AN54" s="641">
        <f t="shared" si="9"/>
        <v>0</v>
      </c>
      <c r="AO54" s="641" t="str">
        <f t="shared" si="10"/>
        <v/>
      </c>
      <c r="AP54" s="641" t="s">
        <v>981</v>
      </c>
    </row>
    <row r="55" spans="2:42" ht="38.25" hidden="1" x14ac:dyDescent="0.2">
      <c r="B55"/>
      <c r="C55" s="743"/>
      <c r="D55" s="342" t="str">
        <f t="shared" ref="D55:D60" si="24">VLOOKUP($F55,$F$505:$I$935,3,FALSE)</f>
        <v>A100367</v>
      </c>
      <c r="E55" s="313">
        <f t="shared" ref="E55:E60" si="25">VLOOKUP($F55,$F$505:$I$935,2,FALSE)</f>
        <v>23020014</v>
      </c>
      <c r="F55" s="81" t="s">
        <v>532</v>
      </c>
      <c r="G55" s="312"/>
      <c r="H55" s="396" t="str">
        <f t="shared" ref="H55:H60" si="26">IF(G55&gt;=0.1,VLOOKUP(F55,F$504:I$935,4,FALSE),"")</f>
        <v/>
      </c>
      <c r="I55" s="73" t="str">
        <f t="shared" si="19"/>
        <v/>
      </c>
      <c r="J55" s="565"/>
      <c r="M55" s="642"/>
      <c r="N55" s="642"/>
      <c r="AG55" s="641" t="str">
        <f t="shared" si="6"/>
        <v>A100367</v>
      </c>
      <c r="AH55" s="641">
        <f t="shared" si="7"/>
        <v>23020014</v>
      </c>
      <c r="AI55" s="641" t="str">
        <f t="shared" si="8"/>
        <v xml:space="preserve">H-Foot with adjustable rubber feet and built in wheels for convenient relocation of the system. 
  </v>
      </c>
      <c r="AJ55" s="641" t="s">
        <v>856</v>
      </c>
      <c r="AK55" s="931" t="s">
        <v>952</v>
      </c>
      <c r="AL55" s="935" t="str">
        <f t="shared" si="20"/>
        <v/>
      </c>
      <c r="AM55" s="936">
        <f t="shared" si="21"/>
        <v>0</v>
      </c>
      <c r="AN55" s="641">
        <f t="shared" si="9"/>
        <v>0</v>
      </c>
      <c r="AO55" s="641" t="str">
        <f t="shared" si="10"/>
        <v/>
      </c>
      <c r="AP55" s="641" t="s">
        <v>981</v>
      </c>
    </row>
    <row r="56" spans="2:42" hidden="1" x14ac:dyDescent="0.2">
      <c r="B56"/>
      <c r="C56" s="743"/>
      <c r="D56" s="342" t="str">
        <f t="shared" si="24"/>
        <v>A100141</v>
      </c>
      <c r="E56" s="313">
        <f t="shared" si="25"/>
        <v>23020009</v>
      </c>
      <c r="F56" s="81" t="s">
        <v>533</v>
      </c>
      <c r="G56" s="312">
        <f t="shared" si="22"/>
        <v>0</v>
      </c>
      <c r="H56" s="396" t="str">
        <f t="shared" si="26"/>
        <v/>
      </c>
      <c r="I56" s="73" t="str">
        <f t="shared" si="19"/>
        <v/>
      </c>
      <c r="J56" s="565"/>
      <c r="M56" s="642"/>
      <c r="N56" s="642"/>
      <c r="AG56" s="641" t="str">
        <f t="shared" si="6"/>
        <v>A100141</v>
      </c>
      <c r="AH56" s="641">
        <f t="shared" si="7"/>
        <v>23020009</v>
      </c>
      <c r="AI56" s="641" t="str">
        <f t="shared" si="8"/>
        <v>Tube Holder - Mounting arm</v>
      </c>
      <c r="AJ56" s="641" t="s">
        <v>856</v>
      </c>
      <c r="AK56" s="931" t="s">
        <v>952</v>
      </c>
      <c r="AL56" s="935" t="str">
        <f t="shared" si="20"/>
        <v/>
      </c>
      <c r="AM56" s="936">
        <f t="shared" si="21"/>
        <v>0</v>
      </c>
      <c r="AN56" s="641">
        <f t="shared" si="9"/>
        <v>0</v>
      </c>
      <c r="AO56" s="641" t="str">
        <f t="shared" si="10"/>
        <v/>
      </c>
      <c r="AP56" s="641" t="s">
        <v>981</v>
      </c>
    </row>
    <row r="57" spans="2:42" hidden="1" x14ac:dyDescent="0.2">
      <c r="B57"/>
      <c r="C57" s="743"/>
      <c r="D57" s="342" t="str">
        <f t="shared" si="24"/>
        <v>P101566</v>
      </c>
      <c r="E57" s="313">
        <f t="shared" si="25"/>
        <v>23020225</v>
      </c>
      <c r="F57" s="81" t="s">
        <v>837</v>
      </c>
      <c r="G57" s="312">
        <f t="shared" si="22"/>
        <v>0</v>
      </c>
      <c r="H57" s="396" t="str">
        <f t="shared" si="26"/>
        <v/>
      </c>
      <c r="I57" s="73" t="str">
        <f t="shared" si="19"/>
        <v/>
      </c>
      <c r="J57" s="565"/>
      <c r="M57" s="642"/>
      <c r="N57" s="642"/>
      <c r="AG57" s="641" t="str">
        <f t="shared" si="6"/>
        <v>P101566</v>
      </c>
      <c r="AH57" s="641">
        <f t="shared" si="7"/>
        <v>23020225</v>
      </c>
      <c r="AI57" s="641" t="str">
        <f t="shared" si="8"/>
        <v>Holder tube D51 L560</v>
      </c>
      <c r="AJ57" s="641" t="s">
        <v>856</v>
      </c>
      <c r="AK57" s="931" t="s">
        <v>952</v>
      </c>
      <c r="AL57" s="935" t="str">
        <f t="shared" si="20"/>
        <v/>
      </c>
      <c r="AM57" s="936">
        <f t="shared" si="21"/>
        <v>0</v>
      </c>
      <c r="AN57" s="641">
        <f t="shared" si="9"/>
        <v>0</v>
      </c>
      <c r="AO57" s="641" t="str">
        <f t="shared" si="10"/>
        <v/>
      </c>
      <c r="AP57" s="641" t="s">
        <v>981</v>
      </c>
    </row>
    <row r="58" spans="2:42" hidden="1" x14ac:dyDescent="0.2">
      <c r="B58"/>
      <c r="C58" s="743"/>
      <c r="D58" s="342">
        <f t="shared" si="24"/>
        <v>20091604</v>
      </c>
      <c r="E58" s="313" t="str">
        <f t="shared" si="25"/>
        <v>13080192</v>
      </c>
      <c r="F58" s="87" t="s">
        <v>1054</v>
      </c>
      <c r="G58" s="312">
        <f t="shared" si="22"/>
        <v>0</v>
      </c>
      <c r="H58" s="396" t="str">
        <f t="shared" si="26"/>
        <v/>
      </c>
      <c r="I58" s="73" t="str">
        <f t="shared" si="19"/>
        <v/>
      </c>
      <c r="J58" s="565"/>
      <c r="M58" s="642"/>
      <c r="N58" s="642"/>
      <c r="AG58" s="641">
        <f t="shared" si="6"/>
        <v>20091604</v>
      </c>
      <c r="AH58" s="641" t="str">
        <f t="shared" si="7"/>
        <v>13080192</v>
      </c>
      <c r="AI58" s="641" t="str">
        <f t="shared" si="8"/>
        <v>JBox Assy</v>
      </c>
      <c r="AJ58" s="641" t="s">
        <v>897</v>
      </c>
      <c r="AK58" s="931" t="s">
        <v>952</v>
      </c>
      <c r="AL58" s="935" t="str">
        <f t="shared" si="20"/>
        <v/>
      </c>
      <c r="AM58" s="936">
        <f t="shared" si="21"/>
        <v>0</v>
      </c>
      <c r="AN58" s="641">
        <f t="shared" si="9"/>
        <v>0</v>
      </c>
      <c r="AO58" s="641" t="str">
        <f t="shared" si="10"/>
        <v/>
      </c>
      <c r="AP58" s="641" t="s">
        <v>981</v>
      </c>
    </row>
    <row r="59" spans="2:42" hidden="1" x14ac:dyDescent="0.2">
      <c r="B59"/>
      <c r="C59" s="743"/>
      <c r="D59" s="342">
        <f t="shared" si="24"/>
        <v>15011615</v>
      </c>
      <c r="E59" s="313" t="str">
        <f t="shared" si="25"/>
        <v>13080193</v>
      </c>
      <c r="F59" s="87" t="s">
        <v>1055</v>
      </c>
      <c r="G59" s="312">
        <f t="shared" si="22"/>
        <v>0</v>
      </c>
      <c r="H59" s="396" t="str">
        <f t="shared" si="26"/>
        <v/>
      </c>
      <c r="I59" s="73" t="str">
        <f t="shared" si="19"/>
        <v/>
      </c>
      <c r="J59" s="565"/>
      <c r="M59" s="642"/>
      <c r="N59" s="642"/>
      <c r="AG59" s="641">
        <f t="shared" si="6"/>
        <v>15011615</v>
      </c>
      <c r="AH59" s="641" t="str">
        <f t="shared" si="7"/>
        <v>13080193</v>
      </c>
      <c r="AI59" s="641" t="str">
        <f t="shared" si="8"/>
        <v>JBox Holding Plate 4mm 304 2B</v>
      </c>
      <c r="AJ59" s="641" t="s">
        <v>897</v>
      </c>
      <c r="AK59" s="931" t="s">
        <v>952</v>
      </c>
      <c r="AL59" s="935" t="str">
        <f t="shared" si="20"/>
        <v/>
      </c>
      <c r="AM59" s="936">
        <f t="shared" si="21"/>
        <v>0</v>
      </c>
      <c r="AN59" s="641">
        <f t="shared" si="9"/>
        <v>0</v>
      </c>
      <c r="AO59" s="641" t="str">
        <f t="shared" si="10"/>
        <v/>
      </c>
      <c r="AP59" s="641" t="s">
        <v>981</v>
      </c>
    </row>
    <row r="60" spans="2:42" ht="25.5" hidden="1" x14ac:dyDescent="0.2">
      <c r="B60"/>
      <c r="C60" s="744"/>
      <c r="D60" s="342" t="str">
        <f t="shared" si="24"/>
        <v>5612B162MATTHEWS</v>
      </c>
      <c r="E60" s="313" t="str">
        <f t="shared" si="25"/>
        <v>13120079</v>
      </c>
      <c r="F60" s="318" t="s">
        <v>458</v>
      </c>
      <c r="G60" s="312">
        <f t="shared" si="22"/>
        <v>0</v>
      </c>
      <c r="H60" s="396" t="str">
        <f t="shared" si="26"/>
        <v/>
      </c>
      <c r="I60" s="73" t="str">
        <f t="shared" si="19"/>
        <v/>
      </c>
      <c r="J60" s="565"/>
      <c r="M60" s="642"/>
      <c r="N60" s="642"/>
      <c r="AG60" s="641" t="str">
        <f t="shared" si="6"/>
        <v>5612B162MATTHEWS</v>
      </c>
      <c r="AH60" s="641" t="str">
        <f t="shared" si="7"/>
        <v>13120079</v>
      </c>
      <c r="AI60" s="641" t="str">
        <f t="shared" si="8"/>
        <v>Air Regulator Assembly</v>
      </c>
      <c r="AJ60" s="641" t="s">
        <v>897</v>
      </c>
      <c r="AK60" s="931" t="s">
        <v>952</v>
      </c>
      <c r="AL60" s="935" t="str">
        <f t="shared" si="20"/>
        <v/>
      </c>
      <c r="AM60" s="936">
        <f t="shared" si="21"/>
        <v>0</v>
      </c>
      <c r="AN60" s="641">
        <f t="shared" si="9"/>
        <v>0</v>
      </c>
      <c r="AO60" s="641" t="str">
        <f t="shared" si="10"/>
        <v/>
      </c>
      <c r="AP60" s="641" t="s">
        <v>981</v>
      </c>
    </row>
    <row r="61" spans="2:42" x14ac:dyDescent="0.2">
      <c r="B61"/>
      <c r="C61" s="329"/>
      <c r="D61" s="330"/>
      <c r="E61" s="331"/>
      <c r="F61" s="332"/>
      <c r="G61" s="333"/>
      <c r="H61" s="334"/>
      <c r="I61" s="249"/>
      <c r="J61" s="565"/>
      <c r="M61" s="642"/>
      <c r="N61" s="642"/>
      <c r="AG61" s="641" t="str">
        <f t="shared" si="6"/>
        <v/>
      </c>
      <c r="AH61" s="641" t="str">
        <f t="shared" si="7"/>
        <v/>
      </c>
      <c r="AI61" s="641" t="str">
        <f t="shared" si="8"/>
        <v/>
      </c>
      <c r="AK61" s="931" t="s">
        <v>952</v>
      </c>
      <c r="AL61" s="641" t="str">
        <f>IF(G61&gt;0,I61,"")</f>
        <v/>
      </c>
      <c r="AN61" s="641">
        <f t="shared" si="9"/>
        <v>0</v>
      </c>
      <c r="AO61" s="641" t="str">
        <f t="shared" si="10"/>
        <v/>
      </c>
    </row>
    <row r="62" spans="2:42" x14ac:dyDescent="0.2">
      <c r="B62"/>
      <c r="C62" s="335"/>
      <c r="D62" s="336"/>
      <c r="E62" s="337"/>
      <c r="F62" s="338"/>
      <c r="G62" s="339"/>
      <c r="H62" s="340"/>
      <c r="I62" s="238"/>
      <c r="J62" s="565"/>
      <c r="M62" s="642"/>
      <c r="N62" s="642"/>
      <c r="AG62" s="641" t="str">
        <f t="shared" si="6"/>
        <v/>
      </c>
      <c r="AH62" s="641" t="str">
        <f t="shared" si="7"/>
        <v/>
      </c>
      <c r="AI62" s="641" t="str">
        <f t="shared" si="8"/>
        <v/>
      </c>
      <c r="AK62" s="931" t="s">
        <v>952</v>
      </c>
      <c r="AL62" s="641" t="str">
        <f>IF(G62&gt;0,I62,"")</f>
        <v/>
      </c>
      <c r="AN62" s="641">
        <f t="shared" si="9"/>
        <v>0</v>
      </c>
      <c r="AO62" s="641" t="str">
        <f t="shared" si="10"/>
        <v/>
      </c>
    </row>
    <row r="63" spans="2:42" ht="19.149999999999999" customHeight="1" x14ac:dyDescent="0.2">
      <c r="B63"/>
      <c r="C63" s="742"/>
      <c r="D63" s="748" t="str">
        <f t="shared" ref="D63:D72" si="27">VLOOKUP($F63,$F$505:$I$935,3,FALSE)</f>
        <v>A100047</v>
      </c>
      <c r="E63" s="749">
        <f t="shared" ref="E63:E72" si="28">VLOOKUP($F63,$F$505:$I$935,2,FALSE)</f>
        <v>23010003</v>
      </c>
      <c r="F63" s="530" t="s">
        <v>310</v>
      </c>
      <c r="G63" s="312">
        <v>2</v>
      </c>
      <c r="H63" s="396">
        <f t="shared" ref="H63:H72" si="29">IF(G63&gt;=0.1,VLOOKUP(F63,F$504:I$935,4,FALSE),"")</f>
        <v>19365</v>
      </c>
      <c r="I63" s="73">
        <f t="shared" ref="I63:I79" si="30">IF(ISERROR(H63*G63),"",H63*G63)</f>
        <v>38730</v>
      </c>
      <c r="J63" s="565"/>
      <c r="M63" s="642"/>
      <c r="N63" s="642"/>
      <c r="AG63" s="641" t="str">
        <f t="shared" si="6"/>
        <v>A100047</v>
      </c>
      <c r="AH63" s="641">
        <f t="shared" si="7"/>
        <v>23010003</v>
      </c>
      <c r="AI63" s="641" t="str">
        <f t="shared" si="8"/>
        <v>T43 LPA</v>
      </c>
      <c r="AJ63" s="641" t="s">
        <v>952</v>
      </c>
      <c r="AK63" s="931" t="s">
        <v>952</v>
      </c>
      <c r="AL63" s="935">
        <f t="shared" ref="AL63:AL79" si="31">IF(G63&gt;0,I63,"")</f>
        <v>38730</v>
      </c>
      <c r="AM63" s="936">
        <f t="shared" ref="AM63:AM79" si="32">IF(AL63="",0,AL63*(1+$E$436))</f>
        <v>31200.887999999999</v>
      </c>
      <c r="AN63" s="641">
        <f t="shared" si="9"/>
        <v>2</v>
      </c>
      <c r="AO63" s="641" t="str">
        <f t="shared" si="10"/>
        <v>Show</v>
      </c>
      <c r="AP63" s="641" t="s">
        <v>981</v>
      </c>
    </row>
    <row r="64" spans="2:42" ht="29.25" customHeight="1" x14ac:dyDescent="0.2">
      <c r="B64"/>
      <c r="C64" s="743"/>
      <c r="D64" s="342" t="str">
        <f t="shared" si="27"/>
        <v>A100180</v>
      </c>
      <c r="E64" s="313">
        <f t="shared" si="28"/>
        <v>23020023</v>
      </c>
      <c r="F64" s="407" t="s">
        <v>437</v>
      </c>
      <c r="G64" s="312">
        <f>$G$63</f>
        <v>2</v>
      </c>
      <c r="H64" s="396">
        <f t="shared" si="29"/>
        <v>4142</v>
      </c>
      <c r="I64" s="73">
        <f t="shared" si="30"/>
        <v>8284</v>
      </c>
      <c r="J64" s="565"/>
      <c r="M64" s="642"/>
      <c r="N64" s="642"/>
      <c r="AG64" s="641" t="str">
        <f t="shared" si="6"/>
        <v>A100180</v>
      </c>
      <c r="AH64" s="641">
        <f t="shared" si="7"/>
        <v>23020023</v>
      </c>
      <c r="AI64" s="641" t="str">
        <f t="shared" si="8"/>
        <v>Tamp Applicator (Side Apply)</v>
      </c>
      <c r="AJ64" s="641" t="s">
        <v>856</v>
      </c>
      <c r="AK64" s="931" t="s">
        <v>952</v>
      </c>
      <c r="AL64" s="935">
        <f t="shared" si="31"/>
        <v>8284</v>
      </c>
      <c r="AM64" s="936">
        <f t="shared" si="32"/>
        <v>6673.5904</v>
      </c>
      <c r="AN64" s="641">
        <f t="shared" si="9"/>
        <v>2</v>
      </c>
      <c r="AO64" s="641" t="str">
        <f t="shared" si="10"/>
        <v>Show</v>
      </c>
      <c r="AP64" s="641" t="s">
        <v>981</v>
      </c>
    </row>
    <row r="65" spans="2:42" ht="29.25" customHeight="1" x14ac:dyDescent="0.2">
      <c r="B65"/>
      <c r="C65" s="743"/>
      <c r="D65" s="342" t="str">
        <f t="shared" si="27"/>
        <v>A100261</v>
      </c>
      <c r="E65" s="313">
        <f t="shared" si="28"/>
        <v>23020039</v>
      </c>
      <c r="F65" s="407" t="s">
        <v>436</v>
      </c>
      <c r="G65" s="311"/>
      <c r="H65" s="396" t="str">
        <f t="shared" si="29"/>
        <v/>
      </c>
      <c r="I65" s="73" t="str">
        <f t="shared" si="30"/>
        <v/>
      </c>
      <c r="J65" s="565"/>
      <c r="M65" s="642"/>
      <c r="N65" s="642"/>
      <c r="AG65" s="641" t="str">
        <f t="shared" si="6"/>
        <v>A100261</v>
      </c>
      <c r="AH65" s="641">
        <f t="shared" si="7"/>
        <v>23020039</v>
      </c>
      <c r="AI65" s="641" t="str">
        <f t="shared" si="8"/>
        <v>Belt Applicator - Upto 40M/Min Fixed Speed</v>
      </c>
      <c r="AJ65" s="641" t="s">
        <v>856</v>
      </c>
      <c r="AK65" s="931" t="s">
        <v>952</v>
      </c>
      <c r="AL65" s="935" t="str">
        <f t="shared" si="31"/>
        <v/>
      </c>
      <c r="AM65" s="936">
        <f t="shared" si="32"/>
        <v>0</v>
      </c>
      <c r="AN65" s="641">
        <f t="shared" si="9"/>
        <v>0</v>
      </c>
      <c r="AO65" s="641" t="str">
        <f t="shared" si="10"/>
        <v/>
      </c>
      <c r="AP65" s="641" t="s">
        <v>981</v>
      </c>
    </row>
    <row r="66" spans="2:42" x14ac:dyDescent="0.2">
      <c r="B66"/>
      <c r="C66" s="743"/>
      <c r="D66" s="342" t="str">
        <f t="shared" si="27"/>
        <v>AP110050</v>
      </c>
      <c r="E66" s="313">
        <f t="shared" si="28"/>
        <v>23020030</v>
      </c>
      <c r="F66" s="81" t="s">
        <v>1382</v>
      </c>
      <c r="G66" s="312">
        <f t="shared" ref="G66:G79" si="33">$G$63</f>
        <v>2</v>
      </c>
      <c r="H66" s="396">
        <f t="shared" si="29"/>
        <v>895</v>
      </c>
      <c r="I66" s="73">
        <f t="shared" si="30"/>
        <v>1790</v>
      </c>
      <c r="J66" s="565"/>
      <c r="M66" s="642"/>
      <c r="N66" s="642"/>
      <c r="AG66" s="641" t="str">
        <f t="shared" si="6"/>
        <v>AP110050</v>
      </c>
      <c r="AH66" s="641">
        <f t="shared" si="7"/>
        <v>23020030</v>
      </c>
      <c r="AI66" s="641" t="str">
        <f t="shared" si="8"/>
        <v>Applicator Pad 110X50 </v>
      </c>
      <c r="AJ66" s="641" t="s">
        <v>856</v>
      </c>
      <c r="AK66" s="931" t="s">
        <v>952</v>
      </c>
      <c r="AL66" s="935">
        <f t="shared" si="31"/>
        <v>1790</v>
      </c>
      <c r="AM66" s="936">
        <f t="shared" si="32"/>
        <v>1442.0239999999999</v>
      </c>
      <c r="AN66" s="641">
        <f t="shared" si="9"/>
        <v>2</v>
      </c>
      <c r="AO66" s="641" t="str">
        <f t="shared" si="10"/>
        <v>Show</v>
      </c>
      <c r="AP66" s="641" t="s">
        <v>981</v>
      </c>
    </row>
    <row r="67" spans="2:42" ht="25.5" x14ac:dyDescent="0.2">
      <c r="B67"/>
      <c r="C67" s="743"/>
      <c r="D67" s="342" t="str">
        <f t="shared" si="27"/>
        <v>K100130</v>
      </c>
      <c r="E67" s="313">
        <f t="shared" si="28"/>
        <v>23020177</v>
      </c>
      <c r="F67" s="407" t="s">
        <v>814</v>
      </c>
      <c r="G67" s="311">
        <f>G63</f>
        <v>2</v>
      </c>
      <c r="H67" s="396">
        <f t="shared" si="29"/>
        <v>1250</v>
      </c>
      <c r="I67" s="73">
        <f t="shared" si="30"/>
        <v>2500</v>
      </c>
      <c r="J67" s="565"/>
      <c r="M67" s="642"/>
      <c r="N67" s="642"/>
      <c r="AG67" s="641" t="str">
        <f t="shared" si="6"/>
        <v>K100130</v>
      </c>
      <c r="AH67" s="641">
        <f t="shared" si="7"/>
        <v>23020177</v>
      </c>
      <c r="AI67" s="641" t="str">
        <f t="shared" si="8"/>
        <v>Mini-panel with 4 buttons &amp; Holder that allow mounting - Status beacon &amp; chassis.</v>
      </c>
      <c r="AJ67" s="641" t="s">
        <v>856</v>
      </c>
      <c r="AK67" s="931" t="s">
        <v>952</v>
      </c>
      <c r="AL67" s="935">
        <f t="shared" si="31"/>
        <v>2500</v>
      </c>
      <c r="AM67" s="936">
        <f t="shared" si="32"/>
        <v>2014</v>
      </c>
      <c r="AN67" s="641">
        <f t="shared" si="9"/>
        <v>2</v>
      </c>
      <c r="AO67" s="641" t="str">
        <f t="shared" si="10"/>
        <v>Show</v>
      </c>
      <c r="AP67" s="641" t="s">
        <v>981</v>
      </c>
    </row>
    <row r="68" spans="2:42" ht="38.25" x14ac:dyDescent="0.2">
      <c r="B68"/>
      <c r="C68" s="743"/>
      <c r="D68" s="342" t="str">
        <f t="shared" si="27"/>
        <v>K100005</v>
      </c>
      <c r="E68" s="313">
        <f t="shared" si="28"/>
        <v>23020017</v>
      </c>
      <c r="F68" s="407" t="s">
        <v>452</v>
      </c>
      <c r="G68" s="312"/>
      <c r="H68" s="396" t="str">
        <f t="shared" si="29"/>
        <v/>
      </c>
      <c r="I68" s="73" t="str">
        <f t="shared" si="30"/>
        <v/>
      </c>
      <c r="J68" s="565"/>
      <c r="M68" s="642"/>
      <c r="N68" s="642"/>
      <c r="AG68" s="641" t="str">
        <f t="shared" si="6"/>
        <v>K100005</v>
      </c>
      <c r="AH68" s="641">
        <f t="shared" si="7"/>
        <v>23020017</v>
      </c>
      <c r="AI68" s="641" t="str">
        <f t="shared" si="8"/>
        <v xml:space="preserve">Color touch screen 12” with 1.8 m cabling and ergonomic holder that suits all Autolabel stands
</v>
      </c>
      <c r="AJ68" s="641" t="s">
        <v>856</v>
      </c>
      <c r="AK68" s="931" t="s">
        <v>952</v>
      </c>
      <c r="AL68" s="935" t="str">
        <f t="shared" si="31"/>
        <v/>
      </c>
      <c r="AM68" s="936">
        <f t="shared" si="32"/>
        <v>0</v>
      </c>
      <c r="AN68" s="641">
        <f t="shared" si="9"/>
        <v>0</v>
      </c>
      <c r="AO68" s="641" t="str">
        <f t="shared" si="10"/>
        <v/>
      </c>
      <c r="AP68" s="641" t="s">
        <v>981</v>
      </c>
    </row>
    <row r="69" spans="2:42" x14ac:dyDescent="0.2">
      <c r="B69"/>
      <c r="C69" s="743"/>
      <c r="D69" s="342">
        <f t="shared" si="27"/>
        <v>23020095</v>
      </c>
      <c r="E69" s="313">
        <f t="shared" si="28"/>
        <v>23020095</v>
      </c>
      <c r="F69" s="321" t="s">
        <v>1052</v>
      </c>
      <c r="G69" s="312">
        <f>G63</f>
        <v>2</v>
      </c>
      <c r="H69" s="396">
        <f t="shared" si="29"/>
        <v>59</v>
      </c>
      <c r="I69" s="73">
        <f>IF(ISERROR(H69*G69),"",H69*G69)</f>
        <v>118</v>
      </c>
      <c r="J69" s="565"/>
      <c r="M69" s="642"/>
      <c r="N69" s="642"/>
      <c r="AG69" s="641">
        <f t="shared" ref="AG69:AI70" si="34">IF(D69="","",D69)</f>
        <v>23020095</v>
      </c>
      <c r="AH69" s="641">
        <f t="shared" si="34"/>
        <v>23020095</v>
      </c>
      <c r="AI69" s="641" t="str">
        <f t="shared" si="34"/>
        <v>Min Wireless N Usb Adap 300Mbs</v>
      </c>
      <c r="AJ69" s="641" t="s">
        <v>856</v>
      </c>
      <c r="AK69" s="931" t="s">
        <v>952</v>
      </c>
      <c r="AL69" s="935">
        <f>IF(G69&gt;0,I69,"")</f>
        <v>118</v>
      </c>
      <c r="AM69" s="936">
        <f t="shared" si="32"/>
        <v>95.0608</v>
      </c>
      <c r="AN69" s="641">
        <f>IF(G69="",0,G69)</f>
        <v>2</v>
      </c>
      <c r="AO69" s="641" t="str">
        <f>IF(AN69&gt;0,"Show", "")</f>
        <v>Show</v>
      </c>
      <c r="AP69" s="641" t="s">
        <v>981</v>
      </c>
    </row>
    <row r="70" spans="2:42" x14ac:dyDescent="0.2">
      <c r="B70"/>
      <c r="C70" s="743"/>
      <c r="D70" s="342" t="str">
        <f t="shared" si="27"/>
        <v>CLI 56P310-E0</v>
      </c>
      <c r="E70" s="313" t="str">
        <f t="shared" si="28"/>
        <v>13020122</v>
      </c>
      <c r="F70" s="321" t="s">
        <v>1053</v>
      </c>
      <c r="G70" s="312">
        <f>G63</f>
        <v>2</v>
      </c>
      <c r="H70" s="396">
        <f t="shared" si="29"/>
        <v>32</v>
      </c>
      <c r="I70" s="73">
        <f>IF(ISERROR(H70*G70),"",H70*G70)</f>
        <v>64</v>
      </c>
      <c r="J70" s="565"/>
      <c r="M70" s="642"/>
      <c r="N70" s="642"/>
      <c r="AG70" s="641" t="str">
        <f t="shared" si="34"/>
        <v>CLI 56P310-E0</v>
      </c>
      <c r="AH70" s="641" t="str">
        <f t="shared" si="34"/>
        <v>13020122</v>
      </c>
      <c r="AI70" s="641" t="str">
        <f t="shared" si="34"/>
        <v>Plug 250V 10A 3F Pins</v>
      </c>
      <c r="AJ70" s="641" t="s">
        <v>856</v>
      </c>
      <c r="AK70" s="931" t="s">
        <v>952</v>
      </c>
      <c r="AL70" s="935">
        <f>IF(G70&gt;0,I70,"")</f>
        <v>64</v>
      </c>
      <c r="AM70" s="936">
        <f t="shared" si="32"/>
        <v>51.558399999999999</v>
      </c>
      <c r="AN70" s="641">
        <f>IF(G70="",0,G70)</f>
        <v>2</v>
      </c>
      <c r="AO70" s="641" t="str">
        <f>IF(AN70&gt;0,"Show", "")</f>
        <v>Show</v>
      </c>
      <c r="AP70" s="641" t="s">
        <v>981</v>
      </c>
    </row>
    <row r="71" spans="2:42" ht="25.5" x14ac:dyDescent="0.2">
      <c r="B71"/>
      <c r="C71" s="743"/>
      <c r="D71" s="342" t="str">
        <f t="shared" si="27"/>
        <v>A100291, C100106</v>
      </c>
      <c r="E71" s="313" t="str">
        <f t="shared" si="28"/>
        <v>23020022, 23020211</v>
      </c>
      <c r="F71" s="81" t="s">
        <v>817</v>
      </c>
      <c r="G71" s="312">
        <f t="shared" si="33"/>
        <v>2</v>
      </c>
      <c r="H71" s="396">
        <f t="shared" si="29"/>
        <v>3900</v>
      </c>
      <c r="I71" s="73">
        <f t="shared" si="30"/>
        <v>7800</v>
      </c>
      <c r="J71" s="565"/>
      <c r="M71" s="642"/>
      <c r="N71" s="642"/>
      <c r="AG71" s="641" t="str">
        <f t="shared" si="6"/>
        <v>A100291, C100106</v>
      </c>
      <c r="AH71" s="641" t="str">
        <f t="shared" si="7"/>
        <v>23020022, 23020211</v>
      </c>
      <c r="AI71" s="641" t="str">
        <f t="shared" si="8"/>
        <v>Vertical Motorized Column (Adjustable from 1050 to 1500mm.) - Select Height Extension/Pivot Base if required</v>
      </c>
      <c r="AJ71" s="641" t="s">
        <v>856</v>
      </c>
      <c r="AK71" s="931" t="s">
        <v>952</v>
      </c>
      <c r="AL71" s="935">
        <f t="shared" si="31"/>
        <v>7800</v>
      </c>
      <c r="AM71" s="936">
        <f t="shared" si="32"/>
        <v>6283.68</v>
      </c>
      <c r="AN71" s="641">
        <f t="shared" si="9"/>
        <v>2</v>
      </c>
      <c r="AO71" s="641" t="str">
        <f t="shared" si="10"/>
        <v>Show</v>
      </c>
      <c r="AP71" s="641" t="s">
        <v>981</v>
      </c>
    </row>
    <row r="72" spans="2:42" x14ac:dyDescent="0.2">
      <c r="B72"/>
      <c r="C72" s="743"/>
      <c r="D72" s="342" t="str">
        <f t="shared" si="27"/>
        <v>A100248</v>
      </c>
      <c r="E72" s="313">
        <f t="shared" si="28"/>
        <v>23020016</v>
      </c>
      <c r="F72" s="81" t="s">
        <v>530</v>
      </c>
      <c r="G72" s="311"/>
      <c r="H72" s="396" t="str">
        <f t="shared" si="29"/>
        <v/>
      </c>
      <c r="I72" s="73" t="str">
        <f t="shared" si="30"/>
        <v/>
      </c>
      <c r="J72" s="565"/>
      <c r="M72" s="642"/>
      <c r="N72" s="642"/>
      <c r="AG72" s="641" t="str">
        <f t="shared" si="6"/>
        <v>A100248</v>
      </c>
      <c r="AH72" s="641">
        <f t="shared" si="7"/>
        <v>23020016</v>
      </c>
      <c r="AI72" s="641" t="str">
        <f t="shared" si="8"/>
        <v>Column (aluminum 1500mm)</v>
      </c>
      <c r="AJ72" s="641" t="s">
        <v>856</v>
      </c>
      <c r="AK72" s="931" t="s">
        <v>952</v>
      </c>
      <c r="AL72" s="935" t="str">
        <f t="shared" si="31"/>
        <v/>
      </c>
      <c r="AM72" s="936">
        <f t="shared" si="32"/>
        <v>0</v>
      </c>
      <c r="AN72" s="641">
        <f t="shared" si="9"/>
        <v>0</v>
      </c>
      <c r="AO72" s="641" t="str">
        <f t="shared" si="10"/>
        <v/>
      </c>
      <c r="AP72" s="641" t="s">
        <v>981</v>
      </c>
    </row>
    <row r="73" spans="2:42" x14ac:dyDescent="0.2">
      <c r="B73"/>
      <c r="C73" s="743"/>
      <c r="D73" s="476" t="s">
        <v>542</v>
      </c>
      <c r="E73" s="313">
        <v>13020148</v>
      </c>
      <c r="F73" s="81" t="s">
        <v>557</v>
      </c>
      <c r="G73" s="311"/>
      <c r="H73" s="396" t="str">
        <f>IF(G73&gt;=0.1,240,"")</f>
        <v/>
      </c>
      <c r="I73" s="73" t="str">
        <f t="shared" si="30"/>
        <v/>
      </c>
      <c r="J73" s="565"/>
      <c r="M73" s="642"/>
      <c r="N73" s="642"/>
      <c r="AG73" s="641" t="str">
        <f t="shared" si="6"/>
        <v>27021519-01_C-01</v>
      </c>
      <c r="AH73" s="641">
        <f t="shared" si="7"/>
        <v>13020148</v>
      </c>
      <c r="AI73" s="641" t="str">
        <f t="shared" si="8"/>
        <v>Base Plate 1</v>
      </c>
      <c r="AJ73" s="641" t="s">
        <v>856</v>
      </c>
      <c r="AK73" s="931" t="s">
        <v>952</v>
      </c>
      <c r="AL73" s="935" t="str">
        <f t="shared" si="31"/>
        <v/>
      </c>
      <c r="AM73" s="936">
        <f t="shared" si="32"/>
        <v>0</v>
      </c>
      <c r="AN73" s="641">
        <f t="shared" si="9"/>
        <v>0</v>
      </c>
      <c r="AO73" s="641" t="str">
        <f t="shared" si="10"/>
        <v/>
      </c>
      <c r="AP73" s="641" t="s">
        <v>981</v>
      </c>
    </row>
    <row r="74" spans="2:42" ht="38.25" x14ac:dyDescent="0.2">
      <c r="B74"/>
      <c r="C74" s="743"/>
      <c r="D74" s="342" t="str">
        <f t="shared" ref="D74:D79" si="35">VLOOKUP($F74,$F$505:$I$935,3,FALSE)</f>
        <v>A100367</v>
      </c>
      <c r="E74" s="313">
        <f t="shared" ref="E74:E79" si="36">VLOOKUP($F74,$F$505:$I$935,2,FALSE)</f>
        <v>23020014</v>
      </c>
      <c r="F74" s="81" t="s">
        <v>532</v>
      </c>
      <c r="G74" s="312"/>
      <c r="H74" s="396" t="str">
        <f t="shared" ref="H74:H79" si="37">IF(G74&gt;=0.1,VLOOKUP(F74,F$504:I$935,4,FALSE),"")</f>
        <v/>
      </c>
      <c r="I74" s="73" t="str">
        <f t="shared" si="30"/>
        <v/>
      </c>
      <c r="J74" s="565"/>
      <c r="M74" s="642"/>
      <c r="N74" s="642"/>
      <c r="AG74" s="641" t="str">
        <f t="shared" si="6"/>
        <v>A100367</v>
      </c>
      <c r="AH74" s="641">
        <f t="shared" si="7"/>
        <v>23020014</v>
      </c>
      <c r="AI74" s="641" t="str">
        <f t="shared" si="8"/>
        <v xml:space="preserve">H-Foot with adjustable rubber feet and built in wheels for convenient relocation of the system. 
  </v>
      </c>
      <c r="AJ74" s="641" t="s">
        <v>856</v>
      </c>
      <c r="AK74" s="931" t="s">
        <v>952</v>
      </c>
      <c r="AL74" s="935" t="str">
        <f t="shared" si="31"/>
        <v/>
      </c>
      <c r="AM74" s="936">
        <f t="shared" si="32"/>
        <v>0</v>
      </c>
      <c r="AN74" s="641">
        <f t="shared" si="9"/>
        <v>0</v>
      </c>
      <c r="AO74" s="641" t="str">
        <f t="shared" si="10"/>
        <v/>
      </c>
      <c r="AP74" s="641" t="s">
        <v>981</v>
      </c>
    </row>
    <row r="75" spans="2:42" x14ac:dyDescent="0.2">
      <c r="B75"/>
      <c r="C75" s="743"/>
      <c r="D75" s="342" t="str">
        <f t="shared" si="35"/>
        <v>A100141</v>
      </c>
      <c r="E75" s="313">
        <f t="shared" si="36"/>
        <v>23020009</v>
      </c>
      <c r="F75" s="81" t="s">
        <v>533</v>
      </c>
      <c r="G75" s="312">
        <f t="shared" si="33"/>
        <v>2</v>
      </c>
      <c r="H75" s="396">
        <f t="shared" si="37"/>
        <v>560</v>
      </c>
      <c r="I75" s="73">
        <f t="shared" si="30"/>
        <v>1120</v>
      </c>
      <c r="J75" s="565"/>
      <c r="M75" s="642"/>
      <c r="N75" s="642"/>
      <c r="AG75" s="641" t="str">
        <f t="shared" si="6"/>
        <v>A100141</v>
      </c>
      <c r="AH75" s="641">
        <f t="shared" si="7"/>
        <v>23020009</v>
      </c>
      <c r="AI75" s="641" t="str">
        <f t="shared" si="8"/>
        <v>Tube Holder - Mounting arm</v>
      </c>
      <c r="AJ75" s="641" t="s">
        <v>856</v>
      </c>
      <c r="AK75" s="931" t="s">
        <v>952</v>
      </c>
      <c r="AL75" s="935">
        <f t="shared" si="31"/>
        <v>1120</v>
      </c>
      <c r="AM75" s="936">
        <f t="shared" si="32"/>
        <v>902.27199999999993</v>
      </c>
      <c r="AN75" s="641">
        <f t="shared" si="9"/>
        <v>2</v>
      </c>
      <c r="AO75" s="641" t="str">
        <f t="shared" si="10"/>
        <v>Show</v>
      </c>
      <c r="AP75" s="641" t="s">
        <v>981</v>
      </c>
    </row>
    <row r="76" spans="2:42" x14ac:dyDescent="0.2">
      <c r="B76"/>
      <c r="C76" s="743"/>
      <c r="D76" s="342" t="str">
        <f t="shared" si="35"/>
        <v>P101566</v>
      </c>
      <c r="E76" s="313">
        <f t="shared" si="36"/>
        <v>23020225</v>
      </c>
      <c r="F76" s="81" t="s">
        <v>837</v>
      </c>
      <c r="G76" s="312">
        <f t="shared" si="33"/>
        <v>2</v>
      </c>
      <c r="H76" s="396">
        <f t="shared" si="37"/>
        <v>331</v>
      </c>
      <c r="I76" s="73">
        <f t="shared" si="30"/>
        <v>662</v>
      </c>
      <c r="J76" s="565"/>
      <c r="M76" s="642"/>
      <c r="N76" s="642"/>
      <c r="AG76" s="641" t="str">
        <f t="shared" si="6"/>
        <v>P101566</v>
      </c>
      <c r="AH76" s="641">
        <f t="shared" si="7"/>
        <v>23020225</v>
      </c>
      <c r="AI76" s="641" t="str">
        <f t="shared" si="8"/>
        <v>Holder tube D51 L560</v>
      </c>
      <c r="AJ76" s="641" t="s">
        <v>856</v>
      </c>
      <c r="AK76" s="931" t="s">
        <v>952</v>
      </c>
      <c r="AL76" s="935">
        <f t="shared" si="31"/>
        <v>662</v>
      </c>
      <c r="AM76" s="936">
        <f t="shared" si="32"/>
        <v>533.30719999999997</v>
      </c>
      <c r="AN76" s="641">
        <f t="shared" si="9"/>
        <v>2</v>
      </c>
      <c r="AO76" s="641" t="str">
        <f t="shared" si="10"/>
        <v>Show</v>
      </c>
      <c r="AP76" s="641" t="s">
        <v>981</v>
      </c>
    </row>
    <row r="77" spans="2:42" x14ac:dyDescent="0.2">
      <c r="B77"/>
      <c r="C77" s="743"/>
      <c r="D77" s="342">
        <f t="shared" si="35"/>
        <v>20091604</v>
      </c>
      <c r="E77" s="313" t="str">
        <f t="shared" si="36"/>
        <v>13080192</v>
      </c>
      <c r="F77" s="129" t="s">
        <v>1054</v>
      </c>
      <c r="G77" s="312">
        <f t="shared" si="33"/>
        <v>2</v>
      </c>
      <c r="H77" s="396">
        <f t="shared" si="37"/>
        <v>460</v>
      </c>
      <c r="I77" s="73">
        <f t="shared" si="30"/>
        <v>920</v>
      </c>
      <c r="J77" s="565"/>
      <c r="M77" s="642"/>
      <c r="N77" s="642"/>
      <c r="AG77" s="641">
        <f t="shared" si="6"/>
        <v>20091604</v>
      </c>
      <c r="AH77" s="641" t="str">
        <f t="shared" si="7"/>
        <v>13080192</v>
      </c>
      <c r="AI77" s="641" t="str">
        <f t="shared" si="8"/>
        <v>JBox Assy</v>
      </c>
      <c r="AJ77" s="641" t="s">
        <v>897</v>
      </c>
      <c r="AK77" s="931" t="s">
        <v>952</v>
      </c>
      <c r="AL77" s="935">
        <f t="shared" si="31"/>
        <v>920</v>
      </c>
      <c r="AM77" s="936">
        <f t="shared" si="32"/>
        <v>741.15199999999993</v>
      </c>
      <c r="AN77" s="641">
        <f t="shared" si="9"/>
        <v>2</v>
      </c>
      <c r="AO77" s="641" t="str">
        <f t="shared" si="10"/>
        <v>Show</v>
      </c>
      <c r="AP77" s="641" t="s">
        <v>981</v>
      </c>
    </row>
    <row r="78" spans="2:42" x14ac:dyDescent="0.2">
      <c r="B78"/>
      <c r="C78" s="743"/>
      <c r="D78" s="342">
        <f t="shared" si="35"/>
        <v>15011615</v>
      </c>
      <c r="E78" s="313" t="str">
        <f t="shared" si="36"/>
        <v>13080193</v>
      </c>
      <c r="F78" s="87" t="s">
        <v>1055</v>
      </c>
      <c r="G78" s="312">
        <f t="shared" si="33"/>
        <v>2</v>
      </c>
      <c r="H78" s="396">
        <f t="shared" si="37"/>
        <v>105</v>
      </c>
      <c r="I78" s="73">
        <f t="shared" si="30"/>
        <v>210</v>
      </c>
      <c r="J78" s="565"/>
      <c r="M78" s="642"/>
      <c r="N78" s="642"/>
      <c r="AG78" s="641">
        <f t="shared" si="6"/>
        <v>15011615</v>
      </c>
      <c r="AH78" s="641" t="str">
        <f t="shared" si="7"/>
        <v>13080193</v>
      </c>
      <c r="AI78" s="641" t="str">
        <f t="shared" si="8"/>
        <v>JBox Holding Plate 4mm 304 2B</v>
      </c>
      <c r="AJ78" s="641" t="s">
        <v>897</v>
      </c>
      <c r="AK78" s="931" t="s">
        <v>952</v>
      </c>
      <c r="AL78" s="935">
        <f t="shared" si="31"/>
        <v>210</v>
      </c>
      <c r="AM78" s="936">
        <f t="shared" si="32"/>
        <v>169.17599999999999</v>
      </c>
      <c r="AN78" s="641">
        <f t="shared" si="9"/>
        <v>2</v>
      </c>
      <c r="AO78" s="641" t="str">
        <f t="shared" si="10"/>
        <v>Show</v>
      </c>
      <c r="AP78" s="641" t="s">
        <v>981</v>
      </c>
    </row>
    <row r="79" spans="2:42" ht="25.5" x14ac:dyDescent="0.2">
      <c r="B79"/>
      <c r="C79" s="744"/>
      <c r="D79" s="342" t="str">
        <f t="shared" si="35"/>
        <v>5612B162MATTHEWS</v>
      </c>
      <c r="E79" s="313" t="str">
        <f t="shared" si="36"/>
        <v>13120079</v>
      </c>
      <c r="F79" s="318" t="s">
        <v>458</v>
      </c>
      <c r="G79" s="312">
        <f t="shared" si="33"/>
        <v>2</v>
      </c>
      <c r="H79" s="396">
        <f t="shared" si="37"/>
        <v>310</v>
      </c>
      <c r="I79" s="73">
        <f t="shared" si="30"/>
        <v>620</v>
      </c>
      <c r="J79" s="565"/>
      <c r="M79" s="642"/>
      <c r="N79" s="642"/>
      <c r="AG79" s="641" t="str">
        <f t="shared" si="6"/>
        <v>5612B162MATTHEWS</v>
      </c>
      <c r="AH79" s="641" t="str">
        <f t="shared" si="7"/>
        <v>13120079</v>
      </c>
      <c r="AI79" s="641" t="str">
        <f t="shared" si="8"/>
        <v>Air Regulator Assembly</v>
      </c>
      <c r="AJ79" s="641" t="s">
        <v>897</v>
      </c>
      <c r="AK79" s="931" t="s">
        <v>952</v>
      </c>
      <c r="AL79" s="935">
        <f t="shared" si="31"/>
        <v>620</v>
      </c>
      <c r="AM79" s="936">
        <f t="shared" si="32"/>
        <v>499.47199999999998</v>
      </c>
      <c r="AN79" s="641">
        <f t="shared" si="9"/>
        <v>2</v>
      </c>
      <c r="AO79" s="641" t="str">
        <f t="shared" si="10"/>
        <v>Show</v>
      </c>
      <c r="AP79" s="641" t="s">
        <v>981</v>
      </c>
    </row>
    <row r="80" spans="2:42" ht="12.75" customHeight="1" x14ac:dyDescent="0.2">
      <c r="B80"/>
      <c r="C80" s="329"/>
      <c r="D80" s="330"/>
      <c r="E80" s="331"/>
      <c r="F80" s="332"/>
      <c r="G80" s="333"/>
      <c r="H80" s="334"/>
      <c r="I80" s="249"/>
      <c r="J80" s="565"/>
      <c r="M80" s="642"/>
      <c r="N80" s="642"/>
      <c r="AG80" s="641" t="str">
        <f t="shared" si="6"/>
        <v/>
      </c>
      <c r="AH80" s="641" t="str">
        <f t="shared" si="7"/>
        <v/>
      </c>
      <c r="AI80" s="641" t="str">
        <f t="shared" si="8"/>
        <v/>
      </c>
      <c r="AK80" s="931" t="s">
        <v>952</v>
      </c>
      <c r="AL80" s="641" t="str">
        <f>IF(G80&gt;0,I80,"")</f>
        <v/>
      </c>
      <c r="AN80" s="641">
        <f t="shared" si="9"/>
        <v>0</v>
      </c>
      <c r="AO80" s="641" t="str">
        <f t="shared" si="10"/>
        <v/>
      </c>
    </row>
    <row r="81" spans="2:42" ht="12.75" customHeight="1" x14ac:dyDescent="0.2">
      <c r="B81"/>
      <c r="C81" s="335"/>
      <c r="D81" s="336"/>
      <c r="E81" s="337"/>
      <c r="F81" s="338"/>
      <c r="G81" s="339"/>
      <c r="H81" s="340"/>
      <c r="I81" s="238"/>
      <c r="J81" s="565"/>
      <c r="M81" s="642"/>
      <c r="N81" s="642"/>
      <c r="AG81" s="641" t="str">
        <f t="shared" si="6"/>
        <v/>
      </c>
      <c r="AH81" s="641" t="str">
        <f t="shared" si="7"/>
        <v/>
      </c>
      <c r="AI81" s="641" t="str">
        <f t="shared" si="8"/>
        <v/>
      </c>
      <c r="AK81" s="931" t="s">
        <v>952</v>
      </c>
      <c r="AL81" s="641" t="str">
        <f>IF(G81&gt;0,I81,"")</f>
        <v/>
      </c>
      <c r="AN81" s="641">
        <f t="shared" si="9"/>
        <v>0</v>
      </c>
      <c r="AO81" s="641" t="str">
        <f t="shared" si="10"/>
        <v/>
      </c>
    </row>
    <row r="82" spans="2:42" ht="18.600000000000001" customHeight="1" x14ac:dyDescent="0.2">
      <c r="B82"/>
      <c r="C82" s="742"/>
      <c r="D82" s="748" t="str">
        <f t="shared" ref="D82:D91" si="38">VLOOKUP($F82,$F$505:$I$935,3,FALSE)</f>
        <v>A100047</v>
      </c>
      <c r="E82" s="749">
        <f t="shared" ref="E82:E91" si="39">VLOOKUP($F82,$F$505:$I$935,2,FALSE)</f>
        <v>23010003</v>
      </c>
      <c r="F82" s="751" t="s">
        <v>310</v>
      </c>
      <c r="G82" s="312"/>
      <c r="H82" s="396" t="str">
        <f t="shared" ref="H82:H91" si="40">IF(G82&gt;=0.1,VLOOKUP(F82,F$504:I$935,4,FALSE),"")</f>
        <v/>
      </c>
      <c r="I82" s="73" t="str">
        <f t="shared" ref="I82:I98" si="41">IF(ISERROR(H82*G82),"",H82*G82)</f>
        <v/>
      </c>
      <c r="J82" s="565"/>
      <c r="M82" s="642"/>
      <c r="N82" s="642"/>
      <c r="AG82" s="641" t="str">
        <f t="shared" si="6"/>
        <v>A100047</v>
      </c>
      <c r="AH82" s="641">
        <f t="shared" si="7"/>
        <v>23010003</v>
      </c>
      <c r="AI82" s="641" t="str">
        <f t="shared" si="8"/>
        <v>T43 LPA</v>
      </c>
      <c r="AJ82" s="641" t="s">
        <v>952</v>
      </c>
      <c r="AK82" s="931" t="s">
        <v>952</v>
      </c>
      <c r="AL82" s="935" t="str">
        <f t="shared" ref="AL82:AL98" si="42">IF(G82&gt;0,I82,"")</f>
        <v/>
      </c>
      <c r="AM82" s="936">
        <f t="shared" ref="AM82:AM98" si="43">IF(AL82="",0,AL82*(1+$E$436))</f>
        <v>0</v>
      </c>
      <c r="AN82" s="641">
        <f t="shared" si="9"/>
        <v>0</v>
      </c>
      <c r="AO82" s="641" t="str">
        <f t="shared" si="10"/>
        <v/>
      </c>
      <c r="AP82" s="641" t="s">
        <v>981</v>
      </c>
    </row>
    <row r="83" spans="2:42" ht="34.5" hidden="1" customHeight="1" x14ac:dyDescent="0.2">
      <c r="B83"/>
      <c r="C83" s="743"/>
      <c r="D83" s="342" t="str">
        <f t="shared" si="38"/>
        <v>A100261</v>
      </c>
      <c r="E83" s="313">
        <f t="shared" si="39"/>
        <v>23020039</v>
      </c>
      <c r="F83" s="407" t="s">
        <v>436</v>
      </c>
      <c r="G83" s="312">
        <f>$G$82</f>
        <v>0</v>
      </c>
      <c r="H83" s="396" t="str">
        <f t="shared" si="40"/>
        <v/>
      </c>
      <c r="I83" s="73" t="str">
        <f t="shared" si="41"/>
        <v/>
      </c>
      <c r="J83" s="565"/>
      <c r="M83" s="642"/>
      <c r="N83" s="642"/>
      <c r="AG83" s="641" t="str">
        <f t="shared" si="6"/>
        <v>A100261</v>
      </c>
      <c r="AH83" s="641">
        <f t="shared" si="7"/>
        <v>23020039</v>
      </c>
      <c r="AI83" s="641" t="str">
        <f t="shared" si="8"/>
        <v>Belt Applicator - Upto 40M/Min Fixed Speed</v>
      </c>
      <c r="AJ83" s="641" t="s">
        <v>856</v>
      </c>
      <c r="AK83" s="931" t="s">
        <v>952</v>
      </c>
      <c r="AL83" s="935" t="str">
        <f t="shared" si="42"/>
        <v/>
      </c>
      <c r="AM83" s="936">
        <f t="shared" si="43"/>
        <v>0</v>
      </c>
      <c r="AN83" s="641">
        <f t="shared" si="9"/>
        <v>0</v>
      </c>
      <c r="AO83" s="641" t="str">
        <f t="shared" si="10"/>
        <v/>
      </c>
      <c r="AP83" s="641" t="s">
        <v>981</v>
      </c>
    </row>
    <row r="84" spans="2:42" ht="34.5" hidden="1" customHeight="1" x14ac:dyDescent="0.2">
      <c r="B84"/>
      <c r="C84" s="743"/>
      <c r="D84" s="342" t="str">
        <f t="shared" si="38"/>
        <v>A100261</v>
      </c>
      <c r="E84" s="313">
        <f t="shared" si="39"/>
        <v>23020039</v>
      </c>
      <c r="F84" s="407" t="s">
        <v>436</v>
      </c>
      <c r="G84" s="311"/>
      <c r="H84" s="396" t="str">
        <f t="shared" si="40"/>
        <v/>
      </c>
      <c r="I84" s="73" t="str">
        <f t="shared" si="41"/>
        <v/>
      </c>
      <c r="J84" s="565"/>
      <c r="M84" s="642"/>
      <c r="N84" s="642"/>
      <c r="AG84" s="641" t="str">
        <f t="shared" si="6"/>
        <v>A100261</v>
      </c>
      <c r="AH84" s="641">
        <f t="shared" si="7"/>
        <v>23020039</v>
      </c>
      <c r="AI84" s="641" t="str">
        <f t="shared" si="8"/>
        <v>Belt Applicator - Upto 40M/Min Fixed Speed</v>
      </c>
      <c r="AJ84" s="641" t="s">
        <v>856</v>
      </c>
      <c r="AK84" s="931" t="s">
        <v>952</v>
      </c>
      <c r="AL84" s="935" t="str">
        <f t="shared" si="42"/>
        <v/>
      </c>
      <c r="AM84" s="936">
        <f t="shared" si="43"/>
        <v>0</v>
      </c>
      <c r="AN84" s="641">
        <f t="shared" si="9"/>
        <v>0</v>
      </c>
      <c r="AO84" s="641" t="str">
        <f t="shared" si="10"/>
        <v/>
      </c>
      <c r="AP84" s="641" t="s">
        <v>981</v>
      </c>
    </row>
    <row r="85" spans="2:42" hidden="1" x14ac:dyDescent="0.2">
      <c r="B85"/>
      <c r="C85" s="743"/>
      <c r="D85" s="342" t="str">
        <f t="shared" si="38"/>
        <v>TBA</v>
      </c>
      <c r="E85" s="313">
        <f t="shared" si="39"/>
        <v>23020047</v>
      </c>
      <c r="F85" s="81" t="s">
        <v>422</v>
      </c>
      <c r="G85" s="312">
        <f t="shared" ref="G85:G98" si="44">$G$82</f>
        <v>0</v>
      </c>
      <c r="H85" s="396" t="str">
        <f t="shared" si="40"/>
        <v/>
      </c>
      <c r="I85" s="73" t="str">
        <f t="shared" si="41"/>
        <v/>
      </c>
      <c r="J85" s="565"/>
      <c r="M85" s="642"/>
      <c r="N85" s="642"/>
      <c r="AG85" s="641" t="str">
        <f t="shared" si="6"/>
        <v>TBA</v>
      </c>
      <c r="AH85" s="641">
        <f t="shared" si="7"/>
        <v>23020047</v>
      </c>
      <c r="AI85" s="641" t="str">
        <f t="shared" si="8"/>
        <v>Applicator Plate  104mm X 55mm</v>
      </c>
      <c r="AJ85" s="641" t="s">
        <v>856</v>
      </c>
      <c r="AK85" s="931" t="s">
        <v>952</v>
      </c>
      <c r="AL85" s="935" t="str">
        <f t="shared" si="42"/>
        <v/>
      </c>
      <c r="AM85" s="936">
        <f t="shared" si="43"/>
        <v>0</v>
      </c>
      <c r="AN85" s="641">
        <f t="shared" si="9"/>
        <v>0</v>
      </c>
      <c r="AO85" s="641" t="str">
        <f t="shared" si="10"/>
        <v/>
      </c>
      <c r="AP85" s="641" t="s">
        <v>981</v>
      </c>
    </row>
    <row r="86" spans="2:42" ht="25.5" hidden="1" x14ac:dyDescent="0.2">
      <c r="B86"/>
      <c r="C86" s="743"/>
      <c r="D86" s="342" t="str">
        <f t="shared" si="38"/>
        <v>K100130</v>
      </c>
      <c r="E86" s="313">
        <f t="shared" si="39"/>
        <v>23020177</v>
      </c>
      <c r="F86" s="407" t="s">
        <v>814</v>
      </c>
      <c r="G86" s="311">
        <f>G82</f>
        <v>0</v>
      </c>
      <c r="H86" s="396" t="str">
        <f t="shared" si="40"/>
        <v/>
      </c>
      <c r="I86" s="73" t="str">
        <f t="shared" si="41"/>
        <v/>
      </c>
      <c r="J86" s="565"/>
      <c r="M86" s="642"/>
      <c r="N86" s="642"/>
      <c r="AG86" s="641" t="str">
        <f>IF(D86="","",D86)</f>
        <v>K100130</v>
      </c>
      <c r="AH86" s="641">
        <f>IF(E86="","",E86)</f>
        <v>23020177</v>
      </c>
      <c r="AI86" s="641" t="str">
        <f>IF(F86="","",F86)</f>
        <v>Mini-panel with 4 buttons &amp; Holder that allow mounting - Status beacon &amp; chassis.</v>
      </c>
      <c r="AJ86" s="641" t="s">
        <v>856</v>
      </c>
      <c r="AK86" s="931" t="s">
        <v>952</v>
      </c>
      <c r="AL86" s="935" t="str">
        <f t="shared" si="42"/>
        <v/>
      </c>
      <c r="AM86" s="936">
        <f t="shared" si="43"/>
        <v>0</v>
      </c>
      <c r="AN86" s="641">
        <f>IF(G86="",0,G86)</f>
        <v>0</v>
      </c>
      <c r="AO86" s="641" t="str">
        <f>IF(AN86&gt;0,"Show", "")</f>
        <v/>
      </c>
      <c r="AP86" s="641" t="s">
        <v>981</v>
      </c>
    </row>
    <row r="87" spans="2:42" ht="38.25" hidden="1" x14ac:dyDescent="0.2">
      <c r="B87"/>
      <c r="C87" s="743"/>
      <c r="D87" s="342" t="str">
        <f t="shared" si="38"/>
        <v>K100005</v>
      </c>
      <c r="E87" s="313">
        <f t="shared" si="39"/>
        <v>23020017</v>
      </c>
      <c r="F87" s="407" t="s">
        <v>452</v>
      </c>
      <c r="G87" s="312">
        <f>G82</f>
        <v>0</v>
      </c>
      <c r="H87" s="396" t="str">
        <f t="shared" si="40"/>
        <v/>
      </c>
      <c r="I87" s="73" t="str">
        <f t="shared" si="41"/>
        <v/>
      </c>
      <c r="J87" s="565"/>
      <c r="M87" s="642"/>
      <c r="N87" s="642"/>
      <c r="AG87" s="641" t="str">
        <f t="shared" si="6"/>
        <v>K100005</v>
      </c>
      <c r="AH87" s="641">
        <f t="shared" si="7"/>
        <v>23020017</v>
      </c>
      <c r="AI87" s="641" t="str">
        <f t="shared" si="8"/>
        <v xml:space="preserve">Color touch screen 12” with 1.8 m cabling and ergonomic holder that suits all Autolabel stands
</v>
      </c>
      <c r="AJ87" s="641" t="s">
        <v>856</v>
      </c>
      <c r="AK87" s="931" t="s">
        <v>952</v>
      </c>
      <c r="AL87" s="935" t="str">
        <f t="shared" si="42"/>
        <v/>
      </c>
      <c r="AM87" s="936">
        <f t="shared" si="43"/>
        <v>0</v>
      </c>
      <c r="AN87" s="641">
        <f t="shared" si="9"/>
        <v>0</v>
      </c>
      <c r="AO87" s="641" t="str">
        <f t="shared" si="10"/>
        <v/>
      </c>
      <c r="AP87" s="641" t="s">
        <v>981</v>
      </c>
    </row>
    <row r="88" spans="2:42" hidden="1" x14ac:dyDescent="0.2">
      <c r="B88"/>
      <c r="C88" s="743"/>
      <c r="D88" s="342">
        <f t="shared" si="38"/>
        <v>23020095</v>
      </c>
      <c r="E88" s="313">
        <f t="shared" si="39"/>
        <v>23020095</v>
      </c>
      <c r="F88" s="321" t="s">
        <v>1052</v>
      </c>
      <c r="G88" s="312">
        <f>G82</f>
        <v>0</v>
      </c>
      <c r="H88" s="396" t="str">
        <f t="shared" si="40"/>
        <v/>
      </c>
      <c r="I88" s="73" t="str">
        <f>IF(ISERROR(H88*G88),"",H88*G88)</f>
        <v/>
      </c>
      <c r="J88" s="565"/>
      <c r="M88" s="642"/>
      <c r="N88" s="642"/>
      <c r="AG88" s="641">
        <f t="shared" ref="AG88:AI89" si="45">IF(D88="","",D88)</f>
        <v>23020095</v>
      </c>
      <c r="AH88" s="641">
        <f t="shared" si="45"/>
        <v>23020095</v>
      </c>
      <c r="AI88" s="641" t="str">
        <f t="shared" si="45"/>
        <v>Min Wireless N Usb Adap 300Mbs</v>
      </c>
      <c r="AJ88" s="641" t="s">
        <v>856</v>
      </c>
      <c r="AK88" s="931" t="s">
        <v>952</v>
      </c>
      <c r="AL88" s="935" t="str">
        <f>IF(G88&gt;0,I88,"")</f>
        <v/>
      </c>
      <c r="AM88" s="936">
        <f t="shared" si="43"/>
        <v>0</v>
      </c>
      <c r="AN88" s="641">
        <f>IF(G88="",0,G88)</f>
        <v>0</v>
      </c>
      <c r="AO88" s="641" t="str">
        <f>IF(AN88&gt;0,"Show", "")</f>
        <v/>
      </c>
      <c r="AP88" s="641" t="s">
        <v>981</v>
      </c>
    </row>
    <row r="89" spans="2:42" hidden="1" x14ac:dyDescent="0.2">
      <c r="B89"/>
      <c r="C89" s="743"/>
      <c r="D89" s="342" t="str">
        <f t="shared" si="38"/>
        <v>CLI 56P310-E0</v>
      </c>
      <c r="E89" s="313" t="str">
        <f t="shared" si="39"/>
        <v>13020122</v>
      </c>
      <c r="F89" s="321" t="s">
        <v>1053</v>
      </c>
      <c r="G89" s="312">
        <f>G82</f>
        <v>0</v>
      </c>
      <c r="H89" s="396" t="str">
        <f t="shared" si="40"/>
        <v/>
      </c>
      <c r="I89" s="73" t="str">
        <f>IF(ISERROR(H89*G89),"",H89*G89)</f>
        <v/>
      </c>
      <c r="J89" s="565"/>
      <c r="M89" s="642"/>
      <c r="N89" s="642"/>
      <c r="AG89" s="641" t="str">
        <f t="shared" si="45"/>
        <v>CLI 56P310-E0</v>
      </c>
      <c r="AH89" s="641" t="str">
        <f t="shared" si="45"/>
        <v>13020122</v>
      </c>
      <c r="AI89" s="641" t="str">
        <f t="shared" si="45"/>
        <v>Plug 250V 10A 3F Pins</v>
      </c>
      <c r="AJ89" s="641" t="s">
        <v>856</v>
      </c>
      <c r="AK89" s="931" t="s">
        <v>952</v>
      </c>
      <c r="AL89" s="935" t="str">
        <f>IF(G89&gt;0,I89,"")</f>
        <v/>
      </c>
      <c r="AM89" s="936">
        <f t="shared" si="43"/>
        <v>0</v>
      </c>
      <c r="AN89" s="641">
        <f>IF(G89="",0,G89)</f>
        <v>0</v>
      </c>
      <c r="AO89" s="641" t="str">
        <f>IF(AN89&gt;0,"Show", "")</f>
        <v/>
      </c>
      <c r="AP89" s="641" t="s">
        <v>981</v>
      </c>
    </row>
    <row r="90" spans="2:42" hidden="1" x14ac:dyDescent="0.2">
      <c r="B90"/>
      <c r="C90" s="743"/>
      <c r="D90" s="342" t="str">
        <f t="shared" si="38"/>
        <v>A100248</v>
      </c>
      <c r="E90" s="313">
        <f t="shared" si="39"/>
        <v>23020016</v>
      </c>
      <c r="F90" s="81" t="s">
        <v>530</v>
      </c>
      <c r="G90" s="312">
        <f t="shared" si="44"/>
        <v>0</v>
      </c>
      <c r="H90" s="396" t="str">
        <f t="shared" si="40"/>
        <v/>
      </c>
      <c r="I90" s="73" t="str">
        <f t="shared" si="41"/>
        <v/>
      </c>
      <c r="J90" s="565"/>
      <c r="M90" s="642"/>
      <c r="N90" s="642"/>
      <c r="AG90" s="641" t="str">
        <f t="shared" si="6"/>
        <v>A100248</v>
      </c>
      <c r="AH90" s="641">
        <f t="shared" si="7"/>
        <v>23020016</v>
      </c>
      <c r="AI90" s="641" t="str">
        <f t="shared" si="8"/>
        <v>Column (aluminum 1500mm)</v>
      </c>
      <c r="AJ90" s="641" t="s">
        <v>856</v>
      </c>
      <c r="AK90" s="931" t="s">
        <v>952</v>
      </c>
      <c r="AL90" s="935" t="str">
        <f t="shared" si="42"/>
        <v/>
      </c>
      <c r="AM90" s="936">
        <f t="shared" si="43"/>
        <v>0</v>
      </c>
      <c r="AN90" s="641">
        <f t="shared" si="9"/>
        <v>0</v>
      </c>
      <c r="AO90" s="641" t="str">
        <f t="shared" si="10"/>
        <v/>
      </c>
      <c r="AP90" s="641" t="s">
        <v>981</v>
      </c>
    </row>
    <row r="91" spans="2:42" hidden="1" x14ac:dyDescent="0.2">
      <c r="B91"/>
      <c r="C91" s="743"/>
      <c r="D91" s="342" t="str">
        <f t="shared" si="38"/>
        <v>A100248</v>
      </c>
      <c r="E91" s="313">
        <f t="shared" si="39"/>
        <v>23020016</v>
      </c>
      <c r="F91" s="81" t="s">
        <v>530</v>
      </c>
      <c r="G91" s="311"/>
      <c r="H91" s="396" t="str">
        <f t="shared" si="40"/>
        <v/>
      </c>
      <c r="I91" s="73" t="str">
        <f t="shared" si="41"/>
        <v/>
      </c>
      <c r="J91" s="565"/>
      <c r="M91" s="642"/>
      <c r="N91" s="642"/>
      <c r="AG91" s="641" t="str">
        <f t="shared" si="6"/>
        <v>A100248</v>
      </c>
      <c r="AH91" s="641">
        <f t="shared" si="7"/>
        <v>23020016</v>
      </c>
      <c r="AI91" s="641" t="str">
        <f t="shared" si="8"/>
        <v>Column (aluminum 1500mm)</v>
      </c>
      <c r="AJ91" s="641" t="s">
        <v>856</v>
      </c>
      <c r="AK91" s="931" t="s">
        <v>952</v>
      </c>
      <c r="AL91" s="935" t="str">
        <f t="shared" si="42"/>
        <v/>
      </c>
      <c r="AM91" s="936">
        <f t="shared" si="43"/>
        <v>0</v>
      </c>
      <c r="AN91" s="641">
        <f t="shared" si="9"/>
        <v>0</v>
      </c>
      <c r="AO91" s="641" t="str">
        <f t="shared" si="10"/>
        <v/>
      </c>
      <c r="AP91" s="641" t="s">
        <v>981</v>
      </c>
    </row>
    <row r="92" spans="2:42" hidden="1" x14ac:dyDescent="0.2">
      <c r="B92"/>
      <c r="C92" s="743"/>
      <c r="D92" s="476" t="s">
        <v>542</v>
      </c>
      <c r="E92" s="313">
        <v>13020148</v>
      </c>
      <c r="F92" s="81" t="s">
        <v>557</v>
      </c>
      <c r="G92" s="311">
        <f>G90</f>
        <v>0</v>
      </c>
      <c r="H92" s="396" t="str">
        <f>IF(G92&gt;=0.1,240,"")</f>
        <v/>
      </c>
      <c r="I92" s="73" t="str">
        <f t="shared" si="41"/>
        <v/>
      </c>
      <c r="J92" s="565"/>
      <c r="M92" s="642"/>
      <c r="N92" s="642"/>
      <c r="AG92" s="641" t="str">
        <f t="shared" si="6"/>
        <v>27021519-01_C-01</v>
      </c>
      <c r="AH92" s="641">
        <f t="shared" si="7"/>
        <v>13020148</v>
      </c>
      <c r="AI92" s="641" t="str">
        <f t="shared" si="8"/>
        <v>Base Plate 1</v>
      </c>
      <c r="AJ92" s="641" t="s">
        <v>856</v>
      </c>
      <c r="AK92" s="931" t="s">
        <v>952</v>
      </c>
      <c r="AL92" s="935" t="str">
        <f t="shared" si="42"/>
        <v/>
      </c>
      <c r="AM92" s="936">
        <f t="shared" si="43"/>
        <v>0</v>
      </c>
      <c r="AN92" s="641">
        <f t="shared" si="9"/>
        <v>0</v>
      </c>
      <c r="AO92" s="641" t="str">
        <f t="shared" si="10"/>
        <v/>
      </c>
      <c r="AP92" s="641" t="s">
        <v>981</v>
      </c>
    </row>
    <row r="93" spans="2:42" ht="38.25" hidden="1" x14ac:dyDescent="0.2">
      <c r="B93"/>
      <c r="C93" s="743"/>
      <c r="D93" s="342" t="str">
        <f t="shared" ref="D93:D98" si="46">VLOOKUP($F93,$F$505:$I$935,3,FALSE)</f>
        <v>A100367</v>
      </c>
      <c r="E93" s="313">
        <f t="shared" ref="E93:E98" si="47">VLOOKUP($F93,$F$505:$I$935,2,FALSE)</f>
        <v>23020014</v>
      </c>
      <c r="F93" s="81" t="s">
        <v>532</v>
      </c>
      <c r="G93" s="312"/>
      <c r="H93" s="396" t="str">
        <f t="shared" ref="H93:H98" si="48">IF(G93&gt;=0.1,VLOOKUP(F93,F$504:I$935,4,FALSE),"")</f>
        <v/>
      </c>
      <c r="I93" s="73" t="str">
        <f t="shared" si="41"/>
        <v/>
      </c>
      <c r="J93" s="565"/>
      <c r="M93" s="642"/>
      <c r="N93" s="642"/>
      <c r="AG93" s="641" t="str">
        <f t="shared" si="6"/>
        <v>A100367</v>
      </c>
      <c r="AH93" s="641">
        <f t="shared" si="7"/>
        <v>23020014</v>
      </c>
      <c r="AI93" s="641" t="str">
        <f t="shared" si="8"/>
        <v xml:space="preserve">H-Foot with adjustable rubber feet and built in wheels for convenient relocation of the system. 
  </v>
      </c>
      <c r="AJ93" s="641" t="s">
        <v>856</v>
      </c>
      <c r="AK93" s="931" t="s">
        <v>952</v>
      </c>
      <c r="AL93" s="935" t="str">
        <f t="shared" si="42"/>
        <v/>
      </c>
      <c r="AM93" s="936">
        <f t="shared" si="43"/>
        <v>0</v>
      </c>
      <c r="AN93" s="641">
        <f t="shared" si="9"/>
        <v>0</v>
      </c>
      <c r="AO93" s="641" t="str">
        <f t="shared" si="10"/>
        <v/>
      </c>
      <c r="AP93" s="641" t="s">
        <v>981</v>
      </c>
    </row>
    <row r="94" spans="2:42" hidden="1" x14ac:dyDescent="0.2">
      <c r="B94"/>
      <c r="C94" s="743"/>
      <c r="D94" s="342" t="str">
        <f t="shared" si="46"/>
        <v>A100141</v>
      </c>
      <c r="E94" s="313">
        <f t="shared" si="47"/>
        <v>23020009</v>
      </c>
      <c r="F94" s="81" t="s">
        <v>533</v>
      </c>
      <c r="G94" s="312">
        <f t="shared" si="44"/>
        <v>0</v>
      </c>
      <c r="H94" s="396" t="str">
        <f t="shared" si="48"/>
        <v/>
      </c>
      <c r="I94" s="73" t="str">
        <f t="shared" si="41"/>
        <v/>
      </c>
      <c r="J94" s="565"/>
      <c r="M94" s="642"/>
      <c r="N94" s="642"/>
      <c r="AG94" s="641" t="str">
        <f t="shared" si="6"/>
        <v>A100141</v>
      </c>
      <c r="AH94" s="641">
        <f t="shared" si="7"/>
        <v>23020009</v>
      </c>
      <c r="AI94" s="641" t="str">
        <f t="shared" si="8"/>
        <v>Tube Holder - Mounting arm</v>
      </c>
      <c r="AJ94" s="641" t="s">
        <v>856</v>
      </c>
      <c r="AK94" s="931" t="s">
        <v>952</v>
      </c>
      <c r="AL94" s="935" t="str">
        <f t="shared" si="42"/>
        <v/>
      </c>
      <c r="AM94" s="936">
        <f t="shared" si="43"/>
        <v>0</v>
      </c>
      <c r="AN94" s="641">
        <f t="shared" si="9"/>
        <v>0</v>
      </c>
      <c r="AO94" s="641" t="str">
        <f t="shared" si="10"/>
        <v/>
      </c>
      <c r="AP94" s="641" t="s">
        <v>981</v>
      </c>
    </row>
    <row r="95" spans="2:42" hidden="1" x14ac:dyDescent="0.2">
      <c r="B95"/>
      <c r="C95" s="743"/>
      <c r="D95" s="342" t="str">
        <f t="shared" si="46"/>
        <v>P101566</v>
      </c>
      <c r="E95" s="313">
        <f t="shared" si="47"/>
        <v>23020225</v>
      </c>
      <c r="F95" s="81" t="s">
        <v>837</v>
      </c>
      <c r="G95" s="312">
        <f t="shared" si="44"/>
        <v>0</v>
      </c>
      <c r="H95" s="396" t="str">
        <f t="shared" si="48"/>
        <v/>
      </c>
      <c r="I95" s="73" t="str">
        <f t="shared" si="41"/>
        <v/>
      </c>
      <c r="J95" s="565"/>
      <c r="M95" s="642"/>
      <c r="N95" s="642"/>
      <c r="AG95" s="641" t="str">
        <f t="shared" si="6"/>
        <v>P101566</v>
      </c>
      <c r="AH95" s="641">
        <f t="shared" si="7"/>
        <v>23020225</v>
      </c>
      <c r="AI95" s="641" t="str">
        <f t="shared" si="8"/>
        <v>Holder tube D51 L560</v>
      </c>
      <c r="AJ95" s="641" t="s">
        <v>856</v>
      </c>
      <c r="AK95" s="931" t="s">
        <v>952</v>
      </c>
      <c r="AL95" s="935" t="str">
        <f t="shared" si="42"/>
        <v/>
      </c>
      <c r="AM95" s="936">
        <f t="shared" si="43"/>
        <v>0</v>
      </c>
      <c r="AN95" s="641">
        <f t="shared" si="9"/>
        <v>0</v>
      </c>
      <c r="AO95" s="641" t="str">
        <f t="shared" si="10"/>
        <v/>
      </c>
      <c r="AP95" s="641" t="s">
        <v>981</v>
      </c>
    </row>
    <row r="96" spans="2:42" hidden="1" x14ac:dyDescent="0.2">
      <c r="B96"/>
      <c r="C96" s="743"/>
      <c r="D96" s="342">
        <f t="shared" si="46"/>
        <v>20091604</v>
      </c>
      <c r="E96" s="313" t="str">
        <f t="shared" si="47"/>
        <v>13080192</v>
      </c>
      <c r="F96" s="129" t="s">
        <v>1054</v>
      </c>
      <c r="G96" s="312">
        <f t="shared" si="44"/>
        <v>0</v>
      </c>
      <c r="H96" s="396" t="str">
        <f t="shared" si="48"/>
        <v/>
      </c>
      <c r="I96" s="73" t="str">
        <f t="shared" si="41"/>
        <v/>
      </c>
      <c r="J96" s="565"/>
      <c r="M96" s="642"/>
      <c r="N96" s="642"/>
      <c r="AG96" s="641">
        <f t="shared" si="6"/>
        <v>20091604</v>
      </c>
      <c r="AH96" s="641" t="str">
        <f t="shared" si="7"/>
        <v>13080192</v>
      </c>
      <c r="AI96" s="641" t="str">
        <f t="shared" si="8"/>
        <v>JBox Assy</v>
      </c>
      <c r="AJ96" s="641" t="s">
        <v>897</v>
      </c>
      <c r="AK96" s="931" t="s">
        <v>952</v>
      </c>
      <c r="AL96" s="935" t="str">
        <f t="shared" si="42"/>
        <v/>
      </c>
      <c r="AM96" s="936">
        <f t="shared" si="43"/>
        <v>0</v>
      </c>
      <c r="AN96" s="641">
        <f t="shared" si="9"/>
        <v>0</v>
      </c>
      <c r="AO96" s="641" t="str">
        <f t="shared" si="10"/>
        <v/>
      </c>
      <c r="AP96" s="641" t="s">
        <v>981</v>
      </c>
    </row>
    <row r="97" spans="2:42" hidden="1" x14ac:dyDescent="0.2">
      <c r="B97"/>
      <c r="C97" s="743"/>
      <c r="D97" s="342">
        <f t="shared" si="46"/>
        <v>15011615</v>
      </c>
      <c r="E97" s="313" t="str">
        <f t="shared" si="47"/>
        <v>13080193</v>
      </c>
      <c r="F97" s="87" t="s">
        <v>573</v>
      </c>
      <c r="G97" s="312">
        <f t="shared" si="44"/>
        <v>0</v>
      </c>
      <c r="H97" s="396" t="str">
        <f t="shared" si="48"/>
        <v/>
      </c>
      <c r="I97" s="73" t="str">
        <f t="shared" si="41"/>
        <v/>
      </c>
      <c r="J97" s="565"/>
      <c r="M97" s="642"/>
      <c r="N97" s="642"/>
      <c r="AG97" s="641">
        <f t="shared" si="6"/>
        <v>15011615</v>
      </c>
      <c r="AH97" s="641" t="str">
        <f t="shared" si="7"/>
        <v>13080193</v>
      </c>
      <c r="AI97" s="641" t="str">
        <f t="shared" si="8"/>
        <v>JBOX HOLDING PLATE 4MM 304 2B</v>
      </c>
      <c r="AJ97" s="641" t="s">
        <v>897</v>
      </c>
      <c r="AK97" s="931" t="s">
        <v>952</v>
      </c>
      <c r="AL97" s="935" t="str">
        <f t="shared" si="42"/>
        <v/>
      </c>
      <c r="AM97" s="936">
        <f t="shared" si="43"/>
        <v>0</v>
      </c>
      <c r="AN97" s="641">
        <f t="shared" si="9"/>
        <v>0</v>
      </c>
      <c r="AO97" s="641" t="str">
        <f t="shared" si="10"/>
        <v/>
      </c>
      <c r="AP97" s="641" t="s">
        <v>981</v>
      </c>
    </row>
    <row r="98" spans="2:42" ht="25.5" hidden="1" x14ac:dyDescent="0.2">
      <c r="B98"/>
      <c r="C98" s="744"/>
      <c r="D98" s="342" t="str">
        <f t="shared" si="46"/>
        <v>5612B162MATTHEWS</v>
      </c>
      <c r="E98" s="313" t="str">
        <f t="shared" si="47"/>
        <v>13120079</v>
      </c>
      <c r="F98" s="319" t="s">
        <v>458</v>
      </c>
      <c r="G98" s="312">
        <f t="shared" si="44"/>
        <v>0</v>
      </c>
      <c r="H98" s="396" t="str">
        <f t="shared" si="48"/>
        <v/>
      </c>
      <c r="I98" s="73" t="str">
        <f t="shared" si="41"/>
        <v/>
      </c>
      <c r="J98" s="565"/>
      <c r="M98" s="642"/>
      <c r="N98" s="642"/>
      <c r="AG98" s="641" t="str">
        <f t="shared" si="6"/>
        <v>5612B162MATTHEWS</v>
      </c>
      <c r="AH98" s="641" t="str">
        <f t="shared" si="7"/>
        <v>13120079</v>
      </c>
      <c r="AI98" s="641" t="str">
        <f t="shared" si="8"/>
        <v>Air Regulator Assembly</v>
      </c>
      <c r="AJ98" s="641" t="s">
        <v>897</v>
      </c>
      <c r="AK98" s="931" t="s">
        <v>952</v>
      </c>
      <c r="AL98" s="935" t="str">
        <f t="shared" si="42"/>
        <v/>
      </c>
      <c r="AM98" s="936">
        <f t="shared" si="43"/>
        <v>0</v>
      </c>
      <c r="AN98" s="641">
        <f t="shared" si="9"/>
        <v>0</v>
      </c>
      <c r="AO98" s="641" t="str">
        <f t="shared" si="10"/>
        <v/>
      </c>
      <c r="AP98" s="641" t="s">
        <v>981</v>
      </c>
    </row>
    <row r="99" spans="2:42" x14ac:dyDescent="0.2">
      <c r="B99"/>
      <c r="C99" s="329"/>
      <c r="D99" s="330"/>
      <c r="E99" s="331"/>
      <c r="F99" s="332"/>
      <c r="G99" s="333"/>
      <c r="H99" s="334"/>
      <c r="I99" s="249"/>
      <c r="J99" s="565"/>
      <c r="M99" s="642">
        <f>IF(M25="STD ", G25,0)</f>
        <v>0</v>
      </c>
      <c r="N99" s="642"/>
      <c r="Q99" s="641" t="s">
        <v>247</v>
      </c>
      <c r="R99" s="641" t="e">
        <f>G104+#REF!</f>
        <v>#REF!</v>
      </c>
      <c r="S99" s="641">
        <f>IFERROR(VLOOKUP(R99,G936:I958,2,FALSE),0)</f>
        <v>0</v>
      </c>
      <c r="V99" s="641" t="str">
        <f>IF($M$25="STD ",#REF!,IF($M$25="MINI",#REF!,""))</f>
        <v/>
      </c>
      <c r="AG99" s="641" t="str">
        <f t="shared" si="6"/>
        <v/>
      </c>
      <c r="AH99" s="641" t="str">
        <f t="shared" si="7"/>
        <v/>
      </c>
      <c r="AI99" s="641" t="str">
        <f t="shared" si="8"/>
        <v/>
      </c>
      <c r="AK99" s="931" t="s">
        <v>952</v>
      </c>
      <c r="AL99" s="641" t="str">
        <f>IF(G99&gt;0,I99,"")</f>
        <v/>
      </c>
      <c r="AN99" s="641">
        <f t="shared" si="9"/>
        <v>0</v>
      </c>
      <c r="AO99" s="641" t="str">
        <f t="shared" si="10"/>
        <v/>
      </c>
    </row>
    <row r="100" spans="2:42" hidden="1" x14ac:dyDescent="0.2">
      <c r="B100" s="95"/>
      <c r="C100" s="491"/>
      <c r="D100" s="492"/>
      <c r="E100" s="493"/>
      <c r="F100" s="494"/>
      <c r="G100" s="495"/>
      <c r="H100" s="496"/>
      <c r="I100" s="438"/>
      <c r="J100" s="565"/>
      <c r="L100" s="641" t="s">
        <v>231</v>
      </c>
      <c r="M100" s="641" t="e">
        <f>#REF!+G25-#REF!</f>
        <v>#REF!</v>
      </c>
      <c r="Q100" s="641" t="e">
        <f>IF(#REF!="STD ",#REF!,IF(#REF!="MINI",#REF!,""))</f>
        <v>#REF!</v>
      </c>
      <c r="AG100" s="641" t="str">
        <f t="shared" si="6"/>
        <v/>
      </c>
      <c r="AH100" s="641" t="str">
        <f t="shared" si="7"/>
        <v/>
      </c>
      <c r="AI100" s="641" t="str">
        <f t="shared" si="8"/>
        <v/>
      </c>
      <c r="AK100" s="931" t="s">
        <v>952</v>
      </c>
      <c r="AL100" s="641" t="str">
        <f>IF(G100&gt;0,I100,"")</f>
        <v/>
      </c>
      <c r="AN100" s="641">
        <f t="shared" si="9"/>
        <v>0</v>
      </c>
      <c r="AO100" s="641" t="str">
        <f t="shared" si="10"/>
        <v/>
      </c>
    </row>
    <row r="101" spans="2:42" ht="15" hidden="1" x14ac:dyDescent="0.25">
      <c r="B101" s="95"/>
      <c r="C101" s="497"/>
      <c r="D101" s="498"/>
      <c r="E101" s="498"/>
      <c r="F101" s="499"/>
      <c r="G101" s="500"/>
      <c r="H101" s="316"/>
      <c r="I101" s="501"/>
      <c r="J101" s="565"/>
      <c r="Q101" s="641" t="e">
        <f>IF(#REF!="STD ",#REF!,IF(#REF!="MINI",#REF!,""))</f>
        <v>#REF!</v>
      </c>
      <c r="AG101" s="641" t="str">
        <f t="shared" si="6"/>
        <v/>
      </c>
      <c r="AH101" s="641" t="str">
        <f t="shared" si="7"/>
        <v/>
      </c>
      <c r="AI101" s="641" t="str">
        <f t="shared" si="8"/>
        <v/>
      </c>
      <c r="AK101" s="931" t="s">
        <v>952</v>
      </c>
      <c r="AL101" s="641" t="str">
        <f>IF(G101&gt;0,I101,"")</f>
        <v/>
      </c>
      <c r="AN101" s="641">
        <f t="shared" si="9"/>
        <v>0</v>
      </c>
      <c r="AO101" s="641" t="str">
        <f t="shared" si="10"/>
        <v/>
      </c>
    </row>
    <row r="102" spans="2:42" ht="15" x14ac:dyDescent="0.25">
      <c r="B102" s="95"/>
      <c r="C102" s="497"/>
      <c r="D102" s="498"/>
      <c r="E102" s="498"/>
      <c r="F102" s="499"/>
      <c r="G102" s="500"/>
      <c r="H102" s="316"/>
      <c r="I102" s="501"/>
      <c r="J102" s="565"/>
      <c r="AG102" s="641" t="str">
        <f t="shared" ref="AG102:AG184" si="49">IF(D102="","",D102)</f>
        <v/>
      </c>
      <c r="AH102" s="641" t="str">
        <f t="shared" ref="AH102:AH184" si="50">IF(E102="","",E102)</f>
        <v/>
      </c>
      <c r="AI102" s="641" t="str">
        <f t="shared" ref="AI102:AI184" si="51">IF(F102="","",F102)</f>
        <v/>
      </c>
      <c r="AK102" s="931" t="s">
        <v>952</v>
      </c>
      <c r="AL102" s="641" t="str">
        <f t="shared" ref="AL102:AL184" si="52">IF(G102&gt;0,I102,"")</f>
        <v/>
      </c>
      <c r="AN102" s="641">
        <f t="shared" ref="AN102:AN184" si="53">IF(G102="",0,G102)</f>
        <v>0</v>
      </c>
      <c r="AO102" s="641" t="str">
        <f t="shared" ref="AO102:AO184" si="54">IF(AN102&gt;0,"Show", "")</f>
        <v/>
      </c>
    </row>
    <row r="103" spans="2:42" ht="15" x14ac:dyDescent="0.25">
      <c r="B103" s="95"/>
      <c r="C103" s="531" t="s">
        <v>249</v>
      </c>
      <c r="D103" s="341"/>
      <c r="E103" s="314"/>
      <c r="F103" s="265"/>
      <c r="G103" s="266"/>
      <c r="H103" s="316"/>
      <c r="I103" s="317"/>
      <c r="J103" s="565"/>
      <c r="Q103" s="641" t="e">
        <f>IF(#REF!="STD ",#REF!,IF(#REF!="MINI",#REF!,""))</f>
        <v>#REF!</v>
      </c>
      <c r="AG103" s="641" t="str">
        <f t="shared" si="49"/>
        <v/>
      </c>
      <c r="AH103" s="641" t="str">
        <f t="shared" si="50"/>
        <v/>
      </c>
      <c r="AI103" s="641" t="str">
        <f t="shared" si="51"/>
        <v/>
      </c>
      <c r="AK103" s="931" t="s">
        <v>952</v>
      </c>
      <c r="AL103" s="641" t="str">
        <f t="shared" si="52"/>
        <v/>
      </c>
      <c r="AN103" s="641">
        <f t="shared" si="53"/>
        <v>0</v>
      </c>
      <c r="AO103" s="641" t="str">
        <f t="shared" si="54"/>
        <v/>
      </c>
    </row>
    <row r="104" spans="2:42" ht="18.75" customHeight="1" x14ac:dyDescent="0.2">
      <c r="B104" s="95"/>
      <c r="C104" s="742"/>
      <c r="D104" s="748" t="str">
        <f t="shared" ref="D104:D114" si="55">VLOOKUP($F104,$F$505:$I$935,3,FALSE)</f>
        <v>A100001</v>
      </c>
      <c r="E104" s="749">
        <f t="shared" ref="E104:E114" si="56">VLOOKUP($F104,$F$505:$I$935,2,FALSE)</f>
        <v>23010001</v>
      </c>
      <c r="F104" s="750" t="s">
        <v>309</v>
      </c>
      <c r="G104" s="295"/>
      <c r="H104" s="396" t="str">
        <f t="shared" ref="H104:H114" si="57">IF(G104&gt;=0.1,VLOOKUP(F104,F$504:I$935,4,FALSE),"")</f>
        <v/>
      </c>
      <c r="I104" s="73" t="str">
        <f t="shared" ref="I104:I117" si="58">IF(ISERROR(H104*G104),"",H104*G104)</f>
        <v/>
      </c>
      <c r="J104" s="565"/>
      <c r="M104" s="642" t="str">
        <f>MID(F104,6,4)</f>
        <v>PA</v>
      </c>
      <c r="Q104" s="641" t="s">
        <v>280</v>
      </c>
      <c r="AG104" s="641" t="str">
        <f t="shared" si="49"/>
        <v>A100001</v>
      </c>
      <c r="AH104" s="641">
        <f t="shared" si="50"/>
        <v>23010001</v>
      </c>
      <c r="AI104" s="641" t="str">
        <f t="shared" si="51"/>
        <v>D43 LPA</v>
      </c>
      <c r="AJ104" s="641" t="s">
        <v>952</v>
      </c>
      <c r="AK104" s="931" t="s">
        <v>952</v>
      </c>
      <c r="AL104" s="935" t="str">
        <f t="shared" si="52"/>
        <v/>
      </c>
      <c r="AM104" s="936">
        <f t="shared" ref="AM104:AM121" si="59">IF(AL104="",0,AL104*(1+$E$436))</f>
        <v>0</v>
      </c>
      <c r="AN104" s="641">
        <f t="shared" si="53"/>
        <v>0</v>
      </c>
      <c r="AO104" s="641" t="str">
        <f t="shared" si="54"/>
        <v/>
      </c>
      <c r="AP104" s="641" t="s">
        <v>982</v>
      </c>
    </row>
    <row r="105" spans="2:42" ht="30" hidden="1" customHeight="1" x14ac:dyDescent="0.2">
      <c r="B105" s="95"/>
      <c r="C105" s="743"/>
      <c r="D105" s="342" t="str">
        <f t="shared" si="55"/>
        <v>A100501</v>
      </c>
      <c r="E105" s="313">
        <f t="shared" si="56"/>
        <v>23020173</v>
      </c>
      <c r="F105" s="407" t="s">
        <v>1017</v>
      </c>
      <c r="G105" s="295">
        <f>$G$104</f>
        <v>0</v>
      </c>
      <c r="H105" s="396" t="str">
        <f t="shared" si="57"/>
        <v/>
      </c>
      <c r="I105" s="73" t="str">
        <f t="shared" si="58"/>
        <v/>
      </c>
      <c r="J105" s="565"/>
      <c r="M105" s="642"/>
      <c r="AG105" s="641" t="str">
        <f t="shared" si="49"/>
        <v>A100501</v>
      </c>
      <c r="AH105" s="641">
        <f t="shared" si="50"/>
        <v>23020173</v>
      </c>
      <c r="AI105" s="641" t="str">
        <f t="shared" si="51"/>
        <v>E-Tamp Applicator 650 G2</v>
      </c>
      <c r="AJ105" s="641" t="s">
        <v>856</v>
      </c>
      <c r="AK105" s="931" t="s">
        <v>952</v>
      </c>
      <c r="AL105" s="935" t="str">
        <f t="shared" si="52"/>
        <v/>
      </c>
      <c r="AM105" s="936">
        <f t="shared" si="59"/>
        <v>0</v>
      </c>
      <c r="AN105" s="641">
        <f t="shared" si="53"/>
        <v>0</v>
      </c>
      <c r="AO105" s="641" t="str">
        <f t="shared" si="54"/>
        <v/>
      </c>
      <c r="AP105" s="641" t="s">
        <v>982</v>
      </c>
    </row>
    <row r="106" spans="2:42" ht="30" hidden="1" customHeight="1" x14ac:dyDescent="0.2">
      <c r="B106" s="95"/>
      <c r="C106" s="743"/>
      <c r="D106" s="342" t="str">
        <f t="shared" si="55"/>
        <v>A100511</v>
      </c>
      <c r="E106" s="313">
        <f t="shared" si="56"/>
        <v>23020145</v>
      </c>
      <c r="F106" s="407" t="s">
        <v>603</v>
      </c>
      <c r="G106" s="295">
        <f>G105</f>
        <v>0</v>
      </c>
      <c r="H106" s="396" t="str">
        <f t="shared" si="57"/>
        <v/>
      </c>
      <c r="I106" s="73" t="str">
        <f>IF(ISERROR(H106*G106),"",H106*G106)</f>
        <v/>
      </c>
      <c r="J106" s="565"/>
      <c r="M106" s="642"/>
      <c r="AG106" s="641" t="str">
        <f t="shared" si="49"/>
        <v>A100511</v>
      </c>
      <c r="AH106" s="641">
        <f t="shared" si="50"/>
        <v>23020145</v>
      </c>
      <c r="AI106" s="641" t="str">
        <f t="shared" si="51"/>
        <v>FLEX-MOUNT 2X COMPL</v>
      </c>
      <c r="AJ106" s="641" t="s">
        <v>856</v>
      </c>
      <c r="AK106" s="931" t="s">
        <v>952</v>
      </c>
      <c r="AL106" s="935" t="str">
        <f t="shared" si="52"/>
        <v/>
      </c>
      <c r="AM106" s="936">
        <f t="shared" si="59"/>
        <v>0</v>
      </c>
      <c r="AN106" s="641">
        <f t="shared" si="53"/>
        <v>0</v>
      </c>
      <c r="AO106" s="641" t="str">
        <f t="shared" si="54"/>
        <v/>
      </c>
      <c r="AP106" s="641" t="s">
        <v>982</v>
      </c>
    </row>
    <row r="107" spans="2:42" hidden="1" x14ac:dyDescent="0.2">
      <c r="B107" s="95"/>
      <c r="C107" s="743"/>
      <c r="D107" s="342">
        <f t="shared" si="55"/>
        <v>0</v>
      </c>
      <c r="E107" s="313">
        <f t="shared" si="56"/>
        <v>0</v>
      </c>
      <c r="F107" s="81" t="s">
        <v>464</v>
      </c>
      <c r="G107" s="311"/>
      <c r="H107" s="396" t="str">
        <f t="shared" si="57"/>
        <v/>
      </c>
      <c r="I107" s="73" t="str">
        <f t="shared" si="58"/>
        <v/>
      </c>
      <c r="J107" s="565"/>
      <c r="M107" s="642"/>
      <c r="AG107" s="641">
        <f t="shared" si="49"/>
        <v>0</v>
      </c>
      <c r="AH107" s="641">
        <f t="shared" si="50"/>
        <v>0</v>
      </c>
      <c r="AI107" s="641" t="str">
        <f t="shared" si="51"/>
        <v>Please select</v>
      </c>
      <c r="AJ107" s="641" t="s">
        <v>856</v>
      </c>
      <c r="AK107" s="931" t="s">
        <v>952</v>
      </c>
      <c r="AL107" s="935" t="str">
        <f t="shared" si="52"/>
        <v/>
      </c>
      <c r="AM107" s="936">
        <f t="shared" si="59"/>
        <v>0</v>
      </c>
      <c r="AN107" s="641">
        <f t="shared" si="53"/>
        <v>0</v>
      </c>
      <c r="AO107" s="641" t="str">
        <f t="shared" si="54"/>
        <v/>
      </c>
      <c r="AP107" s="641" t="s">
        <v>982</v>
      </c>
    </row>
    <row r="108" spans="2:42" hidden="1" x14ac:dyDescent="0.2">
      <c r="B108" s="95"/>
      <c r="C108" s="743"/>
      <c r="D108" s="342" t="str">
        <f t="shared" si="55"/>
        <v>AP110140</v>
      </c>
      <c r="E108" s="313" t="str">
        <f t="shared" si="56"/>
        <v>23020123</v>
      </c>
      <c r="F108" s="81" t="s">
        <v>833</v>
      </c>
      <c r="G108" s="295">
        <f t="shared" ref="G108:G121" si="60">$G$104</f>
        <v>0</v>
      </c>
      <c r="H108" s="396" t="str">
        <f t="shared" si="57"/>
        <v/>
      </c>
      <c r="I108" s="73" t="str">
        <f t="shared" si="58"/>
        <v/>
      </c>
      <c r="J108" s="565"/>
      <c r="M108" s="642"/>
      <c r="AG108" s="641" t="str">
        <f t="shared" si="49"/>
        <v>AP110140</v>
      </c>
      <c r="AH108" s="641" t="str">
        <f t="shared" si="50"/>
        <v>23020123</v>
      </c>
      <c r="AI108" s="641" t="str">
        <f t="shared" si="51"/>
        <v>Applicator Plate  110X140</v>
      </c>
      <c r="AJ108" s="641" t="s">
        <v>856</v>
      </c>
      <c r="AK108" s="931" t="s">
        <v>952</v>
      </c>
      <c r="AL108" s="935" t="str">
        <f t="shared" si="52"/>
        <v/>
      </c>
      <c r="AM108" s="936">
        <f t="shared" si="59"/>
        <v>0</v>
      </c>
      <c r="AN108" s="641">
        <f t="shared" si="53"/>
        <v>0</v>
      </c>
      <c r="AO108" s="641" t="str">
        <f t="shared" si="54"/>
        <v/>
      </c>
      <c r="AP108" s="641" t="s">
        <v>982</v>
      </c>
    </row>
    <row r="109" spans="2:42" ht="25.5" hidden="1" x14ac:dyDescent="0.2">
      <c r="B109" s="95"/>
      <c r="C109" s="743"/>
      <c r="D109" s="342" t="str">
        <f t="shared" si="55"/>
        <v>K100130</v>
      </c>
      <c r="E109" s="313">
        <f t="shared" si="56"/>
        <v>23020177</v>
      </c>
      <c r="F109" s="407" t="s">
        <v>814</v>
      </c>
      <c r="G109" s="295">
        <f t="shared" si="60"/>
        <v>0</v>
      </c>
      <c r="H109" s="396" t="str">
        <f t="shared" si="57"/>
        <v/>
      </c>
      <c r="I109" s="73" t="str">
        <f t="shared" si="58"/>
        <v/>
      </c>
      <c r="J109" s="565"/>
      <c r="M109" s="642"/>
      <c r="AG109" s="641" t="str">
        <f t="shared" si="49"/>
        <v>K100130</v>
      </c>
      <c r="AH109" s="641">
        <f t="shared" si="50"/>
        <v>23020177</v>
      </c>
      <c r="AI109" s="641" t="str">
        <f t="shared" si="51"/>
        <v>Mini-panel with 4 buttons &amp; Holder that allow mounting - Status beacon &amp; chassis.</v>
      </c>
      <c r="AJ109" s="641" t="s">
        <v>856</v>
      </c>
      <c r="AK109" s="931" t="s">
        <v>952</v>
      </c>
      <c r="AL109" s="935" t="str">
        <f t="shared" si="52"/>
        <v/>
      </c>
      <c r="AM109" s="936">
        <f t="shared" si="59"/>
        <v>0</v>
      </c>
      <c r="AN109" s="641">
        <f t="shared" si="53"/>
        <v>0</v>
      </c>
      <c r="AO109" s="641" t="str">
        <f t="shared" si="54"/>
        <v/>
      </c>
      <c r="AP109" s="641" t="s">
        <v>982</v>
      </c>
    </row>
    <row r="110" spans="2:42" ht="12.75" hidden="1" customHeight="1" x14ac:dyDescent="0.2">
      <c r="B110"/>
      <c r="C110" s="743"/>
      <c r="D110" s="342" t="str">
        <f t="shared" si="55"/>
        <v>K100005</v>
      </c>
      <c r="E110" s="313">
        <f t="shared" si="56"/>
        <v>23020017</v>
      </c>
      <c r="F110" s="407" t="s">
        <v>452</v>
      </c>
      <c r="G110" s="312"/>
      <c r="H110" s="396" t="str">
        <f t="shared" si="57"/>
        <v/>
      </c>
      <c r="I110" s="73" t="str">
        <f t="shared" si="58"/>
        <v/>
      </c>
      <c r="J110" s="565"/>
      <c r="M110" s="642"/>
      <c r="N110" s="642"/>
      <c r="AG110" s="641" t="str">
        <f t="shared" si="49"/>
        <v>K100005</v>
      </c>
      <c r="AH110" s="641">
        <f t="shared" si="50"/>
        <v>23020017</v>
      </c>
      <c r="AI110" s="641" t="str">
        <f t="shared" si="51"/>
        <v xml:space="preserve">Color touch screen 12” with 1.8 m cabling and ergonomic holder that suits all Autolabel stands
</v>
      </c>
      <c r="AJ110" s="641" t="s">
        <v>856</v>
      </c>
      <c r="AK110" s="931" t="s">
        <v>952</v>
      </c>
      <c r="AL110" s="935" t="str">
        <f t="shared" si="52"/>
        <v/>
      </c>
      <c r="AM110" s="936">
        <f t="shared" si="59"/>
        <v>0</v>
      </c>
      <c r="AN110" s="641">
        <f t="shared" si="53"/>
        <v>0</v>
      </c>
      <c r="AO110" s="641" t="str">
        <f t="shared" si="54"/>
        <v/>
      </c>
      <c r="AP110" s="641" t="s">
        <v>982</v>
      </c>
    </row>
    <row r="111" spans="2:42" hidden="1" x14ac:dyDescent="0.2">
      <c r="B111" s="95"/>
      <c r="C111" s="743"/>
      <c r="D111" s="342" t="str">
        <f t="shared" si="55"/>
        <v>A100248</v>
      </c>
      <c r="E111" s="313">
        <f t="shared" si="56"/>
        <v>23020016</v>
      </c>
      <c r="F111" s="81" t="s">
        <v>530</v>
      </c>
      <c r="G111" s="295">
        <f t="shared" si="60"/>
        <v>0</v>
      </c>
      <c r="H111" s="396" t="str">
        <f t="shared" si="57"/>
        <v/>
      </c>
      <c r="I111" s="73" t="str">
        <f t="shared" si="58"/>
        <v/>
      </c>
      <c r="J111" s="565"/>
      <c r="M111" s="642"/>
      <c r="AG111" s="641" t="str">
        <f t="shared" si="49"/>
        <v>A100248</v>
      </c>
      <c r="AH111" s="641">
        <f t="shared" si="50"/>
        <v>23020016</v>
      </c>
      <c r="AI111" s="641" t="str">
        <f t="shared" si="51"/>
        <v>Column (aluminum 1500mm)</v>
      </c>
      <c r="AJ111" s="641" t="s">
        <v>856</v>
      </c>
      <c r="AK111" s="931" t="s">
        <v>952</v>
      </c>
      <c r="AL111" s="935" t="str">
        <f t="shared" si="52"/>
        <v/>
      </c>
      <c r="AM111" s="936">
        <f t="shared" si="59"/>
        <v>0</v>
      </c>
      <c r="AN111" s="641">
        <f t="shared" si="53"/>
        <v>0</v>
      </c>
      <c r="AO111" s="641" t="str">
        <f t="shared" si="54"/>
        <v/>
      </c>
      <c r="AP111" s="641" t="s">
        <v>982</v>
      </c>
    </row>
    <row r="112" spans="2:42" hidden="1" x14ac:dyDescent="0.2">
      <c r="B112" s="95"/>
      <c r="C112" s="743"/>
      <c r="D112" s="342" t="str">
        <f t="shared" si="55"/>
        <v>A100248</v>
      </c>
      <c r="E112" s="313">
        <f t="shared" si="56"/>
        <v>23020016</v>
      </c>
      <c r="F112" s="81" t="s">
        <v>530</v>
      </c>
      <c r="G112" s="311"/>
      <c r="H112" s="396" t="str">
        <f t="shared" si="57"/>
        <v/>
      </c>
      <c r="I112" s="73" t="str">
        <f t="shared" si="58"/>
        <v/>
      </c>
      <c r="J112" s="565"/>
      <c r="M112" s="642"/>
      <c r="AG112" s="641" t="str">
        <f t="shared" si="49"/>
        <v>A100248</v>
      </c>
      <c r="AH112" s="641">
        <f t="shared" si="50"/>
        <v>23020016</v>
      </c>
      <c r="AI112" s="641" t="str">
        <f t="shared" si="51"/>
        <v>Column (aluminum 1500mm)</v>
      </c>
      <c r="AJ112" s="641" t="s">
        <v>856</v>
      </c>
      <c r="AK112" s="931" t="s">
        <v>952</v>
      </c>
      <c r="AL112" s="935" t="str">
        <f t="shared" si="52"/>
        <v/>
      </c>
      <c r="AM112" s="936">
        <f t="shared" si="59"/>
        <v>0</v>
      </c>
      <c r="AN112" s="641">
        <f t="shared" si="53"/>
        <v>0</v>
      </c>
      <c r="AO112" s="641" t="str">
        <f t="shared" si="54"/>
        <v/>
      </c>
      <c r="AP112" s="641" t="s">
        <v>982</v>
      </c>
    </row>
    <row r="113" spans="2:42" hidden="1" x14ac:dyDescent="0.2">
      <c r="B113" s="95"/>
      <c r="C113" s="743"/>
      <c r="D113" s="342">
        <f t="shared" si="55"/>
        <v>23020095</v>
      </c>
      <c r="E113" s="313">
        <f t="shared" si="56"/>
        <v>23020095</v>
      </c>
      <c r="F113" s="321" t="s">
        <v>1052</v>
      </c>
      <c r="G113" s="311">
        <f>G104</f>
        <v>0</v>
      </c>
      <c r="H113" s="396" t="str">
        <f t="shared" si="57"/>
        <v/>
      </c>
      <c r="I113" s="73" t="str">
        <f>IF(ISERROR(H113*G113),"",H113*G113)</f>
        <v/>
      </c>
      <c r="J113" s="565"/>
      <c r="M113" s="642"/>
      <c r="AG113" s="641">
        <f t="shared" ref="AG113:AI114" si="61">IF(D113="","",D113)</f>
        <v>23020095</v>
      </c>
      <c r="AH113" s="641">
        <f t="shared" si="61"/>
        <v>23020095</v>
      </c>
      <c r="AI113" s="641" t="str">
        <f t="shared" si="61"/>
        <v>Min Wireless N Usb Adap 300Mbs</v>
      </c>
      <c r="AJ113" s="641" t="s">
        <v>856</v>
      </c>
      <c r="AK113" s="931" t="s">
        <v>952</v>
      </c>
      <c r="AL113" s="935" t="str">
        <f>IF(G113&gt;0,I113,"")</f>
        <v/>
      </c>
      <c r="AM113" s="936">
        <f t="shared" si="59"/>
        <v>0</v>
      </c>
      <c r="AN113" s="641">
        <f>IF(G113="",0,G113)</f>
        <v>0</v>
      </c>
      <c r="AO113" s="641" t="str">
        <f>IF(AN113&gt;0,"Show", "")</f>
        <v/>
      </c>
      <c r="AP113" s="641" t="s">
        <v>982</v>
      </c>
    </row>
    <row r="114" spans="2:42" hidden="1" x14ac:dyDescent="0.2">
      <c r="B114" s="95"/>
      <c r="C114" s="743"/>
      <c r="D114" s="342" t="str">
        <f t="shared" si="55"/>
        <v>CLI 56P310-E0</v>
      </c>
      <c r="E114" s="313" t="str">
        <f t="shared" si="56"/>
        <v>13020122</v>
      </c>
      <c r="F114" s="321" t="s">
        <v>1053</v>
      </c>
      <c r="G114" s="311">
        <f>G104</f>
        <v>0</v>
      </c>
      <c r="H114" s="396" t="str">
        <f t="shared" si="57"/>
        <v/>
      </c>
      <c r="I114" s="73" t="str">
        <f>IF(ISERROR(H114*G114),"",H114*G114)</f>
        <v/>
      </c>
      <c r="J114" s="565"/>
      <c r="M114" s="642"/>
      <c r="AG114" s="641" t="str">
        <f t="shared" si="61"/>
        <v>CLI 56P310-E0</v>
      </c>
      <c r="AH114" s="641" t="str">
        <f t="shared" si="61"/>
        <v>13020122</v>
      </c>
      <c r="AI114" s="641" t="str">
        <f t="shared" si="61"/>
        <v>Plug 250V 10A 3F Pins</v>
      </c>
      <c r="AJ114" s="641" t="s">
        <v>856</v>
      </c>
      <c r="AK114" s="931" t="s">
        <v>952</v>
      </c>
      <c r="AL114" s="935" t="str">
        <f>IF(G114&gt;0,I114,"")</f>
        <v/>
      </c>
      <c r="AM114" s="936">
        <f t="shared" si="59"/>
        <v>0</v>
      </c>
      <c r="AN114" s="641">
        <f>IF(G114="",0,G114)</f>
        <v>0</v>
      </c>
      <c r="AO114" s="641" t="str">
        <f>IF(AN114&gt;0,"Show", "")</f>
        <v/>
      </c>
      <c r="AP114" s="641" t="s">
        <v>982</v>
      </c>
    </row>
    <row r="115" spans="2:42" hidden="1" x14ac:dyDescent="0.2">
      <c r="B115" s="95"/>
      <c r="C115" s="743"/>
      <c r="D115" s="476" t="s">
        <v>542</v>
      </c>
      <c r="E115" s="313">
        <v>13020148</v>
      </c>
      <c r="F115" s="81" t="s">
        <v>557</v>
      </c>
      <c r="G115" s="311">
        <f>G111</f>
        <v>0</v>
      </c>
      <c r="H115" s="396" t="str">
        <f>IF(G115&gt;=0.1,240,"")</f>
        <v/>
      </c>
      <c r="I115" s="73" t="str">
        <f t="shared" si="58"/>
        <v/>
      </c>
      <c r="J115" s="565"/>
      <c r="M115" s="642"/>
      <c r="AG115" s="641" t="str">
        <f t="shared" si="49"/>
        <v>27021519-01_C-01</v>
      </c>
      <c r="AH115" s="641">
        <f t="shared" si="50"/>
        <v>13020148</v>
      </c>
      <c r="AI115" s="641" t="str">
        <f t="shared" si="51"/>
        <v>Base Plate 1</v>
      </c>
      <c r="AJ115" s="641" t="s">
        <v>856</v>
      </c>
      <c r="AK115" s="931" t="s">
        <v>952</v>
      </c>
      <c r="AL115" s="935" t="str">
        <f t="shared" si="52"/>
        <v/>
      </c>
      <c r="AM115" s="936">
        <f t="shared" si="59"/>
        <v>0</v>
      </c>
      <c r="AN115" s="641">
        <f t="shared" si="53"/>
        <v>0</v>
      </c>
      <c r="AO115" s="641" t="str">
        <f t="shared" si="54"/>
        <v/>
      </c>
      <c r="AP115" s="641" t="s">
        <v>982</v>
      </c>
    </row>
    <row r="116" spans="2:42" ht="38.25" hidden="1" x14ac:dyDescent="0.2">
      <c r="B116" s="95"/>
      <c r="C116" s="743"/>
      <c r="D116" s="342" t="str">
        <f t="shared" ref="D116:D121" si="62">VLOOKUP($F116,$F$505:$I$935,3,FALSE)</f>
        <v>A100367</v>
      </c>
      <c r="E116" s="313">
        <f t="shared" ref="E116:E121" si="63">VLOOKUP($F116,$F$505:$I$935,2,FALSE)</f>
        <v>23020014</v>
      </c>
      <c r="F116" s="81" t="s">
        <v>532</v>
      </c>
      <c r="G116" s="295"/>
      <c r="H116" s="396" t="str">
        <f t="shared" ref="H116:H121" si="64">IF(G116&gt;=0.1,VLOOKUP(F116,F$504:I$935,4,FALSE),"")</f>
        <v/>
      </c>
      <c r="I116" s="73" t="str">
        <f t="shared" si="58"/>
        <v/>
      </c>
      <c r="J116" s="565"/>
      <c r="M116" s="642"/>
      <c r="AG116" s="641" t="str">
        <f t="shared" si="49"/>
        <v>A100367</v>
      </c>
      <c r="AH116" s="641">
        <f t="shared" si="50"/>
        <v>23020014</v>
      </c>
      <c r="AI116" s="641" t="str">
        <f t="shared" si="51"/>
        <v xml:space="preserve">H-Foot with adjustable rubber feet and built in wheels for convenient relocation of the system. 
  </v>
      </c>
      <c r="AJ116" s="641" t="s">
        <v>856</v>
      </c>
      <c r="AK116" s="931" t="s">
        <v>952</v>
      </c>
      <c r="AL116" s="935" t="str">
        <f t="shared" si="52"/>
        <v/>
      </c>
      <c r="AM116" s="936">
        <f t="shared" si="59"/>
        <v>0</v>
      </c>
      <c r="AN116" s="641">
        <f t="shared" si="53"/>
        <v>0</v>
      </c>
      <c r="AO116" s="641" t="str">
        <f t="shared" si="54"/>
        <v/>
      </c>
      <c r="AP116" s="641" t="s">
        <v>982</v>
      </c>
    </row>
    <row r="117" spans="2:42" hidden="1" x14ac:dyDescent="0.2">
      <c r="B117" s="95"/>
      <c r="C117" s="743"/>
      <c r="D117" s="342" t="str">
        <f t="shared" si="62"/>
        <v>A100141</v>
      </c>
      <c r="E117" s="313">
        <f t="shared" si="63"/>
        <v>23020009</v>
      </c>
      <c r="F117" s="81" t="s">
        <v>533</v>
      </c>
      <c r="G117" s="295">
        <f t="shared" si="60"/>
        <v>0</v>
      </c>
      <c r="H117" s="396" t="str">
        <f t="shared" si="64"/>
        <v/>
      </c>
      <c r="I117" s="73" t="str">
        <f t="shared" si="58"/>
        <v/>
      </c>
      <c r="J117" s="565"/>
      <c r="M117" s="642"/>
      <c r="AG117" s="641" t="str">
        <f t="shared" si="49"/>
        <v>A100141</v>
      </c>
      <c r="AH117" s="641">
        <f t="shared" si="50"/>
        <v>23020009</v>
      </c>
      <c r="AI117" s="641" t="str">
        <f t="shared" si="51"/>
        <v>Tube Holder - Mounting arm</v>
      </c>
      <c r="AJ117" s="641" t="s">
        <v>856</v>
      </c>
      <c r="AK117" s="931" t="s">
        <v>952</v>
      </c>
      <c r="AL117" s="935" t="str">
        <f t="shared" si="52"/>
        <v/>
      </c>
      <c r="AM117" s="936">
        <f t="shared" si="59"/>
        <v>0</v>
      </c>
      <c r="AN117" s="641">
        <f t="shared" si="53"/>
        <v>0</v>
      </c>
      <c r="AO117" s="641" t="str">
        <f t="shared" si="54"/>
        <v/>
      </c>
      <c r="AP117" s="641" t="s">
        <v>982</v>
      </c>
    </row>
    <row r="118" spans="2:42" hidden="1" x14ac:dyDescent="0.2">
      <c r="B118" s="95"/>
      <c r="C118" s="743"/>
      <c r="D118" s="342" t="str">
        <f t="shared" si="62"/>
        <v>P101566</v>
      </c>
      <c r="E118" s="313">
        <f t="shared" si="63"/>
        <v>23020225</v>
      </c>
      <c r="F118" s="81" t="s">
        <v>837</v>
      </c>
      <c r="G118" s="295">
        <f t="shared" si="60"/>
        <v>0</v>
      </c>
      <c r="H118" s="396" t="str">
        <f t="shared" si="64"/>
        <v/>
      </c>
      <c r="I118" s="73" t="str">
        <f>IF(ISERROR(H118*G118),"",H118*G118)</f>
        <v/>
      </c>
      <c r="J118" s="565"/>
      <c r="M118" s="642"/>
      <c r="AG118" s="641" t="str">
        <f t="shared" si="49"/>
        <v>P101566</v>
      </c>
      <c r="AH118" s="641">
        <f t="shared" si="50"/>
        <v>23020225</v>
      </c>
      <c r="AI118" s="641" t="str">
        <f t="shared" si="51"/>
        <v>Holder tube D51 L560</v>
      </c>
      <c r="AJ118" s="641" t="s">
        <v>856</v>
      </c>
      <c r="AK118" s="931" t="s">
        <v>952</v>
      </c>
      <c r="AL118" s="935" t="str">
        <f t="shared" si="52"/>
        <v/>
      </c>
      <c r="AM118" s="936">
        <f t="shared" si="59"/>
        <v>0</v>
      </c>
      <c r="AN118" s="641">
        <f t="shared" si="53"/>
        <v>0</v>
      </c>
      <c r="AO118" s="641" t="str">
        <f t="shared" si="54"/>
        <v/>
      </c>
      <c r="AP118" s="641" t="s">
        <v>982</v>
      </c>
    </row>
    <row r="119" spans="2:42" hidden="1" x14ac:dyDescent="0.2">
      <c r="B119" s="95"/>
      <c r="C119" s="743"/>
      <c r="D119" s="342">
        <f t="shared" si="62"/>
        <v>20091604</v>
      </c>
      <c r="E119" s="313" t="str">
        <f t="shared" si="63"/>
        <v>13080192</v>
      </c>
      <c r="F119" s="129" t="s">
        <v>1054</v>
      </c>
      <c r="G119" s="295">
        <f t="shared" si="60"/>
        <v>0</v>
      </c>
      <c r="H119" s="396" t="str">
        <f t="shared" si="64"/>
        <v/>
      </c>
      <c r="I119" s="73" t="str">
        <f>IF(ISERROR(H119*G119),"",H119*G119)</f>
        <v/>
      </c>
      <c r="J119" s="565"/>
      <c r="M119" s="642"/>
      <c r="AG119" s="641">
        <f t="shared" si="49"/>
        <v>20091604</v>
      </c>
      <c r="AH119" s="641" t="str">
        <f t="shared" si="50"/>
        <v>13080192</v>
      </c>
      <c r="AI119" s="641" t="str">
        <f t="shared" si="51"/>
        <v>JBox Assy</v>
      </c>
      <c r="AJ119" s="641" t="s">
        <v>897</v>
      </c>
      <c r="AK119" s="931" t="s">
        <v>952</v>
      </c>
      <c r="AL119" s="935" t="str">
        <f t="shared" si="52"/>
        <v/>
      </c>
      <c r="AM119" s="936">
        <f t="shared" si="59"/>
        <v>0</v>
      </c>
      <c r="AN119" s="641">
        <f t="shared" si="53"/>
        <v>0</v>
      </c>
      <c r="AO119" s="641" t="str">
        <f t="shared" si="54"/>
        <v/>
      </c>
      <c r="AP119" s="641" t="s">
        <v>982</v>
      </c>
    </row>
    <row r="120" spans="2:42" hidden="1" x14ac:dyDescent="0.2">
      <c r="B120" s="95"/>
      <c r="C120" s="743"/>
      <c r="D120" s="342">
        <f t="shared" si="62"/>
        <v>15011615</v>
      </c>
      <c r="E120" s="313" t="str">
        <f t="shared" si="63"/>
        <v>13080193</v>
      </c>
      <c r="F120" s="87" t="s">
        <v>1055</v>
      </c>
      <c r="G120" s="295">
        <f t="shared" si="60"/>
        <v>0</v>
      </c>
      <c r="H120" s="396" t="str">
        <f t="shared" si="64"/>
        <v/>
      </c>
      <c r="I120" s="73" t="str">
        <f>IF(ISERROR(H120*G120),"",H120*G120)</f>
        <v/>
      </c>
      <c r="J120" s="565"/>
      <c r="M120" s="642"/>
      <c r="AG120" s="641">
        <f t="shared" si="49"/>
        <v>15011615</v>
      </c>
      <c r="AH120" s="641" t="str">
        <f t="shared" si="50"/>
        <v>13080193</v>
      </c>
      <c r="AI120" s="641" t="str">
        <f t="shared" si="51"/>
        <v>JBox Holding Plate 4mm 304 2B</v>
      </c>
      <c r="AJ120" s="641" t="s">
        <v>897</v>
      </c>
      <c r="AK120" s="931" t="s">
        <v>952</v>
      </c>
      <c r="AL120" s="935" t="str">
        <f t="shared" si="52"/>
        <v/>
      </c>
      <c r="AM120" s="936">
        <f t="shared" si="59"/>
        <v>0</v>
      </c>
      <c r="AN120" s="641">
        <f t="shared" si="53"/>
        <v>0</v>
      </c>
      <c r="AO120" s="641" t="str">
        <f t="shared" si="54"/>
        <v/>
      </c>
      <c r="AP120" s="641" t="s">
        <v>982</v>
      </c>
    </row>
    <row r="121" spans="2:42" ht="25.5" hidden="1" x14ac:dyDescent="0.2">
      <c r="B121" s="95"/>
      <c r="C121" s="744"/>
      <c r="D121" s="342" t="str">
        <f t="shared" si="62"/>
        <v>5612B162MATTHEWS</v>
      </c>
      <c r="E121" s="315" t="str">
        <f t="shared" si="63"/>
        <v>13120079</v>
      </c>
      <c r="F121" s="310" t="s">
        <v>458</v>
      </c>
      <c r="G121" s="295">
        <f t="shared" si="60"/>
        <v>0</v>
      </c>
      <c r="H121" s="396" t="str">
        <f t="shared" si="64"/>
        <v/>
      </c>
      <c r="I121" s="73" t="str">
        <f>IF(ISERROR(H121*G121),"",H121*G121)</f>
        <v/>
      </c>
      <c r="J121" s="565"/>
      <c r="M121" s="642"/>
      <c r="AG121" s="641" t="str">
        <f t="shared" si="49"/>
        <v>5612B162MATTHEWS</v>
      </c>
      <c r="AH121" s="641" t="str">
        <f t="shared" si="50"/>
        <v>13120079</v>
      </c>
      <c r="AI121" s="641" t="str">
        <f t="shared" si="51"/>
        <v>Air Regulator Assembly</v>
      </c>
      <c r="AJ121" s="641" t="s">
        <v>897</v>
      </c>
      <c r="AK121" s="931" t="s">
        <v>952</v>
      </c>
      <c r="AL121" s="935" t="str">
        <f t="shared" si="52"/>
        <v/>
      </c>
      <c r="AM121" s="936">
        <f t="shared" si="59"/>
        <v>0</v>
      </c>
      <c r="AN121" s="641">
        <f t="shared" si="53"/>
        <v>0</v>
      </c>
      <c r="AO121" s="641" t="str">
        <f t="shared" si="54"/>
        <v/>
      </c>
      <c r="AP121" s="641" t="s">
        <v>982</v>
      </c>
    </row>
    <row r="122" spans="2:42" x14ac:dyDescent="0.2">
      <c r="B122" s="95"/>
      <c r="C122" s="329"/>
      <c r="D122" s="330"/>
      <c r="E122" s="331"/>
      <c r="F122" s="332"/>
      <c r="G122" s="333"/>
      <c r="H122" s="334"/>
      <c r="I122" s="249"/>
      <c r="J122" s="565"/>
      <c r="M122" s="642"/>
      <c r="AG122" s="641" t="str">
        <f t="shared" si="49"/>
        <v/>
      </c>
      <c r="AH122" s="641" t="str">
        <f t="shared" si="50"/>
        <v/>
      </c>
      <c r="AI122" s="641" t="str">
        <f t="shared" si="51"/>
        <v/>
      </c>
      <c r="AK122" s="931" t="s">
        <v>952</v>
      </c>
      <c r="AL122" s="641" t="str">
        <f t="shared" si="52"/>
        <v/>
      </c>
      <c r="AN122" s="641">
        <f t="shared" si="53"/>
        <v>0</v>
      </c>
      <c r="AO122" s="641" t="str">
        <f t="shared" si="54"/>
        <v/>
      </c>
    </row>
    <row r="123" spans="2:42" x14ac:dyDescent="0.2">
      <c r="B123" s="95"/>
      <c r="C123" s="335"/>
      <c r="D123" s="336"/>
      <c r="E123" s="337"/>
      <c r="F123" s="338"/>
      <c r="G123" s="339"/>
      <c r="H123" s="340"/>
      <c r="I123" s="238"/>
      <c r="J123" s="565"/>
      <c r="M123" s="642"/>
      <c r="AG123" s="641" t="str">
        <f t="shared" si="49"/>
        <v/>
      </c>
      <c r="AH123" s="641" t="str">
        <f t="shared" si="50"/>
        <v/>
      </c>
      <c r="AI123" s="641" t="str">
        <f t="shared" si="51"/>
        <v/>
      </c>
      <c r="AK123" s="931" t="s">
        <v>952</v>
      </c>
      <c r="AL123" s="641" t="str">
        <f t="shared" si="52"/>
        <v/>
      </c>
      <c r="AN123" s="641">
        <f t="shared" si="53"/>
        <v>0</v>
      </c>
      <c r="AO123" s="641" t="str">
        <f t="shared" si="54"/>
        <v/>
      </c>
    </row>
    <row r="124" spans="2:42" ht="18.75" customHeight="1" x14ac:dyDescent="0.2">
      <c r="B124" s="95"/>
      <c r="C124" s="745"/>
      <c r="D124" s="748" t="str">
        <f t="shared" ref="D124:D134" si="65">VLOOKUP($F124,$F$505:$I$935,3,FALSE)</f>
        <v>A100047</v>
      </c>
      <c r="E124" s="749">
        <f t="shared" ref="E124:E134" si="66">VLOOKUP($F124,$F$505:$I$935,2,FALSE)</f>
        <v>23010003</v>
      </c>
      <c r="F124" s="752" t="s">
        <v>310</v>
      </c>
      <c r="G124" s="295">
        <v>3</v>
      </c>
      <c r="H124" s="396">
        <f t="shared" ref="H124:H134" si="67">IF(G124&gt;=0.1,VLOOKUP(F124,F$504:I$935,4,FALSE),"")</f>
        <v>19365</v>
      </c>
      <c r="I124" s="73">
        <f t="shared" ref="I124:I141" si="68">IF(ISERROR(H124*G124),"",H124*G124)</f>
        <v>58095</v>
      </c>
      <c r="J124" s="565"/>
      <c r="M124" s="642"/>
      <c r="AG124" s="641" t="str">
        <f t="shared" si="49"/>
        <v>A100047</v>
      </c>
      <c r="AH124" s="641">
        <f t="shared" si="50"/>
        <v>23010003</v>
      </c>
      <c r="AI124" s="641" t="str">
        <f t="shared" si="51"/>
        <v>T43 LPA</v>
      </c>
      <c r="AJ124" s="641" t="s">
        <v>952</v>
      </c>
      <c r="AK124" s="931" t="s">
        <v>952</v>
      </c>
      <c r="AL124" s="935">
        <f t="shared" si="52"/>
        <v>58095</v>
      </c>
      <c r="AM124" s="936">
        <f t="shared" ref="AM124:AM141" si="69">IF(AL124="",0,AL124*(1+$E$436))</f>
        <v>46801.332000000002</v>
      </c>
      <c r="AN124" s="641">
        <f t="shared" si="53"/>
        <v>3</v>
      </c>
      <c r="AO124" s="641" t="str">
        <f t="shared" si="54"/>
        <v>Show</v>
      </c>
      <c r="AP124" s="641" t="s">
        <v>982</v>
      </c>
    </row>
    <row r="125" spans="2:42" ht="30" customHeight="1" x14ac:dyDescent="0.2">
      <c r="B125" s="95"/>
      <c r="C125" s="746"/>
      <c r="D125" s="342" t="str">
        <f t="shared" si="65"/>
        <v>A100501</v>
      </c>
      <c r="E125" s="313">
        <f t="shared" si="66"/>
        <v>23020173</v>
      </c>
      <c r="F125" s="407" t="s">
        <v>1017</v>
      </c>
      <c r="G125" s="295">
        <f>$G$124</f>
        <v>3</v>
      </c>
      <c r="H125" s="396">
        <f t="shared" si="67"/>
        <v>5200</v>
      </c>
      <c r="I125" s="73">
        <f t="shared" si="68"/>
        <v>15600</v>
      </c>
      <c r="J125" s="565"/>
      <c r="M125" s="642"/>
      <c r="AG125" s="641" t="str">
        <f t="shared" si="49"/>
        <v>A100501</v>
      </c>
      <c r="AH125" s="641">
        <f t="shared" si="50"/>
        <v>23020173</v>
      </c>
      <c r="AI125" s="641" t="str">
        <f t="shared" si="51"/>
        <v>E-Tamp Applicator 650 G2</v>
      </c>
      <c r="AJ125" s="641" t="s">
        <v>856</v>
      </c>
      <c r="AK125" s="931" t="s">
        <v>952</v>
      </c>
      <c r="AL125" s="935">
        <f t="shared" si="52"/>
        <v>15600</v>
      </c>
      <c r="AM125" s="936">
        <f t="shared" si="69"/>
        <v>12567.36</v>
      </c>
      <c r="AN125" s="641">
        <f t="shared" si="53"/>
        <v>3</v>
      </c>
      <c r="AO125" s="641" t="str">
        <f t="shared" si="54"/>
        <v>Show</v>
      </c>
      <c r="AP125" s="641" t="s">
        <v>982</v>
      </c>
    </row>
    <row r="126" spans="2:42" ht="30" customHeight="1" x14ac:dyDescent="0.2">
      <c r="B126" s="95"/>
      <c r="C126" s="746"/>
      <c r="D126" s="342" t="str">
        <f t="shared" si="65"/>
        <v>A100511</v>
      </c>
      <c r="E126" s="313">
        <f t="shared" si="66"/>
        <v>23020145</v>
      </c>
      <c r="F126" s="407" t="s">
        <v>603</v>
      </c>
      <c r="G126" s="295">
        <f>G125</f>
        <v>3</v>
      </c>
      <c r="H126" s="396">
        <f t="shared" si="67"/>
        <v>899</v>
      </c>
      <c r="I126" s="73">
        <f t="shared" si="68"/>
        <v>2697</v>
      </c>
      <c r="J126" s="565"/>
      <c r="M126" s="642"/>
      <c r="AG126" s="641" t="str">
        <f t="shared" si="49"/>
        <v>A100511</v>
      </c>
      <c r="AH126" s="641">
        <f t="shared" si="50"/>
        <v>23020145</v>
      </c>
      <c r="AI126" s="641" t="str">
        <f t="shared" si="51"/>
        <v>FLEX-MOUNT 2X COMPL</v>
      </c>
      <c r="AJ126" s="641" t="s">
        <v>856</v>
      </c>
      <c r="AK126" s="931" t="s">
        <v>952</v>
      </c>
      <c r="AL126" s="935">
        <f t="shared" si="52"/>
        <v>2697</v>
      </c>
      <c r="AM126" s="936">
        <f t="shared" si="69"/>
        <v>2172.7031999999999</v>
      </c>
      <c r="AN126" s="641">
        <f t="shared" si="53"/>
        <v>3</v>
      </c>
      <c r="AO126" s="641" t="str">
        <f t="shared" si="54"/>
        <v>Show</v>
      </c>
      <c r="AP126" s="641" t="s">
        <v>982</v>
      </c>
    </row>
    <row r="127" spans="2:42" x14ac:dyDescent="0.2">
      <c r="B127" s="95"/>
      <c r="C127" s="746"/>
      <c r="D127" s="342">
        <f t="shared" si="65"/>
        <v>0</v>
      </c>
      <c r="E127" s="313">
        <f t="shared" si="66"/>
        <v>0</v>
      </c>
      <c r="F127" s="81" t="s">
        <v>464</v>
      </c>
      <c r="G127" s="311"/>
      <c r="H127" s="396" t="str">
        <f t="shared" si="67"/>
        <v/>
      </c>
      <c r="I127" s="73" t="str">
        <f t="shared" si="68"/>
        <v/>
      </c>
      <c r="J127" s="565"/>
      <c r="M127" s="642"/>
      <c r="AG127" s="641">
        <f t="shared" si="49"/>
        <v>0</v>
      </c>
      <c r="AH127" s="641">
        <f t="shared" si="50"/>
        <v>0</v>
      </c>
      <c r="AI127" s="641" t="str">
        <f t="shared" si="51"/>
        <v>Please select</v>
      </c>
      <c r="AJ127" s="641" t="s">
        <v>856</v>
      </c>
      <c r="AK127" s="931" t="s">
        <v>952</v>
      </c>
      <c r="AL127" s="935" t="str">
        <f t="shared" si="52"/>
        <v/>
      </c>
      <c r="AM127" s="936">
        <f t="shared" si="69"/>
        <v>0</v>
      </c>
      <c r="AN127" s="641">
        <f t="shared" si="53"/>
        <v>0</v>
      </c>
      <c r="AO127" s="641" t="str">
        <f t="shared" si="54"/>
        <v/>
      </c>
      <c r="AP127" s="641" t="s">
        <v>982</v>
      </c>
    </row>
    <row r="128" spans="2:42" x14ac:dyDescent="0.2">
      <c r="B128" s="95"/>
      <c r="C128" s="746"/>
      <c r="D128" s="342" t="str">
        <f t="shared" si="65"/>
        <v>AP110140</v>
      </c>
      <c r="E128" s="313">
        <f t="shared" si="66"/>
        <v>23020123</v>
      </c>
      <c r="F128" s="81" t="s">
        <v>1379</v>
      </c>
      <c r="G128" s="295">
        <f t="shared" ref="G128:G140" si="70">$G$124</f>
        <v>3</v>
      </c>
      <c r="H128" s="396">
        <f t="shared" si="67"/>
        <v>895</v>
      </c>
      <c r="I128" s="73">
        <f t="shared" si="68"/>
        <v>2685</v>
      </c>
      <c r="J128" s="565"/>
      <c r="M128" s="642"/>
      <c r="AG128" s="641" t="str">
        <f t="shared" si="49"/>
        <v>AP110140</v>
      </c>
      <c r="AH128" s="641">
        <f t="shared" si="50"/>
        <v>23020123</v>
      </c>
      <c r="AI128" s="641" t="str">
        <f t="shared" si="51"/>
        <v>Applicator Pad 110X140 </v>
      </c>
      <c r="AJ128" s="641" t="s">
        <v>856</v>
      </c>
      <c r="AK128" s="931" t="s">
        <v>952</v>
      </c>
      <c r="AL128" s="935">
        <f t="shared" si="52"/>
        <v>2685</v>
      </c>
      <c r="AM128" s="936">
        <f t="shared" si="69"/>
        <v>2163.0360000000001</v>
      </c>
      <c r="AN128" s="641">
        <f t="shared" si="53"/>
        <v>3</v>
      </c>
      <c r="AO128" s="641" t="str">
        <f t="shared" si="54"/>
        <v>Show</v>
      </c>
      <c r="AP128" s="641" t="s">
        <v>982</v>
      </c>
    </row>
    <row r="129" spans="2:42" ht="25.5" x14ac:dyDescent="0.2">
      <c r="B129" s="95"/>
      <c r="C129" s="746"/>
      <c r="D129" s="342" t="str">
        <f t="shared" si="65"/>
        <v>K100130</v>
      </c>
      <c r="E129" s="313">
        <f t="shared" si="66"/>
        <v>23020177</v>
      </c>
      <c r="F129" s="407" t="s">
        <v>814</v>
      </c>
      <c r="G129" s="295">
        <f t="shared" si="70"/>
        <v>3</v>
      </c>
      <c r="H129" s="396">
        <f t="shared" si="67"/>
        <v>1250</v>
      </c>
      <c r="I129" s="73">
        <f t="shared" si="68"/>
        <v>3750</v>
      </c>
      <c r="J129" s="565"/>
      <c r="M129" s="642"/>
      <c r="AG129" s="641" t="str">
        <f t="shared" si="49"/>
        <v>K100130</v>
      </c>
      <c r="AH129" s="641">
        <f t="shared" si="50"/>
        <v>23020177</v>
      </c>
      <c r="AI129" s="641" t="str">
        <f t="shared" si="51"/>
        <v>Mini-panel with 4 buttons &amp; Holder that allow mounting - Status beacon &amp; chassis.</v>
      </c>
      <c r="AJ129" s="641" t="s">
        <v>856</v>
      </c>
      <c r="AK129" s="931" t="s">
        <v>952</v>
      </c>
      <c r="AL129" s="935">
        <f t="shared" si="52"/>
        <v>3750</v>
      </c>
      <c r="AM129" s="936">
        <f t="shared" si="69"/>
        <v>3021</v>
      </c>
      <c r="AN129" s="641">
        <f t="shared" si="53"/>
        <v>3</v>
      </c>
      <c r="AO129" s="641" t="str">
        <f t="shared" si="54"/>
        <v>Show</v>
      </c>
      <c r="AP129" s="641" t="s">
        <v>982</v>
      </c>
    </row>
    <row r="130" spans="2:42" ht="38.25" x14ac:dyDescent="0.2">
      <c r="B130"/>
      <c r="C130" s="746"/>
      <c r="D130" s="342" t="str">
        <f t="shared" si="65"/>
        <v>K100005</v>
      </c>
      <c r="E130" s="313">
        <f t="shared" si="66"/>
        <v>23020017</v>
      </c>
      <c r="F130" s="741" t="s">
        <v>452</v>
      </c>
      <c r="G130" s="312"/>
      <c r="H130" s="396" t="str">
        <f t="shared" si="67"/>
        <v/>
      </c>
      <c r="I130" s="73" t="str">
        <f t="shared" si="68"/>
        <v/>
      </c>
      <c r="J130" s="565"/>
      <c r="M130" s="642"/>
      <c r="N130" s="642"/>
      <c r="AG130" s="641" t="str">
        <f t="shared" si="49"/>
        <v>K100005</v>
      </c>
      <c r="AH130" s="641">
        <f t="shared" si="50"/>
        <v>23020017</v>
      </c>
      <c r="AI130" s="641" t="str">
        <f t="shared" si="51"/>
        <v xml:space="preserve">Color touch screen 12” with 1.8 m cabling and ergonomic holder that suits all Autolabel stands
</v>
      </c>
      <c r="AJ130" s="641" t="s">
        <v>856</v>
      </c>
      <c r="AK130" s="931" t="s">
        <v>952</v>
      </c>
      <c r="AL130" s="935" t="str">
        <f t="shared" si="52"/>
        <v/>
      </c>
      <c r="AM130" s="936">
        <f t="shared" si="69"/>
        <v>0</v>
      </c>
      <c r="AN130" s="641">
        <f t="shared" si="53"/>
        <v>0</v>
      </c>
      <c r="AO130" s="641" t="str">
        <f t="shared" si="54"/>
        <v/>
      </c>
      <c r="AP130" s="641" t="s">
        <v>982</v>
      </c>
    </row>
    <row r="131" spans="2:42" ht="25.5" x14ac:dyDescent="0.2">
      <c r="B131" s="95"/>
      <c r="C131" s="746"/>
      <c r="D131" s="342" t="str">
        <f t="shared" si="65"/>
        <v>A100291, C100106</v>
      </c>
      <c r="E131" s="313" t="str">
        <f t="shared" si="66"/>
        <v>23020022, 23020211</v>
      </c>
      <c r="F131" s="81" t="s">
        <v>817</v>
      </c>
      <c r="G131" s="295">
        <v>3</v>
      </c>
      <c r="H131" s="396">
        <f t="shared" si="67"/>
        <v>3900</v>
      </c>
      <c r="I131" s="73">
        <f t="shared" si="68"/>
        <v>11700</v>
      </c>
      <c r="J131" s="565"/>
      <c r="M131" s="642"/>
      <c r="AG131" s="641" t="str">
        <f t="shared" si="49"/>
        <v>A100291, C100106</v>
      </c>
      <c r="AH131" s="641" t="str">
        <f t="shared" si="50"/>
        <v>23020022, 23020211</v>
      </c>
      <c r="AI131" s="641" t="str">
        <f t="shared" si="51"/>
        <v>Vertical Motorized Column (Adjustable from 1050 to 1500mm.) - Select Height Extension/Pivot Base if required</v>
      </c>
      <c r="AJ131" s="641" t="s">
        <v>856</v>
      </c>
      <c r="AK131" s="931" t="s">
        <v>952</v>
      </c>
      <c r="AL131" s="935">
        <f t="shared" si="52"/>
        <v>11700</v>
      </c>
      <c r="AM131" s="936">
        <f t="shared" si="69"/>
        <v>9425.52</v>
      </c>
      <c r="AN131" s="641">
        <f t="shared" si="53"/>
        <v>3</v>
      </c>
      <c r="AO131" s="641" t="str">
        <f t="shared" si="54"/>
        <v>Show</v>
      </c>
      <c r="AP131" s="641" t="s">
        <v>982</v>
      </c>
    </row>
    <row r="132" spans="2:42" x14ac:dyDescent="0.2">
      <c r="B132" s="95"/>
      <c r="C132" s="746"/>
      <c r="D132" s="342" t="str">
        <f t="shared" si="65"/>
        <v>A100248</v>
      </c>
      <c r="E132" s="313">
        <f t="shared" si="66"/>
        <v>23020016</v>
      </c>
      <c r="F132" s="81" t="s">
        <v>530</v>
      </c>
      <c r="G132" s="311"/>
      <c r="H132" s="396" t="str">
        <f t="shared" si="67"/>
        <v/>
      </c>
      <c r="I132" s="73" t="str">
        <f t="shared" si="68"/>
        <v/>
      </c>
      <c r="J132" s="565"/>
      <c r="M132" s="642"/>
      <c r="AG132" s="641" t="str">
        <f t="shared" si="49"/>
        <v>A100248</v>
      </c>
      <c r="AH132" s="641">
        <f t="shared" si="50"/>
        <v>23020016</v>
      </c>
      <c r="AI132" s="641" t="str">
        <f t="shared" si="51"/>
        <v>Column (aluminum 1500mm)</v>
      </c>
      <c r="AJ132" s="641" t="s">
        <v>856</v>
      </c>
      <c r="AK132" s="931" t="s">
        <v>952</v>
      </c>
      <c r="AL132" s="935" t="str">
        <f t="shared" si="52"/>
        <v/>
      </c>
      <c r="AM132" s="936">
        <f t="shared" si="69"/>
        <v>0</v>
      </c>
      <c r="AN132" s="641">
        <f t="shared" si="53"/>
        <v>0</v>
      </c>
      <c r="AO132" s="641" t="str">
        <f t="shared" si="54"/>
        <v/>
      </c>
      <c r="AP132" s="641" t="s">
        <v>982</v>
      </c>
    </row>
    <row r="133" spans="2:42" x14ac:dyDescent="0.2">
      <c r="B133" s="95"/>
      <c r="C133" s="746"/>
      <c r="D133" s="342">
        <f t="shared" si="65"/>
        <v>23020095</v>
      </c>
      <c r="E133" s="313">
        <f t="shared" si="66"/>
        <v>23020095</v>
      </c>
      <c r="F133" s="321" t="s">
        <v>1052</v>
      </c>
      <c r="G133" s="311">
        <f>G124</f>
        <v>3</v>
      </c>
      <c r="H133" s="396">
        <f t="shared" si="67"/>
        <v>59</v>
      </c>
      <c r="I133" s="73">
        <f>IF(ISERROR(H133*G133),"",H133*G133)</f>
        <v>177</v>
      </c>
      <c r="J133" s="565"/>
      <c r="M133" s="642"/>
      <c r="AG133" s="641">
        <f t="shared" ref="AG133:AI134" si="71">IF(D133="","",D133)</f>
        <v>23020095</v>
      </c>
      <c r="AH133" s="641">
        <f t="shared" si="71"/>
        <v>23020095</v>
      </c>
      <c r="AI133" s="641" t="str">
        <f t="shared" si="71"/>
        <v>Min Wireless N Usb Adap 300Mbs</v>
      </c>
      <c r="AJ133" s="641" t="s">
        <v>856</v>
      </c>
      <c r="AK133" s="931" t="s">
        <v>952</v>
      </c>
      <c r="AL133" s="935">
        <f>IF(G133&gt;0,I133,"")</f>
        <v>177</v>
      </c>
      <c r="AM133" s="936">
        <f t="shared" si="69"/>
        <v>142.59119999999999</v>
      </c>
      <c r="AN133" s="641">
        <f>IF(G133="",0,G133)</f>
        <v>3</v>
      </c>
      <c r="AO133" s="641" t="str">
        <f>IF(AN133&gt;0,"Show", "")</f>
        <v>Show</v>
      </c>
      <c r="AP133" s="641" t="s">
        <v>982</v>
      </c>
    </row>
    <row r="134" spans="2:42" x14ac:dyDescent="0.2">
      <c r="B134" s="95"/>
      <c r="C134" s="746"/>
      <c r="D134" s="342" t="str">
        <f t="shared" si="65"/>
        <v>CLI 56P310-E0</v>
      </c>
      <c r="E134" s="313" t="str">
        <f t="shared" si="66"/>
        <v>13020122</v>
      </c>
      <c r="F134" s="321" t="s">
        <v>1053</v>
      </c>
      <c r="G134" s="311">
        <f>G124</f>
        <v>3</v>
      </c>
      <c r="H134" s="396">
        <f t="shared" si="67"/>
        <v>32</v>
      </c>
      <c r="I134" s="73">
        <f>IF(ISERROR(H134*G134),"",H134*G134)</f>
        <v>96</v>
      </c>
      <c r="J134" s="565"/>
      <c r="M134" s="642"/>
      <c r="AG134" s="641" t="str">
        <f t="shared" si="71"/>
        <v>CLI 56P310-E0</v>
      </c>
      <c r="AH134" s="641" t="str">
        <f t="shared" si="71"/>
        <v>13020122</v>
      </c>
      <c r="AI134" s="641" t="str">
        <f t="shared" si="71"/>
        <v>Plug 250V 10A 3F Pins</v>
      </c>
      <c r="AJ134" s="641" t="s">
        <v>856</v>
      </c>
      <c r="AK134" s="931" t="s">
        <v>952</v>
      </c>
      <c r="AL134" s="935">
        <f>IF(G134&gt;0,I134,"")</f>
        <v>96</v>
      </c>
      <c r="AM134" s="936">
        <f t="shared" si="69"/>
        <v>77.337599999999995</v>
      </c>
      <c r="AN134" s="641">
        <f>IF(G134="",0,G134)</f>
        <v>3</v>
      </c>
      <c r="AO134" s="641" t="str">
        <f>IF(AN134&gt;0,"Show", "")</f>
        <v>Show</v>
      </c>
      <c r="AP134" s="641" t="s">
        <v>982</v>
      </c>
    </row>
    <row r="135" spans="2:42" x14ac:dyDescent="0.2">
      <c r="B135" s="95"/>
      <c r="C135" s="746"/>
      <c r="D135" s="476" t="s">
        <v>542</v>
      </c>
      <c r="E135" s="313">
        <v>13020148</v>
      </c>
      <c r="F135" s="81" t="s">
        <v>557</v>
      </c>
      <c r="G135" s="311">
        <f>G131</f>
        <v>3</v>
      </c>
      <c r="H135" s="396">
        <f>IF(G135&gt;=0.1,240,"")</f>
        <v>240</v>
      </c>
      <c r="I135" s="73">
        <f t="shared" si="68"/>
        <v>720</v>
      </c>
      <c r="J135" s="565"/>
      <c r="M135" s="642"/>
      <c r="AG135" s="641" t="str">
        <f t="shared" si="49"/>
        <v>27021519-01_C-01</v>
      </c>
      <c r="AH135" s="641">
        <f t="shared" si="50"/>
        <v>13020148</v>
      </c>
      <c r="AI135" s="641" t="str">
        <f t="shared" si="51"/>
        <v>Base Plate 1</v>
      </c>
      <c r="AJ135" s="641" t="s">
        <v>856</v>
      </c>
      <c r="AK135" s="931" t="s">
        <v>952</v>
      </c>
      <c r="AL135" s="935">
        <f t="shared" si="52"/>
        <v>720</v>
      </c>
      <c r="AM135" s="936">
        <f t="shared" si="69"/>
        <v>580.03200000000004</v>
      </c>
      <c r="AN135" s="641">
        <f t="shared" si="53"/>
        <v>3</v>
      </c>
      <c r="AO135" s="641" t="str">
        <f t="shared" si="54"/>
        <v>Show</v>
      </c>
      <c r="AP135" s="641" t="s">
        <v>982</v>
      </c>
    </row>
    <row r="136" spans="2:42" ht="38.25" x14ac:dyDescent="0.2">
      <c r="B136" s="95"/>
      <c r="C136" s="746"/>
      <c r="D136" s="342" t="str">
        <f t="shared" ref="D136:D141" si="72">VLOOKUP($F136,$F$505:$I$935,3,FALSE)</f>
        <v>A100367</v>
      </c>
      <c r="E136" s="313">
        <f t="shared" ref="E136:E141" si="73">VLOOKUP($F136,$F$505:$I$935,2,FALSE)</f>
        <v>23020014</v>
      </c>
      <c r="F136" s="81" t="s">
        <v>532</v>
      </c>
      <c r="G136" s="295"/>
      <c r="H136" s="396" t="str">
        <f t="shared" ref="H136:H141" si="74">IF(G136&gt;=0.1,VLOOKUP(F136,F$504:I$935,4,FALSE),"")</f>
        <v/>
      </c>
      <c r="I136" s="73" t="str">
        <f t="shared" si="68"/>
        <v/>
      </c>
      <c r="J136" s="565"/>
      <c r="M136" s="642"/>
      <c r="AG136" s="641" t="str">
        <f t="shared" si="49"/>
        <v>A100367</v>
      </c>
      <c r="AH136" s="641">
        <f t="shared" si="50"/>
        <v>23020014</v>
      </c>
      <c r="AI136" s="641" t="str">
        <f t="shared" si="51"/>
        <v xml:space="preserve">H-Foot with adjustable rubber feet and built in wheels for convenient relocation of the system. 
  </v>
      </c>
      <c r="AJ136" s="641" t="s">
        <v>856</v>
      </c>
      <c r="AK136" s="931" t="s">
        <v>952</v>
      </c>
      <c r="AL136" s="935" t="str">
        <f t="shared" si="52"/>
        <v/>
      </c>
      <c r="AM136" s="936">
        <f t="shared" si="69"/>
        <v>0</v>
      </c>
      <c r="AN136" s="641">
        <f t="shared" si="53"/>
        <v>0</v>
      </c>
      <c r="AO136" s="641" t="str">
        <f t="shared" si="54"/>
        <v/>
      </c>
      <c r="AP136" s="641" t="s">
        <v>982</v>
      </c>
    </row>
    <row r="137" spans="2:42" x14ac:dyDescent="0.2">
      <c r="B137" s="95"/>
      <c r="C137" s="746"/>
      <c r="D137" s="342" t="str">
        <f t="shared" si="72"/>
        <v>A100141</v>
      </c>
      <c r="E137" s="313">
        <f t="shared" si="73"/>
        <v>23020009</v>
      </c>
      <c r="F137" s="81" t="s">
        <v>533</v>
      </c>
      <c r="G137" s="295">
        <f t="shared" si="70"/>
        <v>3</v>
      </c>
      <c r="H137" s="396">
        <f t="shared" si="74"/>
        <v>560</v>
      </c>
      <c r="I137" s="73">
        <f t="shared" si="68"/>
        <v>1680</v>
      </c>
      <c r="J137" s="565"/>
      <c r="M137" s="642"/>
      <c r="AG137" s="641" t="str">
        <f t="shared" si="49"/>
        <v>A100141</v>
      </c>
      <c r="AH137" s="641">
        <f t="shared" si="50"/>
        <v>23020009</v>
      </c>
      <c r="AI137" s="641" t="str">
        <f t="shared" si="51"/>
        <v>Tube Holder - Mounting arm</v>
      </c>
      <c r="AJ137" s="641" t="s">
        <v>856</v>
      </c>
      <c r="AK137" s="931" t="s">
        <v>952</v>
      </c>
      <c r="AL137" s="935">
        <f t="shared" si="52"/>
        <v>1680</v>
      </c>
      <c r="AM137" s="936">
        <f t="shared" si="69"/>
        <v>1353.4079999999999</v>
      </c>
      <c r="AN137" s="641">
        <f t="shared" si="53"/>
        <v>3</v>
      </c>
      <c r="AO137" s="641" t="str">
        <f t="shared" si="54"/>
        <v>Show</v>
      </c>
      <c r="AP137" s="641" t="s">
        <v>982</v>
      </c>
    </row>
    <row r="138" spans="2:42" x14ac:dyDescent="0.2">
      <c r="B138" s="95"/>
      <c r="C138" s="746"/>
      <c r="D138" s="342" t="str">
        <f t="shared" si="72"/>
        <v>P101566</v>
      </c>
      <c r="E138" s="313">
        <f t="shared" si="73"/>
        <v>23020225</v>
      </c>
      <c r="F138" s="81" t="s">
        <v>837</v>
      </c>
      <c r="G138" s="295">
        <f t="shared" si="70"/>
        <v>3</v>
      </c>
      <c r="H138" s="396">
        <f t="shared" si="74"/>
        <v>331</v>
      </c>
      <c r="I138" s="73">
        <f t="shared" si="68"/>
        <v>993</v>
      </c>
      <c r="J138" s="565"/>
      <c r="M138" s="642"/>
      <c r="AG138" s="641" t="str">
        <f t="shared" si="49"/>
        <v>P101566</v>
      </c>
      <c r="AH138" s="641">
        <f t="shared" si="50"/>
        <v>23020225</v>
      </c>
      <c r="AI138" s="641" t="str">
        <f t="shared" si="51"/>
        <v>Holder tube D51 L560</v>
      </c>
      <c r="AJ138" s="641" t="s">
        <v>856</v>
      </c>
      <c r="AK138" s="931" t="s">
        <v>952</v>
      </c>
      <c r="AL138" s="935">
        <f t="shared" si="52"/>
        <v>993</v>
      </c>
      <c r="AM138" s="936">
        <f t="shared" si="69"/>
        <v>799.96079999999995</v>
      </c>
      <c r="AN138" s="641">
        <f t="shared" si="53"/>
        <v>3</v>
      </c>
      <c r="AO138" s="641" t="str">
        <f t="shared" si="54"/>
        <v>Show</v>
      </c>
      <c r="AP138" s="641" t="s">
        <v>982</v>
      </c>
    </row>
    <row r="139" spans="2:42" x14ac:dyDescent="0.2">
      <c r="B139" s="95"/>
      <c r="C139" s="746"/>
      <c r="D139" s="342">
        <f t="shared" si="72"/>
        <v>20091604</v>
      </c>
      <c r="E139" s="313" t="str">
        <f t="shared" si="73"/>
        <v>13080192</v>
      </c>
      <c r="F139" s="129" t="s">
        <v>1054</v>
      </c>
      <c r="G139" s="295">
        <f t="shared" si="70"/>
        <v>3</v>
      </c>
      <c r="H139" s="396">
        <f t="shared" si="74"/>
        <v>460</v>
      </c>
      <c r="I139" s="73">
        <f t="shared" si="68"/>
        <v>1380</v>
      </c>
      <c r="J139" s="565"/>
      <c r="M139" s="642"/>
      <c r="AG139" s="641">
        <f t="shared" si="49"/>
        <v>20091604</v>
      </c>
      <c r="AH139" s="641" t="str">
        <f t="shared" si="50"/>
        <v>13080192</v>
      </c>
      <c r="AI139" s="641" t="str">
        <f t="shared" si="51"/>
        <v>JBox Assy</v>
      </c>
      <c r="AJ139" s="641" t="s">
        <v>897</v>
      </c>
      <c r="AK139" s="931" t="s">
        <v>952</v>
      </c>
      <c r="AL139" s="935">
        <f t="shared" si="52"/>
        <v>1380</v>
      </c>
      <c r="AM139" s="936">
        <f t="shared" si="69"/>
        <v>1111.7280000000001</v>
      </c>
      <c r="AN139" s="641">
        <f t="shared" si="53"/>
        <v>3</v>
      </c>
      <c r="AO139" s="641" t="str">
        <f t="shared" si="54"/>
        <v>Show</v>
      </c>
      <c r="AP139" s="641" t="s">
        <v>982</v>
      </c>
    </row>
    <row r="140" spans="2:42" x14ac:dyDescent="0.2">
      <c r="B140" s="95"/>
      <c r="C140" s="746"/>
      <c r="D140" s="342">
        <f t="shared" si="72"/>
        <v>15011615</v>
      </c>
      <c r="E140" s="313" t="str">
        <f t="shared" si="73"/>
        <v>13080193</v>
      </c>
      <c r="F140" s="87" t="s">
        <v>1055</v>
      </c>
      <c r="G140" s="295">
        <f t="shared" si="70"/>
        <v>3</v>
      </c>
      <c r="H140" s="396">
        <f t="shared" si="74"/>
        <v>105</v>
      </c>
      <c r="I140" s="73">
        <f t="shared" si="68"/>
        <v>315</v>
      </c>
      <c r="J140" s="565"/>
      <c r="M140" s="642"/>
      <c r="AG140" s="641">
        <f t="shared" si="49"/>
        <v>15011615</v>
      </c>
      <c r="AH140" s="641" t="str">
        <f t="shared" si="50"/>
        <v>13080193</v>
      </c>
      <c r="AI140" s="641" t="str">
        <f t="shared" si="51"/>
        <v>JBox Holding Plate 4mm 304 2B</v>
      </c>
      <c r="AJ140" s="641" t="s">
        <v>897</v>
      </c>
      <c r="AK140" s="931" t="s">
        <v>952</v>
      </c>
      <c r="AL140" s="935">
        <f t="shared" si="52"/>
        <v>315</v>
      </c>
      <c r="AM140" s="936">
        <f t="shared" si="69"/>
        <v>253.76399999999998</v>
      </c>
      <c r="AN140" s="641">
        <f t="shared" si="53"/>
        <v>3</v>
      </c>
      <c r="AO140" s="641" t="str">
        <f t="shared" si="54"/>
        <v>Show</v>
      </c>
      <c r="AP140" s="641" t="s">
        <v>982</v>
      </c>
    </row>
    <row r="141" spans="2:42" ht="25.5" x14ac:dyDescent="0.2">
      <c r="B141" s="95"/>
      <c r="C141" s="747"/>
      <c r="D141" s="342" t="str">
        <f t="shared" si="72"/>
        <v>5612B162MATTHEWS</v>
      </c>
      <c r="E141" s="313" t="str">
        <f t="shared" si="73"/>
        <v>13120079</v>
      </c>
      <c r="F141" s="310" t="s">
        <v>458</v>
      </c>
      <c r="G141" s="295">
        <f>$G$124</f>
        <v>3</v>
      </c>
      <c r="H141" s="396">
        <f t="shared" si="74"/>
        <v>310</v>
      </c>
      <c r="I141" s="73">
        <f t="shared" si="68"/>
        <v>930</v>
      </c>
      <c r="J141" s="565"/>
      <c r="M141" s="642"/>
      <c r="AG141" s="641" t="str">
        <f t="shared" si="49"/>
        <v>5612B162MATTHEWS</v>
      </c>
      <c r="AH141" s="641" t="str">
        <f t="shared" si="50"/>
        <v>13120079</v>
      </c>
      <c r="AI141" s="641" t="str">
        <f t="shared" si="51"/>
        <v>Air Regulator Assembly</v>
      </c>
      <c r="AJ141" s="641" t="s">
        <v>897</v>
      </c>
      <c r="AK141" s="931" t="s">
        <v>952</v>
      </c>
      <c r="AL141" s="935">
        <f t="shared" si="52"/>
        <v>930</v>
      </c>
      <c r="AM141" s="936">
        <f t="shared" si="69"/>
        <v>749.20799999999997</v>
      </c>
      <c r="AN141" s="641">
        <f t="shared" si="53"/>
        <v>3</v>
      </c>
      <c r="AO141" s="641" t="str">
        <f t="shared" si="54"/>
        <v>Show</v>
      </c>
      <c r="AP141" s="641" t="s">
        <v>982</v>
      </c>
    </row>
    <row r="142" spans="2:42" x14ac:dyDescent="0.2">
      <c r="B142" s="95"/>
      <c r="C142" s="329"/>
      <c r="D142" s="330"/>
      <c r="E142" s="331"/>
      <c r="F142" s="332"/>
      <c r="G142" s="333"/>
      <c r="H142" s="334"/>
      <c r="I142" s="249"/>
      <c r="J142" s="565"/>
      <c r="M142" s="642"/>
      <c r="AG142" s="641" t="str">
        <f t="shared" si="49"/>
        <v/>
      </c>
      <c r="AH142" s="641" t="str">
        <f t="shared" si="50"/>
        <v/>
      </c>
      <c r="AI142" s="641" t="str">
        <f t="shared" si="51"/>
        <v/>
      </c>
      <c r="AK142" s="931" t="s">
        <v>952</v>
      </c>
      <c r="AL142" s="641" t="str">
        <f t="shared" si="52"/>
        <v/>
      </c>
      <c r="AN142" s="641">
        <f t="shared" si="53"/>
        <v>0</v>
      </c>
      <c r="AO142" s="641" t="str">
        <f t="shared" si="54"/>
        <v/>
      </c>
    </row>
    <row r="143" spans="2:42" x14ac:dyDescent="0.2">
      <c r="B143" s="95"/>
      <c r="C143" s="335"/>
      <c r="D143" s="336"/>
      <c r="E143" s="337"/>
      <c r="F143" s="338"/>
      <c r="G143" s="339"/>
      <c r="H143" s="340"/>
      <c r="I143" s="238"/>
      <c r="J143" s="565"/>
      <c r="M143" s="642"/>
      <c r="AG143" s="641" t="str">
        <f t="shared" si="49"/>
        <v/>
      </c>
      <c r="AH143" s="641" t="str">
        <f t="shared" si="50"/>
        <v/>
      </c>
      <c r="AI143" s="641" t="str">
        <f t="shared" si="51"/>
        <v/>
      </c>
      <c r="AK143" s="931" t="s">
        <v>952</v>
      </c>
      <c r="AL143" s="641" t="str">
        <f t="shared" si="52"/>
        <v/>
      </c>
      <c r="AN143" s="641">
        <f t="shared" si="53"/>
        <v>0</v>
      </c>
      <c r="AO143" s="641" t="str">
        <f t="shared" si="54"/>
        <v/>
      </c>
    </row>
    <row r="144" spans="2:42" ht="18.75" customHeight="1" x14ac:dyDescent="0.2">
      <c r="B144" s="95"/>
      <c r="C144" s="745"/>
      <c r="D144" s="748" t="str">
        <f t="shared" ref="D144:D154" si="75">VLOOKUP($F144,$F$505:$I$935,3,FALSE)</f>
        <v>A100048</v>
      </c>
      <c r="E144" s="749">
        <f t="shared" ref="E144:E154" si="76">VLOOKUP($F144,$F$505:$I$935,2,FALSE)</f>
        <v>23010004</v>
      </c>
      <c r="F144" s="752" t="s">
        <v>311</v>
      </c>
      <c r="G144" s="295"/>
      <c r="H144" s="396" t="str">
        <f t="shared" ref="H144:H154" si="77">IF(G144&gt;=0.1,VLOOKUP(F144,F$504:I$935,4,FALSE),"")</f>
        <v/>
      </c>
      <c r="I144" s="73" t="str">
        <f t="shared" ref="I144:I161" si="78">IF(ISERROR(H144*G144),"",H144*G144)</f>
        <v/>
      </c>
      <c r="J144" s="565"/>
      <c r="M144" s="642"/>
      <c r="AG144" s="641" t="str">
        <f t="shared" si="49"/>
        <v>A100048</v>
      </c>
      <c r="AH144" s="641">
        <f t="shared" si="50"/>
        <v>23010004</v>
      </c>
      <c r="AI144" s="641" t="str">
        <f t="shared" si="51"/>
        <v>T63 LPA</v>
      </c>
      <c r="AJ144" s="641" t="s">
        <v>952</v>
      </c>
      <c r="AK144" s="931" t="s">
        <v>952</v>
      </c>
      <c r="AL144" s="935" t="str">
        <f t="shared" si="52"/>
        <v/>
      </c>
      <c r="AM144" s="936">
        <f t="shared" ref="AM144:AM161" si="79">IF(AL144="",0,AL144*(1+$E$436))</f>
        <v>0</v>
      </c>
      <c r="AN144" s="641">
        <f t="shared" si="53"/>
        <v>0</v>
      </c>
      <c r="AO144" s="641" t="str">
        <f t="shared" si="54"/>
        <v/>
      </c>
      <c r="AP144" s="641" t="s">
        <v>983</v>
      </c>
    </row>
    <row r="145" spans="2:42" ht="30" hidden="1" customHeight="1" x14ac:dyDescent="0.2">
      <c r="B145" s="95"/>
      <c r="C145" s="746"/>
      <c r="D145" s="342" t="str">
        <f t="shared" si="75"/>
        <v>A100501</v>
      </c>
      <c r="E145" s="313">
        <f t="shared" si="76"/>
        <v>23020173</v>
      </c>
      <c r="F145" s="407" t="s">
        <v>1017</v>
      </c>
      <c r="G145" s="295">
        <f>$G$144</f>
        <v>0</v>
      </c>
      <c r="H145" s="396" t="str">
        <f t="shared" si="77"/>
        <v/>
      </c>
      <c r="I145" s="73" t="str">
        <f t="shared" si="78"/>
        <v/>
      </c>
      <c r="J145" s="565"/>
      <c r="M145" s="642"/>
      <c r="AG145" s="641" t="str">
        <f t="shared" si="49"/>
        <v>A100501</v>
      </c>
      <c r="AH145" s="641">
        <f t="shared" si="50"/>
        <v>23020173</v>
      </c>
      <c r="AI145" s="641" t="str">
        <f t="shared" si="51"/>
        <v>E-Tamp Applicator 650 G2</v>
      </c>
      <c r="AJ145" s="641" t="s">
        <v>856</v>
      </c>
      <c r="AK145" s="931" t="s">
        <v>952</v>
      </c>
      <c r="AL145" s="935" t="str">
        <f t="shared" si="52"/>
        <v/>
      </c>
      <c r="AM145" s="936">
        <f t="shared" si="79"/>
        <v>0</v>
      </c>
      <c r="AN145" s="641">
        <f t="shared" si="53"/>
        <v>0</v>
      </c>
      <c r="AO145" s="641" t="str">
        <f t="shared" si="54"/>
        <v/>
      </c>
      <c r="AP145" s="641" t="s">
        <v>983</v>
      </c>
    </row>
    <row r="146" spans="2:42" ht="30" hidden="1" customHeight="1" x14ac:dyDescent="0.2">
      <c r="B146" s="95"/>
      <c r="C146" s="746"/>
      <c r="D146" s="342" t="str">
        <f t="shared" si="75"/>
        <v>A100479</v>
      </c>
      <c r="E146" s="313">
        <f t="shared" si="76"/>
        <v>23020187</v>
      </c>
      <c r="F146" s="407" t="s">
        <v>604</v>
      </c>
      <c r="G146" s="295">
        <f>G145</f>
        <v>0</v>
      </c>
      <c r="H146" s="396" t="str">
        <f t="shared" si="77"/>
        <v/>
      </c>
      <c r="I146" s="73" t="str">
        <f t="shared" si="78"/>
        <v/>
      </c>
      <c r="J146" s="565"/>
      <c r="M146" s="642"/>
      <c r="AG146" s="641" t="str">
        <f t="shared" si="49"/>
        <v>A100479</v>
      </c>
      <c r="AH146" s="641">
        <f t="shared" si="50"/>
        <v>23020187</v>
      </c>
      <c r="AI146" s="641" t="str">
        <f t="shared" si="51"/>
        <v xml:space="preserve">FLEX-MOUNT LARGE COMPL. </v>
      </c>
      <c r="AJ146" s="641" t="s">
        <v>856</v>
      </c>
      <c r="AK146" s="931" t="s">
        <v>952</v>
      </c>
      <c r="AL146" s="935" t="str">
        <f t="shared" si="52"/>
        <v/>
      </c>
      <c r="AM146" s="936">
        <f t="shared" si="79"/>
        <v>0</v>
      </c>
      <c r="AN146" s="641">
        <f t="shared" si="53"/>
        <v>0</v>
      </c>
      <c r="AO146" s="641" t="str">
        <f t="shared" si="54"/>
        <v/>
      </c>
      <c r="AP146" s="641" t="s">
        <v>983</v>
      </c>
    </row>
    <row r="147" spans="2:42" hidden="1" x14ac:dyDescent="0.2">
      <c r="B147" s="95"/>
      <c r="C147" s="746"/>
      <c r="D147" s="342">
        <f t="shared" si="75"/>
        <v>0</v>
      </c>
      <c r="E147" s="313">
        <f t="shared" si="76"/>
        <v>0</v>
      </c>
      <c r="F147" s="81" t="s">
        <v>464</v>
      </c>
      <c r="G147" s="311"/>
      <c r="H147" s="396" t="str">
        <f t="shared" si="77"/>
        <v/>
      </c>
      <c r="I147" s="73" t="str">
        <f t="shared" si="78"/>
        <v/>
      </c>
      <c r="J147" s="565"/>
      <c r="M147" s="642"/>
      <c r="AG147" s="641">
        <f t="shared" si="49"/>
        <v>0</v>
      </c>
      <c r="AH147" s="641">
        <f t="shared" si="50"/>
        <v>0</v>
      </c>
      <c r="AI147" s="641" t="str">
        <f t="shared" si="51"/>
        <v>Please select</v>
      </c>
      <c r="AJ147" s="641" t="s">
        <v>856</v>
      </c>
      <c r="AK147" s="931" t="s">
        <v>952</v>
      </c>
      <c r="AL147" s="935" t="str">
        <f t="shared" si="52"/>
        <v/>
      </c>
      <c r="AM147" s="936">
        <f t="shared" si="79"/>
        <v>0</v>
      </c>
      <c r="AN147" s="641">
        <f t="shared" si="53"/>
        <v>0</v>
      </c>
      <c r="AO147" s="641" t="str">
        <f t="shared" si="54"/>
        <v/>
      </c>
      <c r="AP147" s="641" t="s">
        <v>983</v>
      </c>
    </row>
    <row r="148" spans="2:42" hidden="1" x14ac:dyDescent="0.2">
      <c r="B148" s="95"/>
      <c r="C148" s="746"/>
      <c r="D148" s="342" t="e">
        <f t="shared" si="75"/>
        <v>#N/A</v>
      </c>
      <c r="E148" s="313" t="e">
        <f t="shared" si="76"/>
        <v>#N/A</v>
      </c>
      <c r="F148" s="81" t="s">
        <v>416</v>
      </c>
      <c r="G148" s="295">
        <f t="shared" ref="G148:G160" si="80">$G$144</f>
        <v>0</v>
      </c>
      <c r="H148" s="396" t="str">
        <f t="shared" si="77"/>
        <v/>
      </c>
      <c r="I148" s="73" t="str">
        <f t="shared" si="78"/>
        <v/>
      </c>
      <c r="J148" s="565"/>
      <c r="M148" s="642"/>
      <c r="AG148" s="641" t="e">
        <f t="shared" si="49"/>
        <v>#N/A</v>
      </c>
      <c r="AH148" s="641" t="e">
        <f t="shared" si="50"/>
        <v>#N/A</v>
      </c>
      <c r="AI148" s="641" t="str">
        <f t="shared" si="51"/>
        <v>Applicator Plate  150X210</v>
      </c>
      <c r="AJ148" s="641" t="s">
        <v>856</v>
      </c>
      <c r="AK148" s="931" t="s">
        <v>952</v>
      </c>
      <c r="AL148" s="935" t="str">
        <f t="shared" si="52"/>
        <v/>
      </c>
      <c r="AM148" s="936">
        <f t="shared" si="79"/>
        <v>0</v>
      </c>
      <c r="AN148" s="641">
        <f t="shared" si="53"/>
        <v>0</v>
      </c>
      <c r="AO148" s="641" t="str">
        <f t="shared" si="54"/>
        <v/>
      </c>
      <c r="AP148" s="641" t="s">
        <v>983</v>
      </c>
    </row>
    <row r="149" spans="2:42" ht="25.5" hidden="1" x14ac:dyDescent="0.2">
      <c r="B149" s="95"/>
      <c r="C149" s="746"/>
      <c r="D149" s="342" t="str">
        <f t="shared" si="75"/>
        <v>K100130</v>
      </c>
      <c r="E149" s="313">
        <f t="shared" si="76"/>
        <v>23020177</v>
      </c>
      <c r="F149" s="407" t="s">
        <v>814</v>
      </c>
      <c r="G149" s="295">
        <f t="shared" si="80"/>
        <v>0</v>
      </c>
      <c r="H149" s="396" t="str">
        <f t="shared" si="77"/>
        <v/>
      </c>
      <c r="I149" s="73" t="str">
        <f t="shared" si="78"/>
        <v/>
      </c>
      <c r="J149" s="565"/>
      <c r="M149" s="642"/>
      <c r="AG149" s="641" t="str">
        <f t="shared" si="49"/>
        <v>K100130</v>
      </c>
      <c r="AH149" s="641">
        <f t="shared" si="50"/>
        <v>23020177</v>
      </c>
      <c r="AI149" s="641" t="str">
        <f t="shared" si="51"/>
        <v>Mini-panel with 4 buttons &amp; Holder that allow mounting - Status beacon &amp; chassis.</v>
      </c>
      <c r="AJ149" s="641" t="s">
        <v>856</v>
      </c>
      <c r="AK149" s="931" t="s">
        <v>952</v>
      </c>
      <c r="AL149" s="935" t="str">
        <f t="shared" si="52"/>
        <v/>
      </c>
      <c r="AM149" s="936">
        <f t="shared" si="79"/>
        <v>0</v>
      </c>
      <c r="AN149" s="641">
        <f t="shared" si="53"/>
        <v>0</v>
      </c>
      <c r="AO149" s="641" t="str">
        <f t="shared" si="54"/>
        <v/>
      </c>
      <c r="AP149" s="641" t="s">
        <v>983</v>
      </c>
    </row>
    <row r="150" spans="2:42" ht="12.75" hidden="1" customHeight="1" x14ac:dyDescent="0.2">
      <c r="B150"/>
      <c r="C150" s="746"/>
      <c r="D150" s="342" t="str">
        <f t="shared" si="75"/>
        <v>K100005</v>
      </c>
      <c r="E150" s="313">
        <f t="shared" si="76"/>
        <v>23020017</v>
      </c>
      <c r="F150" s="407" t="s">
        <v>452</v>
      </c>
      <c r="G150" s="312"/>
      <c r="H150" s="396" t="str">
        <f t="shared" si="77"/>
        <v/>
      </c>
      <c r="I150" s="73" t="str">
        <f t="shared" si="78"/>
        <v/>
      </c>
      <c r="J150" s="565"/>
      <c r="M150" s="642"/>
      <c r="N150" s="642"/>
      <c r="AG150" s="641" t="str">
        <f t="shared" si="49"/>
        <v>K100005</v>
      </c>
      <c r="AH150" s="641">
        <f t="shared" si="50"/>
        <v>23020017</v>
      </c>
      <c r="AI150" s="641" t="str">
        <f t="shared" si="51"/>
        <v xml:space="preserve">Color touch screen 12” with 1.8 m cabling and ergonomic holder that suits all Autolabel stands
</v>
      </c>
      <c r="AJ150" s="641" t="s">
        <v>856</v>
      </c>
      <c r="AK150" s="931" t="s">
        <v>952</v>
      </c>
      <c r="AL150" s="935" t="str">
        <f t="shared" si="52"/>
        <v/>
      </c>
      <c r="AM150" s="936">
        <f t="shared" si="79"/>
        <v>0</v>
      </c>
      <c r="AN150" s="641">
        <f t="shared" si="53"/>
        <v>0</v>
      </c>
      <c r="AO150" s="641" t="str">
        <f t="shared" si="54"/>
        <v/>
      </c>
      <c r="AP150" s="641" t="s">
        <v>983</v>
      </c>
    </row>
    <row r="151" spans="2:42" hidden="1" x14ac:dyDescent="0.2">
      <c r="B151" s="95"/>
      <c r="C151" s="746"/>
      <c r="D151" s="342" t="str">
        <f t="shared" si="75"/>
        <v>A100248</v>
      </c>
      <c r="E151" s="313">
        <f t="shared" si="76"/>
        <v>23020016</v>
      </c>
      <c r="F151" s="81" t="s">
        <v>530</v>
      </c>
      <c r="G151" s="295">
        <f t="shared" si="80"/>
        <v>0</v>
      </c>
      <c r="H151" s="396" t="str">
        <f t="shared" si="77"/>
        <v/>
      </c>
      <c r="I151" s="73" t="str">
        <f t="shared" si="78"/>
        <v/>
      </c>
      <c r="J151" s="565"/>
      <c r="M151" s="642"/>
      <c r="AG151" s="641" t="str">
        <f t="shared" si="49"/>
        <v>A100248</v>
      </c>
      <c r="AH151" s="641">
        <f t="shared" si="50"/>
        <v>23020016</v>
      </c>
      <c r="AI151" s="641" t="str">
        <f t="shared" si="51"/>
        <v>Column (aluminum 1500mm)</v>
      </c>
      <c r="AJ151" s="641" t="s">
        <v>856</v>
      </c>
      <c r="AK151" s="931" t="s">
        <v>952</v>
      </c>
      <c r="AL151" s="935" t="str">
        <f t="shared" si="52"/>
        <v/>
      </c>
      <c r="AM151" s="936">
        <f t="shared" si="79"/>
        <v>0</v>
      </c>
      <c r="AN151" s="641">
        <f t="shared" si="53"/>
        <v>0</v>
      </c>
      <c r="AO151" s="641" t="str">
        <f t="shared" si="54"/>
        <v/>
      </c>
      <c r="AP151" s="641" t="s">
        <v>983</v>
      </c>
    </row>
    <row r="152" spans="2:42" hidden="1" x14ac:dyDescent="0.2">
      <c r="B152" s="95"/>
      <c r="C152" s="746"/>
      <c r="D152" s="342" t="str">
        <f t="shared" si="75"/>
        <v>A100248</v>
      </c>
      <c r="E152" s="313">
        <f t="shared" si="76"/>
        <v>23020016</v>
      </c>
      <c r="F152" s="81" t="s">
        <v>530</v>
      </c>
      <c r="G152" s="311"/>
      <c r="H152" s="396" t="str">
        <f t="shared" si="77"/>
        <v/>
      </c>
      <c r="I152" s="73" t="str">
        <f t="shared" si="78"/>
        <v/>
      </c>
      <c r="J152" s="565"/>
      <c r="M152" s="642"/>
      <c r="AG152" s="641" t="str">
        <f t="shared" si="49"/>
        <v>A100248</v>
      </c>
      <c r="AH152" s="641">
        <f t="shared" si="50"/>
        <v>23020016</v>
      </c>
      <c r="AI152" s="641" t="str">
        <f t="shared" si="51"/>
        <v>Column (aluminum 1500mm)</v>
      </c>
      <c r="AJ152" s="641" t="s">
        <v>856</v>
      </c>
      <c r="AK152" s="931" t="s">
        <v>952</v>
      </c>
      <c r="AL152" s="935" t="str">
        <f t="shared" si="52"/>
        <v/>
      </c>
      <c r="AM152" s="936">
        <f t="shared" si="79"/>
        <v>0</v>
      </c>
      <c r="AN152" s="641">
        <f t="shared" si="53"/>
        <v>0</v>
      </c>
      <c r="AO152" s="641" t="str">
        <f t="shared" si="54"/>
        <v/>
      </c>
      <c r="AP152" s="641" t="s">
        <v>983</v>
      </c>
    </row>
    <row r="153" spans="2:42" hidden="1" x14ac:dyDescent="0.2">
      <c r="B153" s="95"/>
      <c r="C153" s="746"/>
      <c r="D153" s="342">
        <f t="shared" si="75"/>
        <v>23020095</v>
      </c>
      <c r="E153" s="313">
        <f t="shared" si="76"/>
        <v>23020095</v>
      </c>
      <c r="F153" s="321" t="s">
        <v>1052</v>
      </c>
      <c r="G153" s="311">
        <f>G144</f>
        <v>0</v>
      </c>
      <c r="H153" s="396" t="str">
        <f t="shared" si="77"/>
        <v/>
      </c>
      <c r="I153" s="73" t="str">
        <f>IF(ISERROR(H153*G153),"",H153*G153)</f>
        <v/>
      </c>
      <c r="J153" s="565"/>
      <c r="M153" s="642"/>
      <c r="AG153" s="641">
        <f t="shared" si="49"/>
        <v>23020095</v>
      </c>
      <c r="AH153" s="641">
        <f>IF(E153="","",E153)</f>
        <v>23020095</v>
      </c>
      <c r="AI153" s="641" t="str">
        <f>IF(F153="","",F153)</f>
        <v>Min Wireless N Usb Adap 300Mbs</v>
      </c>
      <c r="AJ153" s="641" t="s">
        <v>856</v>
      </c>
      <c r="AK153" s="931" t="s">
        <v>952</v>
      </c>
      <c r="AL153" s="935" t="str">
        <f>IF(G153&gt;0,I153,"")</f>
        <v/>
      </c>
      <c r="AM153" s="936">
        <f t="shared" si="79"/>
        <v>0</v>
      </c>
      <c r="AN153" s="641">
        <f>IF(G153="",0,G153)</f>
        <v>0</v>
      </c>
      <c r="AO153" s="641" t="str">
        <f>IF(AN153&gt;0,"Show", "")</f>
        <v/>
      </c>
      <c r="AP153" s="641" t="s">
        <v>983</v>
      </c>
    </row>
    <row r="154" spans="2:42" hidden="1" x14ac:dyDescent="0.2">
      <c r="B154" s="95"/>
      <c r="C154" s="746"/>
      <c r="D154" s="342" t="str">
        <f t="shared" si="75"/>
        <v>CLI 56P310-E0</v>
      </c>
      <c r="E154" s="313" t="str">
        <f t="shared" si="76"/>
        <v>13020122</v>
      </c>
      <c r="F154" s="321" t="s">
        <v>1053</v>
      </c>
      <c r="G154" s="311">
        <f>G144</f>
        <v>0</v>
      </c>
      <c r="H154" s="396" t="str">
        <f t="shared" si="77"/>
        <v/>
      </c>
      <c r="I154" s="73" t="str">
        <f>IF(ISERROR(H154*G154),"",H154*G154)</f>
        <v/>
      </c>
      <c r="J154" s="565"/>
      <c r="M154" s="642"/>
      <c r="AG154" s="641" t="str">
        <f t="shared" si="49"/>
        <v>CLI 56P310-E0</v>
      </c>
      <c r="AH154" s="641" t="str">
        <f>IF(E154="","",E154)</f>
        <v>13020122</v>
      </c>
      <c r="AI154" s="641" t="str">
        <f>IF(F154="","",F154)</f>
        <v>Plug 250V 10A 3F Pins</v>
      </c>
      <c r="AJ154" s="641" t="s">
        <v>856</v>
      </c>
      <c r="AK154" s="931" t="s">
        <v>952</v>
      </c>
      <c r="AL154" s="935" t="str">
        <f>IF(G154&gt;0,I154,"")</f>
        <v/>
      </c>
      <c r="AM154" s="936">
        <f t="shared" si="79"/>
        <v>0</v>
      </c>
      <c r="AN154" s="641">
        <f>IF(G154="",0,G154)</f>
        <v>0</v>
      </c>
      <c r="AO154" s="641" t="str">
        <f>IF(AN154&gt;0,"Show", "")</f>
        <v/>
      </c>
      <c r="AP154" s="641" t="s">
        <v>983</v>
      </c>
    </row>
    <row r="155" spans="2:42" hidden="1" x14ac:dyDescent="0.2">
      <c r="B155" s="95"/>
      <c r="C155" s="746"/>
      <c r="D155" s="476" t="s">
        <v>542</v>
      </c>
      <c r="E155" s="313">
        <v>13020148</v>
      </c>
      <c r="F155" s="81" t="s">
        <v>557</v>
      </c>
      <c r="G155" s="311">
        <f>G151</f>
        <v>0</v>
      </c>
      <c r="H155" s="396" t="str">
        <f>IF(G155&gt;=0.1,240,"")</f>
        <v/>
      </c>
      <c r="I155" s="73" t="str">
        <f t="shared" si="78"/>
        <v/>
      </c>
      <c r="J155" s="565"/>
      <c r="M155" s="642"/>
      <c r="AG155" s="641" t="str">
        <f t="shared" si="49"/>
        <v>27021519-01_C-01</v>
      </c>
      <c r="AH155" s="641">
        <f t="shared" si="50"/>
        <v>13020148</v>
      </c>
      <c r="AI155" s="641" t="str">
        <f t="shared" si="51"/>
        <v>Base Plate 1</v>
      </c>
      <c r="AJ155" s="641" t="s">
        <v>856</v>
      </c>
      <c r="AK155" s="931" t="s">
        <v>952</v>
      </c>
      <c r="AL155" s="935" t="str">
        <f t="shared" si="52"/>
        <v/>
      </c>
      <c r="AM155" s="936">
        <f t="shared" si="79"/>
        <v>0</v>
      </c>
      <c r="AN155" s="641">
        <f t="shared" si="53"/>
        <v>0</v>
      </c>
      <c r="AO155" s="641" t="str">
        <f t="shared" si="54"/>
        <v/>
      </c>
      <c r="AP155" s="641" t="s">
        <v>983</v>
      </c>
    </row>
    <row r="156" spans="2:42" ht="38.25" hidden="1" x14ac:dyDescent="0.2">
      <c r="B156" s="95"/>
      <c r="C156" s="746"/>
      <c r="D156" s="342" t="str">
        <f t="shared" ref="D156:D161" si="81">VLOOKUP($F156,$F$505:$I$935,3,FALSE)</f>
        <v>A100367</v>
      </c>
      <c r="E156" s="313">
        <f t="shared" ref="E156:E161" si="82">VLOOKUP($F156,$F$505:$I$935,2,FALSE)</f>
        <v>23020014</v>
      </c>
      <c r="F156" s="81" t="s">
        <v>532</v>
      </c>
      <c r="G156" s="295"/>
      <c r="H156" s="396" t="str">
        <f t="shared" ref="H156:H161" si="83">IF(G156&gt;=0.1,VLOOKUP(F156,F$504:I$935,4,FALSE),"")</f>
        <v/>
      </c>
      <c r="I156" s="73" t="str">
        <f t="shared" si="78"/>
        <v/>
      </c>
      <c r="J156" s="565"/>
      <c r="M156" s="642"/>
      <c r="AG156" s="641" t="str">
        <f t="shared" si="49"/>
        <v>A100367</v>
      </c>
      <c r="AH156" s="641">
        <f t="shared" si="50"/>
        <v>23020014</v>
      </c>
      <c r="AI156" s="641" t="str">
        <f t="shared" si="51"/>
        <v xml:space="preserve">H-Foot with adjustable rubber feet and built in wheels for convenient relocation of the system. 
  </v>
      </c>
      <c r="AJ156" s="641" t="s">
        <v>856</v>
      </c>
      <c r="AK156" s="931" t="s">
        <v>952</v>
      </c>
      <c r="AL156" s="935" t="str">
        <f t="shared" si="52"/>
        <v/>
      </c>
      <c r="AM156" s="936">
        <f t="shared" si="79"/>
        <v>0</v>
      </c>
      <c r="AN156" s="641">
        <f t="shared" si="53"/>
        <v>0</v>
      </c>
      <c r="AO156" s="641" t="str">
        <f t="shared" si="54"/>
        <v/>
      </c>
      <c r="AP156" s="641" t="s">
        <v>983</v>
      </c>
    </row>
    <row r="157" spans="2:42" hidden="1" x14ac:dyDescent="0.2">
      <c r="B157" s="95"/>
      <c r="C157" s="746"/>
      <c r="D157" s="342" t="str">
        <f t="shared" si="81"/>
        <v>A100141</v>
      </c>
      <c r="E157" s="313">
        <f t="shared" si="82"/>
        <v>23020009</v>
      </c>
      <c r="F157" s="81" t="s">
        <v>533</v>
      </c>
      <c r="G157" s="295">
        <f t="shared" si="80"/>
        <v>0</v>
      </c>
      <c r="H157" s="396" t="str">
        <f t="shared" si="83"/>
        <v/>
      </c>
      <c r="I157" s="73" t="str">
        <f t="shared" si="78"/>
        <v/>
      </c>
      <c r="J157" s="565"/>
      <c r="M157" s="642"/>
      <c r="AG157" s="641" t="str">
        <f t="shared" si="49"/>
        <v>A100141</v>
      </c>
      <c r="AH157" s="641">
        <f t="shared" si="50"/>
        <v>23020009</v>
      </c>
      <c r="AI157" s="641" t="str">
        <f t="shared" si="51"/>
        <v>Tube Holder - Mounting arm</v>
      </c>
      <c r="AJ157" s="641" t="s">
        <v>856</v>
      </c>
      <c r="AK157" s="931" t="s">
        <v>952</v>
      </c>
      <c r="AL157" s="935" t="str">
        <f t="shared" si="52"/>
        <v/>
      </c>
      <c r="AM157" s="936">
        <f t="shared" si="79"/>
        <v>0</v>
      </c>
      <c r="AN157" s="641">
        <f t="shared" si="53"/>
        <v>0</v>
      </c>
      <c r="AO157" s="641" t="str">
        <f t="shared" si="54"/>
        <v/>
      </c>
      <c r="AP157" s="641" t="s">
        <v>983</v>
      </c>
    </row>
    <row r="158" spans="2:42" hidden="1" x14ac:dyDescent="0.2">
      <c r="B158" s="95"/>
      <c r="C158" s="746"/>
      <c r="D158" s="342" t="str">
        <f t="shared" si="81"/>
        <v>P101566</v>
      </c>
      <c r="E158" s="313">
        <f t="shared" si="82"/>
        <v>23020225</v>
      </c>
      <c r="F158" s="81" t="s">
        <v>837</v>
      </c>
      <c r="G158" s="295">
        <f t="shared" si="80"/>
        <v>0</v>
      </c>
      <c r="H158" s="396" t="str">
        <f t="shared" si="83"/>
        <v/>
      </c>
      <c r="I158" s="73" t="str">
        <f t="shared" si="78"/>
        <v/>
      </c>
      <c r="J158" s="565"/>
      <c r="M158" s="642"/>
      <c r="AG158" s="641" t="str">
        <f t="shared" si="49"/>
        <v>P101566</v>
      </c>
      <c r="AH158" s="641">
        <f t="shared" si="50"/>
        <v>23020225</v>
      </c>
      <c r="AI158" s="641" t="str">
        <f t="shared" si="51"/>
        <v>Holder tube D51 L560</v>
      </c>
      <c r="AJ158" s="641" t="s">
        <v>856</v>
      </c>
      <c r="AK158" s="931" t="s">
        <v>952</v>
      </c>
      <c r="AL158" s="935" t="str">
        <f t="shared" si="52"/>
        <v/>
      </c>
      <c r="AM158" s="936">
        <f t="shared" si="79"/>
        <v>0</v>
      </c>
      <c r="AN158" s="641">
        <f t="shared" si="53"/>
        <v>0</v>
      </c>
      <c r="AO158" s="641" t="str">
        <f t="shared" si="54"/>
        <v/>
      </c>
      <c r="AP158" s="641" t="s">
        <v>983</v>
      </c>
    </row>
    <row r="159" spans="2:42" hidden="1" x14ac:dyDescent="0.2">
      <c r="B159" s="95"/>
      <c r="C159" s="746"/>
      <c r="D159" s="342">
        <f t="shared" si="81"/>
        <v>20091604</v>
      </c>
      <c r="E159" s="313" t="str">
        <f t="shared" si="82"/>
        <v>13080192</v>
      </c>
      <c r="F159" s="129" t="s">
        <v>1054</v>
      </c>
      <c r="G159" s="295">
        <f t="shared" si="80"/>
        <v>0</v>
      </c>
      <c r="H159" s="396" t="str">
        <f t="shared" si="83"/>
        <v/>
      </c>
      <c r="I159" s="73" t="str">
        <f t="shared" si="78"/>
        <v/>
      </c>
      <c r="J159" s="565"/>
      <c r="M159" s="642"/>
      <c r="AG159" s="641">
        <f t="shared" si="49"/>
        <v>20091604</v>
      </c>
      <c r="AH159" s="641" t="str">
        <f t="shared" si="50"/>
        <v>13080192</v>
      </c>
      <c r="AI159" s="641" t="str">
        <f t="shared" si="51"/>
        <v>JBox Assy</v>
      </c>
      <c r="AJ159" s="641" t="s">
        <v>897</v>
      </c>
      <c r="AK159" s="931" t="s">
        <v>952</v>
      </c>
      <c r="AL159" s="935" t="str">
        <f t="shared" si="52"/>
        <v/>
      </c>
      <c r="AM159" s="936">
        <f t="shared" si="79"/>
        <v>0</v>
      </c>
      <c r="AN159" s="641">
        <f t="shared" si="53"/>
        <v>0</v>
      </c>
      <c r="AO159" s="641" t="str">
        <f t="shared" si="54"/>
        <v/>
      </c>
      <c r="AP159" s="641" t="s">
        <v>983</v>
      </c>
    </row>
    <row r="160" spans="2:42" hidden="1" x14ac:dyDescent="0.2">
      <c r="B160" s="95"/>
      <c r="C160" s="746"/>
      <c r="D160" s="342">
        <f t="shared" si="81"/>
        <v>15011615</v>
      </c>
      <c r="E160" s="313" t="str">
        <f t="shared" si="82"/>
        <v>13080193</v>
      </c>
      <c r="F160" s="87" t="s">
        <v>1055</v>
      </c>
      <c r="G160" s="295">
        <f t="shared" si="80"/>
        <v>0</v>
      </c>
      <c r="H160" s="396" t="str">
        <f t="shared" si="83"/>
        <v/>
      </c>
      <c r="I160" s="73" t="str">
        <f t="shared" si="78"/>
        <v/>
      </c>
      <c r="J160" s="565"/>
      <c r="M160" s="642"/>
      <c r="AG160" s="641">
        <f t="shared" si="49"/>
        <v>15011615</v>
      </c>
      <c r="AH160" s="641" t="str">
        <f t="shared" si="50"/>
        <v>13080193</v>
      </c>
      <c r="AI160" s="641" t="str">
        <f t="shared" si="51"/>
        <v>JBox Holding Plate 4mm 304 2B</v>
      </c>
      <c r="AJ160" s="641" t="s">
        <v>897</v>
      </c>
      <c r="AK160" s="931" t="s">
        <v>952</v>
      </c>
      <c r="AL160" s="935" t="str">
        <f t="shared" si="52"/>
        <v/>
      </c>
      <c r="AM160" s="936">
        <f t="shared" si="79"/>
        <v>0</v>
      </c>
      <c r="AN160" s="641">
        <f t="shared" si="53"/>
        <v>0</v>
      </c>
      <c r="AO160" s="641" t="str">
        <f t="shared" si="54"/>
        <v/>
      </c>
      <c r="AP160" s="641" t="s">
        <v>983</v>
      </c>
    </row>
    <row r="161" spans="2:42" ht="25.5" hidden="1" x14ac:dyDescent="0.2">
      <c r="B161" s="95"/>
      <c r="C161" s="747"/>
      <c r="D161" s="342" t="str">
        <f t="shared" si="81"/>
        <v>5612B162MATTHEWS</v>
      </c>
      <c r="E161" s="313" t="str">
        <f t="shared" si="82"/>
        <v>13120079</v>
      </c>
      <c r="F161" s="310" t="s">
        <v>458</v>
      </c>
      <c r="G161" s="295">
        <f>$G$144</f>
        <v>0</v>
      </c>
      <c r="H161" s="396" t="str">
        <f t="shared" si="83"/>
        <v/>
      </c>
      <c r="I161" s="73" t="str">
        <f t="shared" si="78"/>
        <v/>
      </c>
      <c r="J161" s="565"/>
      <c r="M161" s="642"/>
      <c r="AG161" s="641" t="str">
        <f t="shared" si="49"/>
        <v>5612B162MATTHEWS</v>
      </c>
      <c r="AH161" s="641" t="str">
        <f t="shared" si="50"/>
        <v>13120079</v>
      </c>
      <c r="AI161" s="641" t="str">
        <f t="shared" si="51"/>
        <v>Air Regulator Assembly</v>
      </c>
      <c r="AJ161" s="641" t="s">
        <v>897</v>
      </c>
      <c r="AK161" s="931" t="s">
        <v>952</v>
      </c>
      <c r="AL161" s="935" t="str">
        <f t="shared" si="52"/>
        <v/>
      </c>
      <c r="AM161" s="936">
        <f t="shared" si="79"/>
        <v>0</v>
      </c>
      <c r="AN161" s="641">
        <f t="shared" si="53"/>
        <v>0</v>
      </c>
      <c r="AO161" s="641" t="str">
        <f t="shared" si="54"/>
        <v/>
      </c>
      <c r="AP161" s="641" t="s">
        <v>983</v>
      </c>
    </row>
    <row r="162" spans="2:42" x14ac:dyDescent="0.2">
      <c r="B162" s="95"/>
      <c r="C162" s="329"/>
      <c r="D162" s="330"/>
      <c r="E162" s="331"/>
      <c r="F162" s="332"/>
      <c r="G162" s="333"/>
      <c r="H162" s="334"/>
      <c r="I162" s="249"/>
      <c r="J162" s="565"/>
      <c r="M162" s="642"/>
      <c r="AG162" s="641" t="str">
        <f t="shared" si="49"/>
        <v/>
      </c>
      <c r="AH162" s="641" t="str">
        <f t="shared" si="50"/>
        <v/>
      </c>
      <c r="AI162" s="641" t="str">
        <f t="shared" si="51"/>
        <v/>
      </c>
      <c r="AK162" s="931" t="s">
        <v>952</v>
      </c>
      <c r="AL162" s="641" t="str">
        <f t="shared" si="52"/>
        <v/>
      </c>
      <c r="AN162" s="641">
        <f t="shared" si="53"/>
        <v>0</v>
      </c>
      <c r="AO162" s="641" t="str">
        <f t="shared" si="54"/>
        <v/>
      </c>
    </row>
    <row r="163" spans="2:42" x14ac:dyDescent="0.2">
      <c r="B163" s="95"/>
      <c r="C163" s="335"/>
      <c r="D163" s="336"/>
      <c r="E163" s="337"/>
      <c r="F163" s="338"/>
      <c r="G163" s="339"/>
      <c r="H163" s="340"/>
      <c r="I163" s="238"/>
      <c r="J163" s="565"/>
      <c r="M163" s="642"/>
      <c r="AG163" s="641" t="str">
        <f t="shared" si="49"/>
        <v/>
      </c>
      <c r="AH163" s="641" t="str">
        <f t="shared" si="50"/>
        <v/>
      </c>
      <c r="AI163" s="641" t="str">
        <f t="shared" si="51"/>
        <v/>
      </c>
      <c r="AK163" s="931" t="s">
        <v>952</v>
      </c>
      <c r="AL163" s="641" t="str">
        <f t="shared" si="52"/>
        <v/>
      </c>
      <c r="AN163" s="641">
        <f t="shared" si="53"/>
        <v>0</v>
      </c>
      <c r="AO163" s="641" t="str">
        <f t="shared" si="54"/>
        <v/>
      </c>
    </row>
    <row r="164" spans="2:42" ht="18.75" customHeight="1" x14ac:dyDescent="0.2">
      <c r="B164" s="95"/>
      <c r="C164" s="547"/>
      <c r="D164" s="748" t="str">
        <f>VLOOKUP($F164,$F$505:$I$935,3,FALSE)</f>
        <v>K100113</v>
      </c>
      <c r="E164" s="749">
        <f>VLOOKUP($F164,$F$505:$I$935,2,FALSE)</f>
        <v>23010007</v>
      </c>
      <c r="F164" s="752" t="s">
        <v>779</v>
      </c>
      <c r="G164" s="320"/>
      <c r="H164" s="396" t="str">
        <f>IF(G164&gt;=0.1,VLOOKUP(F164,F$504:I$935,4,FALSE),"")</f>
        <v/>
      </c>
      <c r="I164" s="73" t="str">
        <f>IF(ISERROR(H164*G164),"",H164*G164)</f>
        <v/>
      </c>
      <c r="J164" s="565"/>
      <c r="M164" s="642"/>
      <c r="AG164" s="641" t="str">
        <f t="shared" si="49"/>
        <v>K100113</v>
      </c>
      <c r="AH164" s="641">
        <f t="shared" si="50"/>
        <v>23010007</v>
      </c>
      <c r="AI164" s="641" t="str">
        <f t="shared" si="51"/>
        <v>T63 LPA Flexiwipe</v>
      </c>
      <c r="AJ164" s="641" t="s">
        <v>952</v>
      </c>
      <c r="AK164" s="931" t="s">
        <v>952</v>
      </c>
      <c r="AL164" s="935" t="str">
        <f t="shared" si="52"/>
        <v/>
      </c>
      <c r="AM164" s="936">
        <f>IF(AL164="",0,AL164*(1+$E$436))</f>
        <v>0</v>
      </c>
      <c r="AN164" s="641">
        <f t="shared" si="53"/>
        <v>0</v>
      </c>
      <c r="AO164" s="641" t="str">
        <f t="shared" si="54"/>
        <v/>
      </c>
      <c r="AP164" s="641" t="s">
        <v>983</v>
      </c>
    </row>
    <row r="165" spans="2:42" x14ac:dyDescent="0.2">
      <c r="B165" s="95"/>
      <c r="C165" s="547"/>
      <c r="D165" s="342" t="e">
        <f>VLOOKUP($F165,$F$505:$I$935,3,FALSE)</f>
        <v>#N/A</v>
      </c>
      <c r="E165" s="313" t="e">
        <f>VLOOKUP($F165,$F$505:$I$935,2,FALSE)</f>
        <v>#N/A</v>
      </c>
      <c r="F165" s="81" t="s">
        <v>416</v>
      </c>
      <c r="G165" s="320">
        <f>G164</f>
        <v>0</v>
      </c>
      <c r="H165" s="396" t="str">
        <f>IF(G165&gt;=0.1,VLOOKUP(F165,F$504:I$935,4,FALSE),"")</f>
        <v/>
      </c>
      <c r="I165" s="73" t="str">
        <f>IF(ISERROR(H165*G165),"",H165*G165)</f>
        <v/>
      </c>
      <c r="J165" s="565"/>
      <c r="M165" s="642"/>
      <c r="AG165" s="641" t="e">
        <f t="shared" si="49"/>
        <v>#N/A</v>
      </c>
      <c r="AH165" s="641" t="e">
        <f t="shared" si="50"/>
        <v>#N/A</v>
      </c>
      <c r="AI165" s="641" t="str">
        <f t="shared" si="51"/>
        <v>Applicator Plate  150X210</v>
      </c>
      <c r="AJ165" s="641" t="s">
        <v>856</v>
      </c>
      <c r="AK165" s="931" t="s">
        <v>952</v>
      </c>
      <c r="AL165" s="935" t="str">
        <f t="shared" si="52"/>
        <v/>
      </c>
      <c r="AM165" s="936">
        <f>IF(AL165="",0,AL165*(1+$E$436))</f>
        <v>0</v>
      </c>
      <c r="AN165" s="641">
        <f t="shared" si="53"/>
        <v>0</v>
      </c>
      <c r="AO165" s="641" t="str">
        <f t="shared" si="54"/>
        <v/>
      </c>
      <c r="AP165" s="641" t="s">
        <v>983</v>
      </c>
    </row>
    <row r="166" spans="2:42" x14ac:dyDescent="0.2">
      <c r="B166" s="95"/>
      <c r="C166" s="547"/>
      <c r="D166" s="342" t="str">
        <f>VLOOKUP($F166,$F$505:$I$935,3,FALSE)</f>
        <v>K100111</v>
      </c>
      <c r="E166" s="313">
        <f>VLOOKUP($F166,$F$505:$I$935,2,FALSE)</f>
        <v>23020222</v>
      </c>
      <c r="F166" s="554" t="s">
        <v>819</v>
      </c>
      <c r="G166" s="320">
        <f>G164</f>
        <v>0</v>
      </c>
      <c r="H166" s="396" t="str">
        <f>IF(G166&gt;=0.1,VLOOKUP(F166,F$504:I$935,4,FALSE),"")</f>
        <v/>
      </c>
      <c r="I166" s="73" t="str">
        <f>IF(ISERROR(H166*G166),"",H166*G166)</f>
        <v/>
      </c>
      <c r="J166" s="565"/>
      <c r="M166" s="642"/>
      <c r="AG166" s="641" t="str">
        <f t="shared" si="49"/>
        <v>K100111</v>
      </c>
      <c r="AH166" s="641">
        <f t="shared" si="50"/>
        <v>23020222</v>
      </c>
      <c r="AI166" s="641" t="str">
        <f t="shared" si="51"/>
        <v>Flexwipe Scanner Kit</v>
      </c>
      <c r="AJ166" s="641" t="s">
        <v>856</v>
      </c>
      <c r="AK166" s="931" t="s">
        <v>952</v>
      </c>
      <c r="AL166" s="935" t="str">
        <f t="shared" si="52"/>
        <v/>
      </c>
      <c r="AM166" s="936">
        <f>IF(AL166="",0,AL166*(1+$E$436))</f>
        <v>0</v>
      </c>
      <c r="AN166" s="641">
        <f t="shared" si="53"/>
        <v>0</v>
      </c>
      <c r="AO166" s="641" t="str">
        <f t="shared" si="54"/>
        <v/>
      </c>
      <c r="AP166" s="641" t="s">
        <v>983</v>
      </c>
    </row>
    <row r="167" spans="2:42" x14ac:dyDescent="0.2">
      <c r="B167" s="95"/>
      <c r="C167" s="547"/>
      <c r="D167" s="342">
        <f>VLOOKUP($F167,$F$505:$I$935,3,FALSE)</f>
        <v>23020095</v>
      </c>
      <c r="E167" s="313">
        <f>VLOOKUP($F167,$F$505:$I$935,2,FALSE)</f>
        <v>23020095</v>
      </c>
      <c r="F167" s="321" t="s">
        <v>1052</v>
      </c>
      <c r="G167" s="320">
        <f>G164</f>
        <v>0</v>
      </c>
      <c r="H167" s="396" t="str">
        <f>IF(G167&gt;=0.1,VLOOKUP(F167,F$504:I$935,4,FALSE),"")</f>
        <v/>
      </c>
      <c r="I167" s="73" t="str">
        <f>IF(ISERROR(H167*G167),"",H167*G167)</f>
        <v/>
      </c>
      <c r="J167" s="565"/>
      <c r="M167" s="642"/>
      <c r="AG167" s="641">
        <f t="shared" si="49"/>
        <v>23020095</v>
      </c>
      <c r="AH167" s="641">
        <f t="shared" si="50"/>
        <v>23020095</v>
      </c>
      <c r="AI167" s="641" t="str">
        <f t="shared" si="51"/>
        <v>Min Wireless N Usb Adap 300Mbs</v>
      </c>
      <c r="AJ167" s="641" t="s">
        <v>856</v>
      </c>
      <c r="AK167" s="931" t="s">
        <v>952</v>
      </c>
      <c r="AL167" s="935" t="str">
        <f t="shared" si="52"/>
        <v/>
      </c>
      <c r="AM167" s="936">
        <f>IF(AL167="",0,AL167*(1+$E$436))</f>
        <v>0</v>
      </c>
      <c r="AN167" s="641">
        <f t="shared" si="53"/>
        <v>0</v>
      </c>
      <c r="AO167" s="641" t="str">
        <f t="shared" si="54"/>
        <v/>
      </c>
      <c r="AP167" s="641" t="s">
        <v>983</v>
      </c>
    </row>
    <row r="168" spans="2:42" x14ac:dyDescent="0.2">
      <c r="B168" s="95"/>
      <c r="C168" s="547"/>
      <c r="D168" s="342" t="str">
        <f>VLOOKUP($F168,$F$505:$I$935,3,FALSE)</f>
        <v>CLI 56P310-E0</v>
      </c>
      <c r="E168" s="313" t="str">
        <f>VLOOKUP($F168,$F$505:$I$935,2,FALSE)</f>
        <v>13020122</v>
      </c>
      <c r="F168" s="321" t="s">
        <v>1053</v>
      </c>
      <c r="G168" s="320">
        <f>G164</f>
        <v>0</v>
      </c>
      <c r="H168" s="396" t="str">
        <f>IF(G168&gt;=0.1,VLOOKUP(F168,F$504:I$935,4,FALSE),"")</f>
        <v/>
      </c>
      <c r="I168" s="73" t="str">
        <f>IF(ISERROR(H168*G168),"",H168*G168)</f>
        <v/>
      </c>
      <c r="J168" s="565"/>
      <c r="M168" s="642"/>
      <c r="AG168" s="641" t="str">
        <f t="shared" si="49"/>
        <v>CLI 56P310-E0</v>
      </c>
      <c r="AH168" s="641" t="str">
        <f t="shared" si="50"/>
        <v>13020122</v>
      </c>
      <c r="AI168" s="641" t="str">
        <f t="shared" si="51"/>
        <v>Plug 250V 10A 3F Pins</v>
      </c>
      <c r="AJ168" s="641" t="s">
        <v>856</v>
      </c>
      <c r="AK168" s="931" t="s">
        <v>952</v>
      </c>
      <c r="AL168" s="935" t="str">
        <f t="shared" si="52"/>
        <v/>
      </c>
      <c r="AM168" s="936">
        <f>IF(AL168="",0,AL168*(1+$E$436))</f>
        <v>0</v>
      </c>
      <c r="AN168" s="641">
        <f t="shared" si="53"/>
        <v>0</v>
      </c>
      <c r="AO168" s="641" t="str">
        <f t="shared" si="54"/>
        <v/>
      </c>
      <c r="AP168" s="641" t="s">
        <v>983</v>
      </c>
    </row>
    <row r="169" spans="2:42" x14ac:dyDescent="0.2">
      <c r="B169" s="95"/>
      <c r="C169" s="329"/>
      <c r="D169" s="330"/>
      <c r="E169" s="331"/>
      <c r="F169" s="332"/>
      <c r="G169" s="333"/>
      <c r="H169" s="334"/>
      <c r="I169" s="249"/>
      <c r="J169" s="565"/>
      <c r="M169" s="642"/>
      <c r="AL169" s="935"/>
      <c r="AM169" s="936"/>
    </row>
    <row r="170" spans="2:42" x14ac:dyDescent="0.2">
      <c r="B170" s="95"/>
      <c r="C170" s="491"/>
      <c r="D170" s="492"/>
      <c r="E170" s="493"/>
      <c r="F170" s="494"/>
      <c r="G170" s="495"/>
      <c r="H170" s="496"/>
      <c r="I170" s="438"/>
      <c r="J170" s="565"/>
      <c r="M170" s="642"/>
      <c r="AL170" s="935"/>
      <c r="AM170" s="936"/>
    </row>
    <row r="171" spans="2:42" ht="15" x14ac:dyDescent="0.25">
      <c r="B171" s="95"/>
      <c r="C171" s="531" t="s">
        <v>1334</v>
      </c>
      <c r="D171" s="909"/>
      <c r="E171" s="337"/>
      <c r="F171" s="338"/>
      <c r="G171" s="339"/>
      <c r="H171" s="340"/>
      <c r="I171" s="238"/>
      <c r="J171" s="565"/>
      <c r="M171" s="642"/>
      <c r="AL171" s="935"/>
      <c r="AM171" s="936"/>
    </row>
    <row r="172" spans="2:42" ht="15" customHeight="1" x14ac:dyDescent="0.2">
      <c r="B172" s="95"/>
      <c r="C172" s="491"/>
      <c r="D172" s="956" t="s">
        <v>1333</v>
      </c>
      <c r="E172" s="957" t="s">
        <v>5</v>
      </c>
      <c r="F172" s="958" t="s">
        <v>1343</v>
      </c>
      <c r="G172" s="959" t="s">
        <v>343</v>
      </c>
      <c r="H172" s="960" t="s">
        <v>1332</v>
      </c>
      <c r="I172" s="961" t="s">
        <v>1331</v>
      </c>
      <c r="J172" s="565"/>
      <c r="M172" s="642"/>
      <c r="AL172" s="935"/>
      <c r="AM172" s="936"/>
    </row>
    <row r="173" spans="2:42" x14ac:dyDescent="0.2">
      <c r="B173" s="95"/>
      <c r="C173" s="547"/>
      <c r="D173" s="913"/>
      <c r="E173" s="987">
        <v>23020006</v>
      </c>
      <c r="F173" s="988" t="s">
        <v>425</v>
      </c>
      <c r="G173" s="320"/>
      <c r="H173" s="396" t="str">
        <f>IF(G173&gt;=0.1,VLOOKUP(F173,F$504:I$935,4,FALSE),"")</f>
        <v/>
      </c>
      <c r="I173" s="73" t="str">
        <f t="shared" ref="I173:I178" si="84">IF(ISERROR(H173*G173),"",H173*G173)</f>
        <v/>
      </c>
      <c r="J173" s="565"/>
      <c r="M173" s="642"/>
      <c r="AG173" s="641" t="str">
        <f t="shared" ref="AG173:AI177" si="85">IF(D173="","",D173)</f>
        <v/>
      </c>
      <c r="AH173" s="641">
        <f t="shared" si="85"/>
        <v>23020006</v>
      </c>
      <c r="AI173" s="641" t="str">
        <f t="shared" si="85"/>
        <v>Status Beacon</v>
      </c>
      <c r="AK173" s="931" t="s">
        <v>952</v>
      </c>
      <c r="AL173" s="935" t="str">
        <f t="shared" si="52"/>
        <v/>
      </c>
      <c r="AM173" s="936">
        <f>IF(AL173="",0,AL173*(1+$E$436))</f>
        <v>0</v>
      </c>
      <c r="AN173" s="641">
        <f>IF(G173="",0,G173)</f>
        <v>0</v>
      </c>
      <c r="AO173" s="641" t="str">
        <f t="shared" si="54"/>
        <v/>
      </c>
      <c r="AP173" s="641">
        <f>D173</f>
        <v>0</v>
      </c>
    </row>
    <row r="174" spans="2:42" x14ac:dyDescent="0.2">
      <c r="B174" s="95"/>
      <c r="C174" s="547"/>
      <c r="D174" s="913"/>
      <c r="E174" s="914"/>
      <c r="F174" s="915" t="s">
        <v>1357</v>
      </c>
      <c r="G174" s="320"/>
      <c r="H174" s="916"/>
      <c r="I174" s="73">
        <f t="shared" si="84"/>
        <v>0</v>
      </c>
      <c r="J174" s="565"/>
      <c r="M174" s="642"/>
      <c r="AG174" s="641" t="str">
        <f t="shared" si="85"/>
        <v/>
      </c>
      <c r="AH174" s="641" t="str">
        <f t="shared" si="85"/>
        <v/>
      </c>
      <c r="AI174" s="641" t="str">
        <f t="shared" si="85"/>
        <v>Custom Applicator Pad - Approved by Product Mgr</v>
      </c>
      <c r="AK174" s="931" t="s">
        <v>952</v>
      </c>
      <c r="AL174" s="935" t="str">
        <f t="shared" si="52"/>
        <v/>
      </c>
      <c r="AM174" s="936">
        <f>IF(AL174="",0,AL174*(1+$E$436))</f>
        <v>0</v>
      </c>
      <c r="AN174" s="641">
        <f>IF(G174="",0,G174)</f>
        <v>0</v>
      </c>
      <c r="AO174" s="641" t="str">
        <f t="shared" si="54"/>
        <v/>
      </c>
      <c r="AP174" s="641">
        <f>D174</f>
        <v>0</v>
      </c>
    </row>
    <row r="175" spans="2:42" x14ac:dyDescent="0.2">
      <c r="B175" s="95"/>
      <c r="C175" s="547"/>
      <c r="D175" s="913"/>
      <c r="E175" s="914"/>
      <c r="F175" s="915"/>
      <c r="G175" s="320"/>
      <c r="H175" s="916"/>
      <c r="I175" s="73">
        <f t="shared" si="84"/>
        <v>0</v>
      </c>
      <c r="J175" s="565"/>
      <c r="M175" s="642"/>
      <c r="AG175" s="641" t="str">
        <f t="shared" si="85"/>
        <v/>
      </c>
      <c r="AH175" s="641" t="str">
        <f t="shared" si="85"/>
        <v/>
      </c>
      <c r="AI175" s="641" t="str">
        <f t="shared" si="85"/>
        <v/>
      </c>
      <c r="AK175" s="931" t="s">
        <v>952</v>
      </c>
      <c r="AL175" s="935" t="str">
        <f t="shared" si="52"/>
        <v/>
      </c>
      <c r="AM175" s="936">
        <f>IF(AL175="",0,AL175*(1+$E$436))</f>
        <v>0</v>
      </c>
      <c r="AN175" s="641">
        <f>IF(G175="",0,G175)</f>
        <v>0</v>
      </c>
      <c r="AO175" s="641" t="str">
        <f t="shared" si="54"/>
        <v/>
      </c>
      <c r="AP175" s="641">
        <f>D175</f>
        <v>0</v>
      </c>
    </row>
    <row r="176" spans="2:42" x14ac:dyDescent="0.2">
      <c r="B176" s="95"/>
      <c r="C176" s="547"/>
      <c r="D176" s="913"/>
      <c r="E176" s="914"/>
      <c r="F176" s="915"/>
      <c r="G176" s="320"/>
      <c r="H176" s="916"/>
      <c r="I176" s="73">
        <f t="shared" si="84"/>
        <v>0</v>
      </c>
      <c r="J176" s="565"/>
      <c r="M176" s="642"/>
      <c r="AG176" s="641" t="str">
        <f t="shared" si="85"/>
        <v/>
      </c>
      <c r="AH176" s="641" t="str">
        <f t="shared" si="85"/>
        <v/>
      </c>
      <c r="AI176" s="641" t="str">
        <f t="shared" si="85"/>
        <v/>
      </c>
      <c r="AK176" s="931" t="s">
        <v>952</v>
      </c>
      <c r="AL176" s="935" t="str">
        <f t="shared" si="52"/>
        <v/>
      </c>
      <c r="AM176" s="936">
        <f>IF(AL176="",0,AL176*(1+$E$436))</f>
        <v>0</v>
      </c>
      <c r="AN176" s="641">
        <f>IF(G176="",0,G176)</f>
        <v>0</v>
      </c>
      <c r="AO176" s="641" t="str">
        <f t="shared" si="54"/>
        <v/>
      </c>
      <c r="AP176" s="641">
        <f>D176</f>
        <v>0</v>
      </c>
    </row>
    <row r="177" spans="2:42" x14ac:dyDescent="0.2">
      <c r="B177" s="95"/>
      <c r="C177" s="547"/>
      <c r="D177" s="913"/>
      <c r="E177" s="914"/>
      <c r="F177" s="917"/>
      <c r="G177" s="320"/>
      <c r="H177" s="916"/>
      <c r="I177" s="73">
        <f t="shared" si="84"/>
        <v>0</v>
      </c>
      <c r="J177" s="565"/>
      <c r="M177" s="642"/>
      <c r="AG177" s="641" t="str">
        <f t="shared" si="85"/>
        <v/>
      </c>
      <c r="AH177" s="641" t="str">
        <f t="shared" si="85"/>
        <v/>
      </c>
      <c r="AI177" s="641" t="str">
        <f t="shared" si="85"/>
        <v/>
      </c>
      <c r="AK177" s="931" t="s">
        <v>952</v>
      </c>
      <c r="AL177" s="935" t="str">
        <f t="shared" si="52"/>
        <v/>
      </c>
      <c r="AM177" s="936">
        <f>IF(AL177="",0,AL177*(1+$E$436))</f>
        <v>0</v>
      </c>
      <c r="AN177" s="641">
        <f>IF(G177="",0,G177)</f>
        <v>0</v>
      </c>
      <c r="AO177" s="641" t="str">
        <f t="shared" si="54"/>
        <v/>
      </c>
      <c r="AP177" s="641">
        <f>D177</f>
        <v>0</v>
      </c>
    </row>
    <row r="178" spans="2:42" ht="13.5" thickBot="1" x14ac:dyDescent="0.25">
      <c r="B178" s="95"/>
      <c r="C178" s="365"/>
      <c r="D178" s="367"/>
      <c r="E178" s="10"/>
      <c r="F178" s="96"/>
      <c r="G178" s="66"/>
      <c r="H178" s="181" t="str">
        <f>IF(G178&gt;=1,VLOOKUP(F178,F$504:I$935,4,FALSE),"")</f>
        <v/>
      </c>
      <c r="I178" s="122" t="str">
        <f t="shared" si="84"/>
        <v/>
      </c>
      <c r="J178" s="565"/>
      <c r="AG178" s="641" t="str">
        <f t="shared" si="49"/>
        <v/>
      </c>
      <c r="AH178" s="641" t="str">
        <f t="shared" si="50"/>
        <v/>
      </c>
      <c r="AI178" s="641" t="str">
        <f t="shared" si="51"/>
        <v/>
      </c>
      <c r="AN178" s="641">
        <f t="shared" si="53"/>
        <v>0</v>
      </c>
      <c r="AO178" s="641" t="str">
        <f t="shared" si="54"/>
        <v/>
      </c>
    </row>
    <row r="179" spans="2:42" ht="13.5" thickBot="1" x14ac:dyDescent="0.25">
      <c r="B179" s="95"/>
      <c r="C179" s="93"/>
      <c r="D179" s="93"/>
      <c r="E179" s="93"/>
      <c r="F179" s="93"/>
      <c r="G179" s="93"/>
      <c r="H179" s="21" t="s">
        <v>11</v>
      </c>
      <c r="I179" s="121">
        <f>SUM(I25:I178)</f>
        <v>163636</v>
      </c>
      <c r="J179" s="565"/>
      <c r="AG179" s="641" t="str">
        <f t="shared" si="49"/>
        <v/>
      </c>
      <c r="AH179" s="641" t="str">
        <f t="shared" si="50"/>
        <v/>
      </c>
      <c r="AI179" s="641" t="str">
        <f t="shared" si="51"/>
        <v/>
      </c>
      <c r="AL179" s="641" t="str">
        <f t="shared" si="52"/>
        <v/>
      </c>
      <c r="AN179" s="641">
        <f t="shared" si="53"/>
        <v>0</v>
      </c>
      <c r="AO179" s="641" t="str">
        <f t="shared" si="54"/>
        <v/>
      </c>
    </row>
    <row r="180" spans="2:42" ht="13.5" thickBot="1" x14ac:dyDescent="0.25">
      <c r="B180" s="95"/>
      <c r="C180" s="93"/>
      <c r="D180" s="93"/>
      <c r="E180" s="93"/>
      <c r="F180" s="93"/>
      <c r="G180" s="93"/>
      <c r="H180" s="93"/>
      <c r="I180" s="93"/>
      <c r="J180" s="565"/>
      <c r="K180" s="1001"/>
      <c r="L180" s="937"/>
      <c r="M180" s="937"/>
      <c r="N180" s="937"/>
      <c r="O180" s="937"/>
      <c r="P180" s="934"/>
      <c r="Q180" s="937"/>
      <c r="AG180" s="641" t="str">
        <f t="shared" si="49"/>
        <v/>
      </c>
      <c r="AH180" s="641" t="str">
        <f t="shared" si="50"/>
        <v/>
      </c>
      <c r="AI180" s="641" t="str">
        <f t="shared" si="51"/>
        <v/>
      </c>
      <c r="AL180" s="641" t="str">
        <f t="shared" si="52"/>
        <v/>
      </c>
      <c r="AN180" s="641">
        <f t="shared" si="53"/>
        <v>0</v>
      </c>
      <c r="AO180" s="641" t="str">
        <f t="shared" si="54"/>
        <v/>
      </c>
    </row>
    <row r="181" spans="2:42" ht="19.149999999999999" customHeight="1" thickBot="1" x14ac:dyDescent="0.3">
      <c r="B181" s="95"/>
      <c r="C181" s="356" t="s">
        <v>47</v>
      </c>
      <c r="D181" s="360"/>
      <c r="E181" s="28"/>
      <c r="F181" s="35"/>
      <c r="G181" s="30"/>
      <c r="H181" s="29"/>
      <c r="I181" s="31"/>
      <c r="J181" s="565"/>
      <c r="K181" s="1001"/>
      <c r="L181" s="937"/>
      <c r="M181" s="937"/>
      <c r="N181" s="937"/>
      <c r="O181" s="937"/>
      <c r="P181" s="934"/>
      <c r="Q181" s="937"/>
      <c r="AG181" s="641" t="str">
        <f t="shared" si="49"/>
        <v/>
      </c>
      <c r="AH181" s="641" t="str">
        <f t="shared" si="50"/>
        <v/>
      </c>
      <c r="AI181" s="641" t="str">
        <f t="shared" si="51"/>
        <v/>
      </c>
      <c r="AL181" s="641" t="str">
        <f t="shared" si="52"/>
        <v/>
      </c>
      <c r="AN181" s="641">
        <f t="shared" si="53"/>
        <v>0</v>
      </c>
      <c r="AO181" s="641" t="str">
        <f t="shared" si="54"/>
        <v/>
      </c>
    </row>
    <row r="182" spans="2:42" ht="4.5" customHeight="1" thickBot="1" x14ac:dyDescent="0.25">
      <c r="B182" s="93"/>
      <c r="C182"/>
      <c r="D182"/>
      <c r="E182"/>
      <c r="F182"/>
      <c r="G182"/>
      <c r="H182"/>
      <c r="I182"/>
      <c r="J182" s="565"/>
      <c r="K182" s="1001"/>
      <c r="L182" s="937"/>
      <c r="M182" s="937"/>
      <c r="N182" s="937"/>
      <c r="O182" s="937"/>
      <c r="P182" s="934"/>
      <c r="Q182" s="937"/>
      <c r="AG182" s="641" t="str">
        <f t="shared" si="49"/>
        <v/>
      </c>
      <c r="AH182" s="641" t="str">
        <f t="shared" si="50"/>
        <v/>
      </c>
      <c r="AI182" s="641" t="str">
        <f t="shared" si="51"/>
        <v/>
      </c>
      <c r="AL182" s="641" t="str">
        <f t="shared" si="52"/>
        <v/>
      </c>
      <c r="AN182" s="641">
        <f t="shared" si="53"/>
        <v>0</v>
      </c>
      <c r="AO182" s="641" t="str">
        <f t="shared" si="54"/>
        <v/>
      </c>
    </row>
    <row r="183" spans="2:42" ht="15" x14ac:dyDescent="0.2">
      <c r="B183" s="93"/>
      <c r="C183" s="236" t="s">
        <v>514</v>
      </c>
      <c r="D183" s="328"/>
      <c r="E183" s="221"/>
      <c r="F183" s="222"/>
      <c r="G183" s="223"/>
      <c r="H183" s="224"/>
      <c r="I183" s="225"/>
      <c r="J183" s="565"/>
      <c r="K183" s="1001"/>
      <c r="L183" s="937"/>
      <c r="M183" s="937"/>
      <c r="N183" s="937"/>
      <c r="O183" s="937"/>
      <c r="P183" s="934"/>
      <c r="Q183" s="937"/>
      <c r="AG183" s="641" t="str">
        <f t="shared" si="49"/>
        <v/>
      </c>
      <c r="AH183" s="641" t="str">
        <f t="shared" si="50"/>
        <v/>
      </c>
      <c r="AI183" s="641" t="str">
        <f t="shared" si="51"/>
        <v/>
      </c>
      <c r="AL183" s="641" t="str">
        <f t="shared" si="52"/>
        <v/>
      </c>
      <c r="AN183" s="641">
        <f t="shared" si="53"/>
        <v>0</v>
      </c>
      <c r="AO183" s="641" t="str">
        <f t="shared" si="54"/>
        <v/>
      </c>
    </row>
    <row r="184" spans="2:42" x14ac:dyDescent="0.2">
      <c r="B184" s="93"/>
      <c r="C184" s="742"/>
      <c r="D184" s="366">
        <f>VLOOKUP($F184,$F$505:$I$935,3,FALSE)</f>
        <v>6033180</v>
      </c>
      <c r="E184" s="9">
        <f>VLOOKUP($F184,$F$505:$I$935,2,FALSE)</f>
        <v>11060156</v>
      </c>
      <c r="F184" s="406" t="s">
        <v>516</v>
      </c>
      <c r="G184" s="295">
        <v>2</v>
      </c>
      <c r="H184" s="417">
        <f>IF(ISERROR(IF(G184&gt;=1,VLOOKUP(F184,F$504:I$935,4,FALSE),"")),"",IF(G184&gt;=1,VLOOKUP(F184,F$504:I$935,4,FALSE),""))</f>
        <v>225</v>
      </c>
      <c r="I184" s="73">
        <f>IF(ISERROR(H184*G184),"",H184*G184)</f>
        <v>450</v>
      </c>
      <c r="J184" s="565"/>
      <c r="K184" s="1001"/>
      <c r="L184" s="937" t="s">
        <v>107</v>
      </c>
      <c r="M184" s="937"/>
      <c r="N184" s="937" t="s">
        <v>516</v>
      </c>
      <c r="O184" s="937"/>
      <c r="P184" s="934"/>
      <c r="Q184" s="937"/>
      <c r="S184" s="641" t="s">
        <v>108</v>
      </c>
      <c r="U184" s="641" t="s">
        <v>517</v>
      </c>
      <c r="AG184" s="641">
        <f t="shared" si="49"/>
        <v>6033180</v>
      </c>
      <c r="AH184" s="641">
        <f t="shared" si="50"/>
        <v>11060156</v>
      </c>
      <c r="AI184" s="641" t="str">
        <f t="shared" si="51"/>
        <v xml:space="preserve">Reflective Sensor WL8-P2131 </v>
      </c>
      <c r="AJ184" s="641" t="s">
        <v>954</v>
      </c>
      <c r="AK184" s="931" t="s">
        <v>990</v>
      </c>
      <c r="AL184" s="935">
        <f t="shared" si="52"/>
        <v>450</v>
      </c>
      <c r="AM184" s="936">
        <f>AL184</f>
        <v>450</v>
      </c>
      <c r="AN184" s="641">
        <f t="shared" si="53"/>
        <v>2</v>
      </c>
      <c r="AO184" s="641" t="str">
        <f t="shared" si="54"/>
        <v>Show</v>
      </c>
      <c r="AP184" s="641" t="str">
        <f>AK184</f>
        <v>Datacapture Assembly</v>
      </c>
    </row>
    <row r="185" spans="2:42" x14ac:dyDescent="0.2">
      <c r="B185" s="774" t="str">
        <f>F184&amp;F185</f>
        <v>Reflective Sensor WL8-P2131 1 x M8 3PIN 5M CABLE</v>
      </c>
      <c r="C185" s="743"/>
      <c r="D185" s="366">
        <f>VLOOKUP($F185,$F$505:$I$935,3,FALSE)</f>
        <v>6025889</v>
      </c>
      <c r="E185" s="9" t="str">
        <f>VLOOKUP($F185,$F$505:$I$935,2,FALSE)</f>
        <v>11020007</v>
      </c>
      <c r="F185" s="87" t="str">
        <f>HLOOKUP($F$184,$N$184:$U$187,2,FALSE)</f>
        <v>1 x M8 3PIN 5M CABLE</v>
      </c>
      <c r="G185" s="295">
        <f>G184*(VLOOKUP($B185,$L$185:$O$211,4,FALSE))</f>
        <v>2</v>
      </c>
      <c r="H185" s="417">
        <f>IF(G185&gt;=1,VLOOKUP(F185,F$504:I$935,4,FALSE),"")</f>
        <v>20</v>
      </c>
      <c r="I185" s="73">
        <f>IF(ISERROR(H185*G185),"",H185*G185)</f>
        <v>40</v>
      </c>
      <c r="J185" s="565"/>
      <c r="K185" s="1001"/>
      <c r="L185" s="937" t="str">
        <f>M185&amp;N185</f>
        <v>Reflective Sensor WL8-P2131 1 x M8 3PIN 5M CABLE</v>
      </c>
      <c r="M185" s="937" t="s">
        <v>516</v>
      </c>
      <c r="N185" s="937" t="s">
        <v>105</v>
      </c>
      <c r="O185" s="937">
        <v>1</v>
      </c>
      <c r="P185" s="934"/>
      <c r="Q185" s="937"/>
      <c r="S185" s="641" t="str">
        <f>T185&amp;U185</f>
        <v>Proximity Sensor WTB8-P2131  1 x M8 3PIN 5M CABLE</v>
      </c>
      <c r="T185" s="641" t="s">
        <v>517</v>
      </c>
      <c r="U185" s="641" t="s">
        <v>105</v>
      </c>
      <c r="V185" s="641">
        <v>1</v>
      </c>
      <c r="AG185" s="641">
        <f t="shared" ref="AG185:AG247" si="86">IF(D185="","",D185)</f>
        <v>6025889</v>
      </c>
      <c r="AH185" s="641" t="str">
        <f t="shared" ref="AH185:AH247" si="87">IF(E185="","",E185)</f>
        <v>11020007</v>
      </c>
      <c r="AI185" s="641" t="str">
        <f t="shared" ref="AI185:AI247" si="88">IF(F185="","",F185)</f>
        <v>1 x M8 3PIN 5M CABLE</v>
      </c>
      <c r="AJ185" s="641" t="s">
        <v>954</v>
      </c>
      <c r="AK185" s="931" t="s">
        <v>990</v>
      </c>
      <c r="AL185" s="935">
        <f>IF(G185&gt;0,I185,"")</f>
        <v>40</v>
      </c>
      <c r="AM185" s="936">
        <f t="shared" ref="AM185:AM247" si="89">AL185</f>
        <v>40</v>
      </c>
      <c r="AN185" s="641">
        <f t="shared" ref="AN185:AN247" si="90">IF(G185="",0,G185)</f>
        <v>2</v>
      </c>
      <c r="AO185" s="641" t="str">
        <f t="shared" ref="AO185:AO247" si="91">IF(AN185&gt;0,"Show", "")</f>
        <v>Show</v>
      </c>
      <c r="AP185" s="641" t="str">
        <f>AK185</f>
        <v>Datacapture Assembly</v>
      </c>
    </row>
    <row r="186" spans="2:42" x14ac:dyDescent="0.2">
      <c r="B186" s="774" t="str">
        <f>F184&amp;F186</f>
        <v>Reflective Sensor WL8-P2131 BRACKET PE SENSOR ASSY</v>
      </c>
      <c r="C186" s="743"/>
      <c r="D186" s="368" t="str">
        <f>VLOOKUP($F186,$F$505:$I$935,3,FALSE)</f>
        <v>13120085 KIT</v>
      </c>
      <c r="E186" s="26">
        <f>VLOOKUP($F186,$F$505:$I$935,2,FALSE)</f>
        <v>13120085</v>
      </c>
      <c r="F186" s="87" t="str">
        <f>HLOOKUP($F$184,$N$184:$U$187,3,FALSE)</f>
        <v>BRACKET PE SENSOR ASSY</v>
      </c>
      <c r="G186" s="295">
        <f>G185*(VLOOKUP($B186,$L$185:$O$211,4,FALSE))</f>
        <v>2</v>
      </c>
      <c r="H186" s="418">
        <f>IF(G186&gt;=0.1,VLOOKUP(F186,F$504:I$935,4,FALSE),"")</f>
        <v>26</v>
      </c>
      <c r="I186" s="73">
        <f>IF(ISERROR(H186*G186),"",H186*G186)</f>
        <v>52</v>
      </c>
      <c r="J186" s="565"/>
      <c r="K186" s="1001"/>
      <c r="L186" s="937" t="str">
        <f>M186&amp;N186</f>
        <v>Reflective Sensor WL8-P2131 BRACKET PE SENSOR ASSY</v>
      </c>
      <c r="M186" s="937" t="s">
        <v>516</v>
      </c>
      <c r="N186" s="937" t="s">
        <v>551</v>
      </c>
      <c r="O186" s="937">
        <v>1</v>
      </c>
      <c r="P186" s="934"/>
      <c r="Q186" s="937"/>
      <c r="S186" s="641" t="str">
        <f>T186&amp;U186</f>
        <v>Proximity Sensor WTB8-P2131  BRACKET PE SENSOR ASSY</v>
      </c>
      <c r="T186" s="641" t="s">
        <v>517</v>
      </c>
      <c r="U186" s="937" t="s">
        <v>551</v>
      </c>
      <c r="V186" s="641">
        <v>1</v>
      </c>
      <c r="AG186" s="641" t="str">
        <f t="shared" si="86"/>
        <v>13120085 KIT</v>
      </c>
      <c r="AH186" s="641">
        <f t="shared" si="87"/>
        <v>13120085</v>
      </c>
      <c r="AI186" s="641" t="str">
        <f t="shared" si="88"/>
        <v>BRACKET PE SENSOR ASSY</v>
      </c>
      <c r="AJ186" s="641" t="s">
        <v>897</v>
      </c>
      <c r="AK186" s="931" t="s">
        <v>990</v>
      </c>
      <c r="AL186" s="935">
        <f>IF(G186&gt;0,I186,"")</f>
        <v>52</v>
      </c>
      <c r="AM186" s="936">
        <f t="shared" si="89"/>
        <v>52</v>
      </c>
      <c r="AN186" s="641">
        <f t="shared" si="90"/>
        <v>2</v>
      </c>
      <c r="AO186" s="641" t="str">
        <f t="shared" si="91"/>
        <v>Show</v>
      </c>
      <c r="AP186" s="641" t="str">
        <f>AK186</f>
        <v>Datacapture Assembly</v>
      </c>
    </row>
    <row r="187" spans="2:42" x14ac:dyDescent="0.2">
      <c r="B187" s="774" t="str">
        <f>F184&amp;F187</f>
        <v>Reflective Sensor WL8-P2131 BRACKET PE REFLECTOR ASSY</v>
      </c>
      <c r="C187" s="744"/>
      <c r="D187" s="368" t="str">
        <f>VLOOKUP($F187,$F$505:$I$935,3,FALSE)</f>
        <v>13120086 KIT</v>
      </c>
      <c r="E187" s="26">
        <f>VLOOKUP($F187,$F$505:$I$935,2,FALSE)</f>
        <v>13120086</v>
      </c>
      <c r="F187" s="87" t="str">
        <f>HLOOKUP($F$184,$N$184:$U$187,4,FALSE)</f>
        <v>BRACKET PE REFLECTOR ASSY</v>
      </c>
      <c r="G187" s="295">
        <f>IF(F187=0,"",G185*(VLOOKUP($B187,$L$185:$O$211,4,FALSE)))</f>
        <v>2</v>
      </c>
      <c r="H187" s="418">
        <f>IF(G187&gt;=0.1,VLOOKUP(F187,F$504:I$935,4,FALSE),"")</f>
        <v>34</v>
      </c>
      <c r="I187" s="73">
        <f>IF(ISERROR(H187*G187),"",H187*G187)</f>
        <v>68</v>
      </c>
      <c r="J187" s="565"/>
      <c r="K187" s="1001"/>
      <c r="L187" s="937" t="str">
        <f>M187&amp;N187</f>
        <v>Reflective Sensor WL8-P2131 BRACKET PE REFLECTOR ASSY</v>
      </c>
      <c r="M187" s="937" t="s">
        <v>516</v>
      </c>
      <c r="N187" s="641" t="s">
        <v>552</v>
      </c>
      <c r="O187" s="937">
        <v>1</v>
      </c>
      <c r="P187" s="934"/>
      <c r="Q187" s="937"/>
      <c r="S187" s="641" t="str">
        <f>T187&amp;U187</f>
        <v>Proximity Sensor WTB8-P2131  BRACKET PE REFLECTOR ASSY</v>
      </c>
      <c r="T187" s="641" t="s">
        <v>517</v>
      </c>
      <c r="U187" s="641" t="s">
        <v>552</v>
      </c>
      <c r="V187" s="641">
        <v>1</v>
      </c>
      <c r="AG187" s="641" t="str">
        <f t="shared" si="86"/>
        <v>13120086 KIT</v>
      </c>
      <c r="AH187" s="641">
        <f t="shared" si="87"/>
        <v>13120086</v>
      </c>
      <c r="AI187" s="641" t="str">
        <f t="shared" si="88"/>
        <v>BRACKET PE REFLECTOR ASSY</v>
      </c>
      <c r="AJ187" s="641" t="s">
        <v>897</v>
      </c>
      <c r="AK187" s="931" t="s">
        <v>990</v>
      </c>
      <c r="AL187" s="935">
        <f>IF(G187&gt;0,I187,"")</f>
        <v>68</v>
      </c>
      <c r="AM187" s="936">
        <f t="shared" si="89"/>
        <v>68</v>
      </c>
      <c r="AN187" s="641">
        <f t="shared" si="90"/>
        <v>2</v>
      </c>
      <c r="AO187" s="641" t="str">
        <f t="shared" si="91"/>
        <v>Show</v>
      </c>
      <c r="AP187" s="641" t="str">
        <f>AK187</f>
        <v>Datacapture Assembly</v>
      </c>
    </row>
    <row r="188" spans="2:42" x14ac:dyDescent="0.2">
      <c r="B188" s="474"/>
      <c r="C188" s="420"/>
      <c r="D188" s="432"/>
      <c r="E188" s="433"/>
      <c r="F188" s="434"/>
      <c r="G188" s="439"/>
      <c r="H188" s="435"/>
      <c r="I188" s="249"/>
      <c r="J188" s="565"/>
      <c r="K188" s="1001"/>
      <c r="L188" s="937" t="str">
        <f>S185</f>
        <v>Proximity Sensor WTB8-P2131  1 x M8 3PIN 5M CABLE</v>
      </c>
      <c r="M188" s="937"/>
      <c r="N188" s="937"/>
      <c r="O188" s="937">
        <v>1</v>
      </c>
      <c r="P188" s="934"/>
      <c r="Q188" s="937"/>
      <c r="AG188" s="641" t="str">
        <f t="shared" si="86"/>
        <v/>
      </c>
      <c r="AH188" s="641" t="str">
        <f t="shared" si="87"/>
        <v/>
      </c>
      <c r="AI188" s="641" t="str">
        <f t="shared" si="88"/>
        <v/>
      </c>
      <c r="AL188" s="641" t="str">
        <f t="shared" ref="AL188:AL247" si="92">IF(G188&gt;0,I188,"")</f>
        <v/>
      </c>
      <c r="AM188" s="936" t="str">
        <f t="shared" si="89"/>
        <v/>
      </c>
      <c r="AN188" s="641">
        <f t="shared" si="90"/>
        <v>0</v>
      </c>
      <c r="AO188" s="641" t="str">
        <f t="shared" si="91"/>
        <v/>
      </c>
      <c r="AP188" s="641" t="str">
        <f>IF(AK188=0,"", AK188)</f>
        <v/>
      </c>
    </row>
    <row r="189" spans="2:42" ht="15" x14ac:dyDescent="0.2">
      <c r="B189" s="474"/>
      <c r="C189" s="243" t="s">
        <v>515</v>
      </c>
      <c r="D189" s="436"/>
      <c r="E189" s="11"/>
      <c r="F189" s="92"/>
      <c r="G189" s="440"/>
      <c r="H189" s="437"/>
      <c r="I189" s="438"/>
      <c r="J189" s="565"/>
      <c r="K189" s="1001"/>
      <c r="L189" s="937" t="str">
        <f>S186</f>
        <v>Proximity Sensor WTB8-P2131  BRACKET PE SENSOR ASSY</v>
      </c>
      <c r="M189" s="937"/>
      <c r="N189" s="937"/>
      <c r="O189" s="937">
        <v>1</v>
      </c>
      <c r="P189" s="934"/>
      <c r="Q189" s="937"/>
      <c r="AG189" s="641" t="str">
        <f t="shared" si="86"/>
        <v/>
      </c>
      <c r="AH189" s="641" t="str">
        <f t="shared" si="87"/>
        <v/>
      </c>
      <c r="AI189" s="641" t="str">
        <f t="shared" si="88"/>
        <v/>
      </c>
      <c r="AL189" s="641" t="str">
        <f t="shared" si="92"/>
        <v/>
      </c>
      <c r="AM189" s="936" t="str">
        <f t="shared" si="89"/>
        <v/>
      </c>
      <c r="AN189" s="641">
        <f t="shared" si="90"/>
        <v>0</v>
      </c>
      <c r="AO189" s="641" t="str">
        <f t="shared" si="91"/>
        <v/>
      </c>
      <c r="AP189" s="929" t="str">
        <f t="shared" ref="AP189:AP251" si="93">IF(AK189=0,"", AK189)</f>
        <v/>
      </c>
    </row>
    <row r="190" spans="2:42" x14ac:dyDescent="0.2">
      <c r="B190" s="474"/>
      <c r="C190" s="421"/>
      <c r="D190" s="368">
        <f>VLOOKUP($F190,$F$505:$I$935,3,FALSE)</f>
        <v>1025896</v>
      </c>
      <c r="E190" s="26">
        <f>VLOOKUP($F190,$F$505:$I$935,2,FALSE)</f>
        <v>11060159</v>
      </c>
      <c r="F190" s="481" t="s">
        <v>518</v>
      </c>
      <c r="G190" s="295"/>
      <c r="H190" s="396" t="str">
        <f>IF(G190&gt;=0.1,VLOOKUP(F190,F$504:I$935,4,FALSE),"")</f>
        <v/>
      </c>
      <c r="I190" s="73" t="str">
        <f>IF(ISERROR(H190*G190),"",H190*G190)</f>
        <v/>
      </c>
      <c r="J190" s="565"/>
      <c r="K190" s="1001"/>
      <c r="L190" s="937" t="str">
        <f>S187</f>
        <v>Proximity Sensor WTB8-P2131  BRACKET PE REFLECTOR ASSY</v>
      </c>
      <c r="M190" s="937"/>
      <c r="N190" s="937"/>
      <c r="O190" s="937">
        <v>1</v>
      </c>
      <c r="P190" s="934"/>
      <c r="Q190" s="937"/>
      <c r="AG190" s="641">
        <f t="shared" si="86"/>
        <v>1025896</v>
      </c>
      <c r="AH190" s="641">
        <f t="shared" si="87"/>
        <v>11060159</v>
      </c>
      <c r="AI190" s="641" t="str">
        <f t="shared" si="88"/>
        <v>Proximity Sensor PNP Long Range 600MM</v>
      </c>
      <c r="AJ190" s="641" t="s">
        <v>954</v>
      </c>
      <c r="AK190" s="931" t="s">
        <v>990</v>
      </c>
      <c r="AL190" s="935" t="str">
        <f t="shared" si="92"/>
        <v/>
      </c>
      <c r="AM190" s="936" t="str">
        <f t="shared" si="89"/>
        <v/>
      </c>
      <c r="AN190" s="641">
        <f t="shared" si="90"/>
        <v>0</v>
      </c>
      <c r="AO190" s="641" t="str">
        <f t="shared" si="91"/>
        <v/>
      </c>
      <c r="AP190" s="929" t="str">
        <f t="shared" si="93"/>
        <v>Datacapture Assembly</v>
      </c>
    </row>
    <row r="191" spans="2:42" x14ac:dyDescent="0.2">
      <c r="B191" s="474"/>
      <c r="C191" s="421"/>
      <c r="D191" s="368">
        <f>VLOOKUP($F191,$F$505:$I$935,3,FALSE)</f>
        <v>11060038</v>
      </c>
      <c r="E191" s="26">
        <f>VLOOKUP($F191,$F$505:$I$935,2,FALSE)</f>
        <v>11060038</v>
      </c>
      <c r="F191" s="87" t="s">
        <v>519</v>
      </c>
      <c r="G191" s="295">
        <f>G190</f>
        <v>0</v>
      </c>
      <c r="H191" s="396" t="str">
        <f>IF(G191&gt;=0.1,VLOOKUP(F191,F$504:I$935,4,FALSE),"")</f>
        <v/>
      </c>
      <c r="I191" s="73" t="str">
        <f>IF(ISERROR(H191*G191),"",H191*G191)</f>
        <v/>
      </c>
      <c r="J191" s="565"/>
      <c r="K191" s="1001"/>
      <c r="L191" s="937"/>
      <c r="M191" s="937"/>
      <c r="N191" s="937"/>
      <c r="O191" s="937"/>
      <c r="P191" s="934"/>
      <c r="Q191" s="937"/>
      <c r="AG191" s="641">
        <f t="shared" si="86"/>
        <v>11060038</v>
      </c>
      <c r="AH191" s="641">
        <f t="shared" si="87"/>
        <v>11060038</v>
      </c>
      <c r="AI191" s="641" t="str">
        <f t="shared" si="88"/>
        <v>Cable 4 PIN M12 5M</v>
      </c>
      <c r="AJ191" s="641" t="s">
        <v>954</v>
      </c>
      <c r="AK191" s="931" t="s">
        <v>990</v>
      </c>
      <c r="AL191" s="935" t="str">
        <f t="shared" si="92"/>
        <v/>
      </c>
      <c r="AM191" s="936" t="str">
        <f t="shared" si="89"/>
        <v/>
      </c>
      <c r="AN191" s="641">
        <f t="shared" si="90"/>
        <v>0</v>
      </c>
      <c r="AO191" s="641" t="str">
        <f t="shared" si="91"/>
        <v/>
      </c>
      <c r="AP191" s="929" t="str">
        <f t="shared" si="93"/>
        <v>Datacapture Assembly</v>
      </c>
    </row>
    <row r="192" spans="2:42" hidden="1" x14ac:dyDescent="0.2">
      <c r="B192" s="474"/>
      <c r="C192" s="421"/>
      <c r="D192" s="368"/>
      <c r="E192" s="26"/>
      <c r="F192" s="87"/>
      <c r="G192" s="295"/>
      <c r="H192" s="418"/>
      <c r="I192" s="73"/>
      <c r="J192" s="565"/>
      <c r="K192" s="1001"/>
      <c r="L192" s="937"/>
      <c r="M192" s="937"/>
      <c r="N192" s="937"/>
      <c r="O192" s="937"/>
      <c r="P192" s="934"/>
      <c r="Q192" s="937" t="s">
        <v>106</v>
      </c>
      <c r="AG192" s="641" t="str">
        <f t="shared" si="86"/>
        <v/>
      </c>
      <c r="AH192" s="641" t="str">
        <f t="shared" si="87"/>
        <v/>
      </c>
      <c r="AI192" s="641" t="str">
        <f t="shared" si="88"/>
        <v/>
      </c>
      <c r="AL192" s="641" t="str">
        <f t="shared" si="92"/>
        <v/>
      </c>
      <c r="AM192" s="936" t="str">
        <f t="shared" si="89"/>
        <v/>
      </c>
      <c r="AN192" s="641">
        <f t="shared" si="90"/>
        <v>0</v>
      </c>
      <c r="AO192" s="641" t="str">
        <f t="shared" si="91"/>
        <v/>
      </c>
      <c r="AP192" s="929" t="str">
        <f t="shared" si="93"/>
        <v/>
      </c>
    </row>
    <row r="193" spans="2:42" ht="15" hidden="1" x14ac:dyDescent="0.25">
      <c r="B193" s="93"/>
      <c r="C193" s="267"/>
      <c r="D193" s="268"/>
      <c r="E193" s="268"/>
      <c r="F193" s="269"/>
      <c r="G193" s="270"/>
      <c r="H193" s="269"/>
      <c r="I193" s="271"/>
      <c r="J193" s="565"/>
      <c r="K193" s="1001"/>
      <c r="L193" s="937"/>
      <c r="M193" s="937"/>
      <c r="N193" s="937"/>
      <c r="O193" s="937"/>
      <c r="P193" s="934"/>
      <c r="Q193" s="937"/>
      <c r="AG193" s="641" t="str">
        <f t="shared" si="86"/>
        <v/>
      </c>
      <c r="AH193" s="641" t="str">
        <f t="shared" si="87"/>
        <v/>
      </c>
      <c r="AI193" s="641" t="str">
        <f t="shared" si="88"/>
        <v/>
      </c>
      <c r="AL193" s="641" t="str">
        <f t="shared" si="92"/>
        <v/>
      </c>
      <c r="AM193" s="936" t="str">
        <f t="shared" si="89"/>
        <v/>
      </c>
      <c r="AN193" s="641">
        <f t="shared" si="90"/>
        <v>0</v>
      </c>
      <c r="AO193" s="641" t="str">
        <f t="shared" si="91"/>
        <v/>
      </c>
      <c r="AP193" s="929" t="str">
        <f t="shared" si="93"/>
        <v/>
      </c>
    </row>
    <row r="194" spans="2:42" ht="15" hidden="1" x14ac:dyDescent="0.25">
      <c r="B194" s="93"/>
      <c r="C194" s="100" t="s">
        <v>235</v>
      </c>
      <c r="D194" s="327"/>
      <c r="E194" s="264"/>
      <c r="F194" s="265"/>
      <c r="G194" s="266"/>
      <c r="H194" s="265"/>
      <c r="I194" s="101"/>
      <c r="J194" s="565"/>
      <c r="K194" s="1001"/>
      <c r="L194" s="937" t="s">
        <v>109</v>
      </c>
      <c r="M194" s="937"/>
      <c r="N194" s="937"/>
      <c r="O194" s="937">
        <v>1</v>
      </c>
      <c r="P194" s="934"/>
      <c r="Q194" s="937"/>
      <c r="AG194" s="641" t="str">
        <f t="shared" si="86"/>
        <v/>
      </c>
      <c r="AH194" s="641" t="str">
        <f t="shared" si="87"/>
        <v/>
      </c>
      <c r="AI194" s="641" t="str">
        <f t="shared" si="88"/>
        <v/>
      </c>
      <c r="AL194" s="641" t="str">
        <f t="shared" si="92"/>
        <v/>
      </c>
      <c r="AM194" s="936" t="str">
        <f t="shared" si="89"/>
        <v/>
      </c>
      <c r="AN194" s="641">
        <f t="shared" si="90"/>
        <v>0</v>
      </c>
      <c r="AO194" s="641" t="str">
        <f t="shared" si="91"/>
        <v/>
      </c>
      <c r="AP194" s="929" t="str">
        <f t="shared" si="93"/>
        <v/>
      </c>
    </row>
    <row r="195" spans="2:42" hidden="1" x14ac:dyDescent="0.2">
      <c r="B195" s="93"/>
      <c r="C195" s="329"/>
      <c r="D195" s="368" t="e">
        <f>VLOOKUP($F195,$F$505:$I$935,3,FALSE)</f>
        <v>#N/A</v>
      </c>
      <c r="E195" s="26" t="e">
        <f>VLOOKUP($F195,$F$505:$I$935,2,FALSE)</f>
        <v>#N/A</v>
      </c>
      <c r="F195" s="129" t="s">
        <v>232</v>
      </c>
      <c r="G195" s="65"/>
      <c r="H195" s="59" t="str">
        <f t="shared" ref="H195:H200" si="94">IF(ISERROR(IF(G195&gt;=1,VLOOKUP(F195,F$504:I$935,4,FALSE),"")),"",IF(G195&gt;=1,VLOOKUP(F195,F$504:I$935,4,FALSE),""))</f>
        <v/>
      </c>
      <c r="I195" s="73" t="str">
        <f>IF(ISERROR(H195*G195),"",H195*G195)</f>
        <v/>
      </c>
      <c r="J195" s="565"/>
      <c r="K195" s="1001"/>
      <c r="L195" s="937" t="s">
        <v>110</v>
      </c>
      <c r="M195" s="937"/>
      <c r="N195" s="937"/>
      <c r="O195" s="937">
        <v>1</v>
      </c>
      <c r="P195" s="934"/>
      <c r="Q195" s="937"/>
      <c r="AG195" s="641" t="e">
        <f t="shared" si="86"/>
        <v>#N/A</v>
      </c>
      <c r="AH195" s="641" t="e">
        <f t="shared" si="87"/>
        <v>#N/A</v>
      </c>
      <c r="AI195" s="641" t="str">
        <f t="shared" si="88"/>
        <v>LPA I/O BOX - CARTON</v>
      </c>
      <c r="AL195" s="641" t="str">
        <f t="shared" si="92"/>
        <v/>
      </c>
      <c r="AM195" s="936" t="str">
        <f t="shared" si="89"/>
        <v/>
      </c>
      <c r="AN195" s="641">
        <f t="shared" si="90"/>
        <v>0</v>
      </c>
      <c r="AO195" s="641" t="str">
        <f t="shared" si="91"/>
        <v/>
      </c>
      <c r="AP195" s="929" t="str">
        <f t="shared" si="93"/>
        <v/>
      </c>
    </row>
    <row r="196" spans="2:42" hidden="1" x14ac:dyDescent="0.2">
      <c r="B196" s="93"/>
      <c r="C196" s="329"/>
      <c r="D196" s="368" t="e">
        <f>VLOOKUP($F196,$F$505:$I$935,3,FALSE)</f>
        <v>#N/A</v>
      </c>
      <c r="E196" s="26" t="e">
        <f>VLOOKUP($F196,$F$505:$I$935,2,FALSE)</f>
        <v>#N/A</v>
      </c>
      <c r="F196" s="129" t="s">
        <v>234</v>
      </c>
      <c r="G196" s="65"/>
      <c r="H196" s="59" t="str">
        <f t="shared" si="94"/>
        <v/>
      </c>
      <c r="I196" s="73"/>
      <c r="J196" s="565"/>
      <c r="K196" s="1001"/>
      <c r="L196" s="937"/>
      <c r="M196" s="937"/>
      <c r="N196" s="937"/>
      <c r="O196" s="937"/>
      <c r="P196" s="934"/>
      <c r="Q196" s="937"/>
      <c r="AG196" s="641" t="e">
        <f t="shared" si="86"/>
        <v>#N/A</v>
      </c>
      <c r="AH196" s="641" t="e">
        <f t="shared" si="87"/>
        <v>#N/A</v>
      </c>
      <c r="AI196" s="641" t="str">
        <f t="shared" si="88"/>
        <v>CABLE LPA I/O INTERFACE 3.0M</v>
      </c>
      <c r="AL196" s="641" t="str">
        <f t="shared" si="92"/>
        <v/>
      </c>
      <c r="AM196" s="936" t="str">
        <f t="shared" si="89"/>
        <v/>
      </c>
      <c r="AN196" s="641">
        <f t="shared" si="90"/>
        <v>0</v>
      </c>
      <c r="AO196" s="641" t="str">
        <f t="shared" si="91"/>
        <v/>
      </c>
      <c r="AP196" s="929" t="str">
        <f t="shared" si="93"/>
        <v/>
      </c>
    </row>
    <row r="197" spans="2:42" hidden="1" x14ac:dyDescent="0.2">
      <c r="B197" s="93"/>
      <c r="C197" s="329"/>
      <c r="D197" s="368" t="e">
        <f>VLOOKUP($F197,$F$505:$I$935,3,FALSE)</f>
        <v>#N/A</v>
      </c>
      <c r="E197" s="26" t="e">
        <f>VLOOKUP($F197,$F$505:$I$935,2,FALSE)</f>
        <v>#N/A</v>
      </c>
      <c r="F197" s="129" t="s">
        <v>232</v>
      </c>
      <c r="G197" s="65"/>
      <c r="H197" s="59" t="str">
        <f t="shared" si="94"/>
        <v/>
      </c>
      <c r="I197" s="73" t="str">
        <f>IF(ISERROR(H197*G197),"",H197*G197)</f>
        <v/>
      </c>
      <c r="J197" s="565"/>
      <c r="K197" s="1001"/>
      <c r="L197" s="937"/>
      <c r="M197" s="937"/>
      <c r="N197" s="937"/>
      <c r="O197" s="937"/>
      <c r="P197" s="934"/>
      <c r="Q197" s="937"/>
      <c r="AG197" s="641" t="e">
        <f t="shared" si="86"/>
        <v>#N/A</v>
      </c>
      <c r="AH197" s="641" t="e">
        <f t="shared" si="87"/>
        <v>#N/A</v>
      </c>
      <c r="AI197" s="641" t="str">
        <f t="shared" si="88"/>
        <v>LPA I/O BOX - CARTON</v>
      </c>
      <c r="AL197" s="641" t="str">
        <f t="shared" si="92"/>
        <v/>
      </c>
      <c r="AM197" s="936" t="str">
        <f t="shared" si="89"/>
        <v/>
      </c>
      <c r="AN197" s="641">
        <f t="shared" si="90"/>
        <v>0</v>
      </c>
      <c r="AO197" s="641" t="str">
        <f t="shared" si="91"/>
        <v/>
      </c>
      <c r="AP197" s="929" t="str">
        <f t="shared" si="93"/>
        <v/>
      </c>
    </row>
    <row r="198" spans="2:42" hidden="1" x14ac:dyDescent="0.2">
      <c r="B198" s="93"/>
      <c r="C198" s="329"/>
      <c r="D198" s="368" t="e">
        <f>VLOOKUP($F198,$F$505:$I$935,3,FALSE)</f>
        <v>#N/A</v>
      </c>
      <c r="E198" s="26" t="e">
        <f>VLOOKUP($F198,$F$505:$I$935,2,FALSE)</f>
        <v>#N/A</v>
      </c>
      <c r="F198" s="129" t="s">
        <v>234</v>
      </c>
      <c r="G198" s="65"/>
      <c r="H198" s="59" t="str">
        <f t="shared" si="94"/>
        <v/>
      </c>
      <c r="I198" s="73" t="str">
        <f>IF(ISERROR(H198*G198),"",H198*G198)</f>
        <v/>
      </c>
      <c r="J198" s="565"/>
      <c r="K198" s="1001"/>
      <c r="L198" s="937" t="s">
        <v>522</v>
      </c>
      <c r="M198" s="937"/>
      <c r="N198" s="937"/>
      <c r="O198" s="937">
        <v>1</v>
      </c>
      <c r="P198" s="934"/>
      <c r="Q198" s="937"/>
      <c r="AG198" s="641" t="e">
        <f t="shared" si="86"/>
        <v>#N/A</v>
      </c>
      <c r="AH198" s="641" t="e">
        <f t="shared" si="87"/>
        <v>#N/A</v>
      </c>
      <c r="AI198" s="641" t="str">
        <f t="shared" si="88"/>
        <v>CABLE LPA I/O INTERFACE 3.0M</v>
      </c>
      <c r="AL198" s="641" t="str">
        <f t="shared" si="92"/>
        <v/>
      </c>
      <c r="AM198" s="936" t="str">
        <f t="shared" si="89"/>
        <v/>
      </c>
      <c r="AN198" s="641">
        <f t="shared" si="90"/>
        <v>0</v>
      </c>
      <c r="AO198" s="641" t="str">
        <f t="shared" si="91"/>
        <v/>
      </c>
      <c r="AP198" s="929" t="str">
        <f t="shared" si="93"/>
        <v/>
      </c>
    </row>
    <row r="199" spans="2:42" hidden="1" x14ac:dyDescent="0.2">
      <c r="B199" s="93"/>
      <c r="C199" s="329"/>
      <c r="D199" s="368"/>
      <c r="E199" s="26"/>
      <c r="F199" s="129"/>
      <c r="G199" s="65"/>
      <c r="H199" s="59" t="str">
        <f t="shared" si="94"/>
        <v/>
      </c>
      <c r="I199" s="73"/>
      <c r="J199" s="565"/>
      <c r="K199" s="1001"/>
      <c r="L199" s="937"/>
      <c r="M199" s="937"/>
      <c r="N199" s="937"/>
      <c r="O199" s="937"/>
      <c r="P199" s="934"/>
      <c r="Q199" s="937"/>
      <c r="AG199" s="641" t="str">
        <f t="shared" si="86"/>
        <v/>
      </c>
      <c r="AH199" s="641" t="str">
        <f t="shared" si="87"/>
        <v/>
      </c>
      <c r="AI199" s="641" t="str">
        <f t="shared" si="88"/>
        <v/>
      </c>
      <c r="AL199" s="641" t="str">
        <f t="shared" si="92"/>
        <v/>
      </c>
      <c r="AM199" s="936" t="str">
        <f t="shared" si="89"/>
        <v/>
      </c>
      <c r="AN199" s="641">
        <f t="shared" si="90"/>
        <v>0</v>
      </c>
      <c r="AO199" s="641" t="str">
        <f t="shared" si="91"/>
        <v/>
      </c>
      <c r="AP199" s="929" t="str">
        <f t="shared" si="93"/>
        <v/>
      </c>
    </row>
    <row r="200" spans="2:42" hidden="1" x14ac:dyDescent="0.2">
      <c r="B200" s="93"/>
      <c r="C200" s="329"/>
      <c r="D200" s="368"/>
      <c r="E200" s="26"/>
      <c r="F200" s="129"/>
      <c r="G200" s="65"/>
      <c r="H200" s="59" t="str">
        <f t="shared" si="94"/>
        <v/>
      </c>
      <c r="I200" s="73"/>
      <c r="J200" s="565"/>
      <c r="K200" s="1001"/>
      <c r="L200" s="937"/>
      <c r="M200" s="937"/>
      <c r="N200" s="937"/>
      <c r="O200" s="937"/>
      <c r="P200" s="934"/>
      <c r="Q200" s="937"/>
      <c r="AG200" s="641" t="str">
        <f t="shared" si="86"/>
        <v/>
      </c>
      <c r="AH200" s="641" t="str">
        <f t="shared" si="87"/>
        <v/>
      </c>
      <c r="AI200" s="641" t="str">
        <f t="shared" si="88"/>
        <v/>
      </c>
      <c r="AL200" s="641" t="str">
        <f t="shared" si="92"/>
        <v/>
      </c>
      <c r="AM200" s="936" t="str">
        <f t="shared" si="89"/>
        <v/>
      </c>
      <c r="AN200" s="641">
        <f t="shared" si="90"/>
        <v>0</v>
      </c>
      <c r="AO200" s="641" t="str">
        <f t="shared" si="91"/>
        <v/>
      </c>
      <c r="AP200" s="929" t="str">
        <f t="shared" si="93"/>
        <v/>
      </c>
    </row>
    <row r="201" spans="2:42" ht="15" hidden="1" x14ac:dyDescent="0.25">
      <c r="B201" s="93"/>
      <c r="C201" s="267"/>
      <c r="D201" s="268"/>
      <c r="E201" s="268"/>
      <c r="F201" s="269"/>
      <c r="G201" s="270"/>
      <c r="H201" s="269"/>
      <c r="I201" s="271"/>
      <c r="J201" s="565"/>
      <c r="K201" s="1001"/>
      <c r="L201" s="937"/>
      <c r="M201" s="937"/>
      <c r="N201" s="937"/>
      <c r="O201" s="937"/>
      <c r="P201" s="934"/>
      <c r="Q201" s="937"/>
      <c r="AG201" s="641" t="str">
        <f t="shared" si="86"/>
        <v/>
      </c>
      <c r="AH201" s="641" t="str">
        <f t="shared" si="87"/>
        <v/>
      </c>
      <c r="AI201" s="641" t="str">
        <f t="shared" si="88"/>
        <v/>
      </c>
      <c r="AL201" s="641" t="str">
        <f t="shared" si="92"/>
        <v/>
      </c>
      <c r="AM201" s="936" t="str">
        <f t="shared" si="89"/>
        <v/>
      </c>
      <c r="AN201" s="641">
        <f t="shared" si="90"/>
        <v>0</v>
      </c>
      <c r="AO201" s="641" t="str">
        <f t="shared" si="91"/>
        <v/>
      </c>
      <c r="AP201" s="929" t="str">
        <f t="shared" si="93"/>
        <v/>
      </c>
    </row>
    <row r="202" spans="2:42" ht="15" hidden="1" x14ac:dyDescent="0.25">
      <c r="B202" s="93"/>
      <c r="C202" s="100" t="s">
        <v>236</v>
      </c>
      <c r="D202" s="327"/>
      <c r="E202" s="264"/>
      <c r="F202" s="265"/>
      <c r="G202" s="266"/>
      <c r="H202" s="265"/>
      <c r="I202" s="101"/>
      <c r="J202" s="565"/>
      <c r="K202" s="1001"/>
      <c r="L202" s="937"/>
      <c r="M202" s="937"/>
      <c r="N202" s="937"/>
      <c r="O202" s="937"/>
      <c r="P202" s="934"/>
      <c r="Q202" s="937"/>
      <c r="AG202" s="641" t="str">
        <f t="shared" si="86"/>
        <v/>
      </c>
      <c r="AH202" s="641" t="str">
        <f t="shared" si="87"/>
        <v/>
      </c>
      <c r="AI202" s="641" t="str">
        <f t="shared" si="88"/>
        <v/>
      </c>
      <c r="AL202" s="641" t="str">
        <f t="shared" si="92"/>
        <v/>
      </c>
      <c r="AM202" s="936" t="str">
        <f t="shared" si="89"/>
        <v/>
      </c>
      <c r="AN202" s="641">
        <f t="shared" si="90"/>
        <v>0</v>
      </c>
      <c r="AO202" s="641" t="str">
        <f t="shared" si="91"/>
        <v/>
      </c>
      <c r="AP202" s="929" t="str">
        <f t="shared" si="93"/>
        <v/>
      </c>
    </row>
    <row r="203" spans="2:42" hidden="1" x14ac:dyDescent="0.2">
      <c r="B203" s="93"/>
      <c r="C203" s="329"/>
      <c r="D203" s="368" t="e">
        <f>VLOOKUP($F203,$F$505:$I$935,3,FALSE)</f>
        <v>#N/A</v>
      </c>
      <c r="E203" s="26" t="e">
        <f>VLOOKUP($F203,$F$505:$I$935,2,FALSE)</f>
        <v>#N/A</v>
      </c>
      <c r="F203" s="129" t="s">
        <v>233</v>
      </c>
      <c r="G203" s="65"/>
      <c r="H203" s="59" t="str">
        <f>IF(ISERROR(IF(G203&gt;=1,VLOOKUP(F203,F$504:I$935,4,FALSE),"")),"",IF(G203&gt;=1,VLOOKUP(F203,F$504:I$935,4,FALSE),""))</f>
        <v/>
      </c>
      <c r="I203" s="73" t="str">
        <f>IF(ISERROR(H203*G203),"",H203*G203)</f>
        <v/>
      </c>
      <c r="J203" s="565"/>
      <c r="K203" s="1001"/>
      <c r="L203" s="937"/>
      <c r="M203" s="937"/>
      <c r="N203" s="937"/>
      <c r="O203" s="937"/>
      <c r="P203" s="934"/>
      <c r="Q203" s="937"/>
      <c r="AG203" s="641" t="e">
        <f t="shared" si="86"/>
        <v>#N/A</v>
      </c>
      <c r="AH203" s="641" t="e">
        <f t="shared" si="87"/>
        <v>#N/A</v>
      </c>
      <c r="AI203" s="641" t="str">
        <f t="shared" si="88"/>
        <v>LPA I/O BOX WITHOUT ETHERNET</v>
      </c>
      <c r="AL203" s="641" t="str">
        <f t="shared" si="92"/>
        <v/>
      </c>
      <c r="AM203" s="936" t="str">
        <f t="shared" si="89"/>
        <v/>
      </c>
      <c r="AN203" s="641">
        <f t="shared" si="90"/>
        <v>0</v>
      </c>
      <c r="AO203" s="641" t="str">
        <f t="shared" si="91"/>
        <v/>
      </c>
      <c r="AP203" s="929" t="str">
        <f t="shared" si="93"/>
        <v/>
      </c>
    </row>
    <row r="204" spans="2:42" hidden="1" x14ac:dyDescent="0.2">
      <c r="B204" s="93"/>
      <c r="C204" s="329"/>
      <c r="D204" s="368" t="e">
        <f>VLOOKUP($F204,$F$505:$I$935,3,FALSE)</f>
        <v>#N/A</v>
      </c>
      <c r="E204" s="26" t="e">
        <f>VLOOKUP($F204,$F$505:$I$935,2,FALSE)</f>
        <v>#N/A</v>
      </c>
      <c r="F204" s="129" t="s">
        <v>234</v>
      </c>
      <c r="G204" s="65"/>
      <c r="H204" s="59" t="str">
        <f>IF(ISERROR(IF(G204&gt;=1,VLOOKUP(F204,F$504:I$935,4,FALSE),"")),"",IF(G204&gt;=1,VLOOKUP(F204,F$504:I$935,4,FALSE),""))</f>
        <v/>
      </c>
      <c r="I204" s="130" t="str">
        <f>IF(ISERROR(H204*G204),"",H204*G204)</f>
        <v/>
      </c>
      <c r="J204" s="565"/>
      <c r="K204" s="1001"/>
      <c r="L204" s="937"/>
      <c r="M204" s="937"/>
      <c r="N204" s="937"/>
      <c r="O204" s="937"/>
      <c r="P204" s="934"/>
      <c r="Q204" s="937"/>
      <c r="AG204" s="641" t="e">
        <f t="shared" si="86"/>
        <v>#N/A</v>
      </c>
      <c r="AH204" s="641" t="e">
        <f t="shared" si="87"/>
        <v>#N/A</v>
      </c>
      <c r="AI204" s="641" t="str">
        <f t="shared" si="88"/>
        <v>CABLE LPA I/O INTERFACE 3.0M</v>
      </c>
      <c r="AL204" s="641" t="str">
        <f t="shared" si="92"/>
        <v/>
      </c>
      <c r="AM204" s="936" t="str">
        <f t="shared" si="89"/>
        <v/>
      </c>
      <c r="AN204" s="641">
        <f t="shared" si="90"/>
        <v>0</v>
      </c>
      <c r="AO204" s="641" t="str">
        <f t="shared" si="91"/>
        <v/>
      </c>
      <c r="AP204" s="929" t="str">
        <f t="shared" si="93"/>
        <v/>
      </c>
    </row>
    <row r="205" spans="2:42" hidden="1" x14ac:dyDescent="0.2">
      <c r="B205" s="93"/>
      <c r="C205" s="329"/>
      <c r="D205" s="368" t="e">
        <f>VLOOKUP($F205,$F$505:$I$935,3,FALSE)</f>
        <v>#N/A</v>
      </c>
      <c r="E205" s="26" t="e">
        <f>VLOOKUP($F205,$F$505:$I$935,2,FALSE)</f>
        <v>#N/A</v>
      </c>
      <c r="F205" s="129" t="s">
        <v>233</v>
      </c>
      <c r="G205" s="65"/>
      <c r="H205" s="59" t="str">
        <f>IF(ISERROR(IF(G205&gt;=1,VLOOKUP(F205,F$504:I$935,4,FALSE),"")),"",IF(G205&gt;=1,VLOOKUP(F205,F$504:I$935,4,FALSE),""))</f>
        <v/>
      </c>
      <c r="I205" s="130" t="str">
        <f>IF(ISERROR(H205*G205),"",H205*G205)</f>
        <v/>
      </c>
      <c r="J205" s="565"/>
      <c r="K205" s="1001"/>
      <c r="L205" s="937"/>
      <c r="M205" s="937"/>
      <c r="N205" s="937"/>
      <c r="O205" s="937"/>
      <c r="P205" s="934"/>
      <c r="Q205" s="937"/>
      <c r="AG205" s="641" t="e">
        <f t="shared" si="86"/>
        <v>#N/A</v>
      </c>
      <c r="AH205" s="641" t="e">
        <f t="shared" si="87"/>
        <v>#N/A</v>
      </c>
      <c r="AI205" s="641" t="str">
        <f t="shared" si="88"/>
        <v>LPA I/O BOX WITHOUT ETHERNET</v>
      </c>
      <c r="AL205" s="641" t="str">
        <f t="shared" si="92"/>
        <v/>
      </c>
      <c r="AM205" s="936" t="str">
        <f t="shared" si="89"/>
        <v/>
      </c>
      <c r="AN205" s="641">
        <f t="shared" si="90"/>
        <v>0</v>
      </c>
      <c r="AO205" s="641" t="str">
        <f t="shared" si="91"/>
        <v/>
      </c>
      <c r="AP205" s="929" t="str">
        <f t="shared" si="93"/>
        <v/>
      </c>
    </row>
    <row r="206" spans="2:42" ht="13.5" hidden="1" customHeight="1" x14ac:dyDescent="0.2">
      <c r="B206" s="93"/>
      <c r="C206" s="329"/>
      <c r="D206" s="368" t="e">
        <f>VLOOKUP($F206,$F$505:$I$935,3,FALSE)</f>
        <v>#N/A</v>
      </c>
      <c r="E206" s="26" t="e">
        <f>VLOOKUP($F206,$F$505:$I$935,2,FALSE)</f>
        <v>#N/A</v>
      </c>
      <c r="F206" s="397" t="s">
        <v>234</v>
      </c>
      <c r="G206" s="65"/>
      <c r="H206" s="253" t="str">
        <f>IF(ISERROR(IF(G206&gt;=1,VLOOKUP(F206,F$504:I$935,4,FALSE),"")),"",IF(G206&gt;=1,VLOOKUP(F206,F$504:I$935,4,FALSE),""))</f>
        <v/>
      </c>
      <c r="I206" s="398" t="str">
        <f>IF(ISERROR(H206*G206),"",H206*G206)</f>
        <v/>
      </c>
      <c r="J206" s="565"/>
      <c r="K206" s="1001"/>
      <c r="L206" s="937"/>
      <c r="M206" s="937"/>
      <c r="N206" s="937"/>
      <c r="O206" s="937"/>
      <c r="P206" s="934"/>
      <c r="Q206" s="937"/>
      <c r="AG206" s="641" t="e">
        <f t="shared" si="86"/>
        <v>#N/A</v>
      </c>
      <c r="AH206" s="641" t="e">
        <f t="shared" si="87"/>
        <v>#N/A</v>
      </c>
      <c r="AI206" s="641" t="str">
        <f t="shared" si="88"/>
        <v>CABLE LPA I/O INTERFACE 3.0M</v>
      </c>
      <c r="AL206" s="641" t="str">
        <f t="shared" si="92"/>
        <v/>
      </c>
      <c r="AM206" s="936" t="str">
        <f t="shared" si="89"/>
        <v/>
      </c>
      <c r="AN206" s="641">
        <f t="shared" si="90"/>
        <v>0</v>
      </c>
      <c r="AO206" s="641" t="str">
        <f t="shared" si="91"/>
        <v/>
      </c>
      <c r="AP206" s="929" t="str">
        <f t="shared" si="93"/>
        <v/>
      </c>
    </row>
    <row r="207" spans="2:42" hidden="1" x14ac:dyDescent="0.2">
      <c r="B207" s="93"/>
      <c r="C207" s="399"/>
      <c r="D207" s="400"/>
      <c r="E207" s="401"/>
      <c r="F207" s="402"/>
      <c r="G207" s="403"/>
      <c r="H207" s="404" t="str">
        <f>IF(ISERROR(IF(G207&gt;=1,VLOOKUP(F207,F$504:I$935,4,FALSE),"")),"",IF(G207&gt;=1,VLOOKUP(F207,F$504:I$935,4,FALSE),""))</f>
        <v/>
      </c>
      <c r="I207" s="405" t="str">
        <f>IF(ISERROR(H207*G207),"",H207*G207)</f>
        <v/>
      </c>
      <c r="J207" s="565"/>
      <c r="K207" s="1001"/>
      <c r="L207" s="937" t="s">
        <v>520</v>
      </c>
      <c r="M207" s="937"/>
      <c r="N207" s="937"/>
      <c r="O207" s="937">
        <v>1</v>
      </c>
      <c r="P207" s="934"/>
      <c r="Q207" s="937" t="s">
        <v>517</v>
      </c>
      <c r="AG207" s="641" t="str">
        <f t="shared" si="86"/>
        <v/>
      </c>
      <c r="AH207" s="641" t="str">
        <f t="shared" si="87"/>
        <v/>
      </c>
      <c r="AI207" s="641" t="str">
        <f t="shared" si="88"/>
        <v/>
      </c>
      <c r="AL207" s="641" t="str">
        <f t="shared" si="92"/>
        <v/>
      </c>
      <c r="AM207" s="936" t="str">
        <f t="shared" si="89"/>
        <v/>
      </c>
      <c r="AN207" s="641">
        <f t="shared" si="90"/>
        <v>0</v>
      </c>
      <c r="AO207" s="641" t="str">
        <f t="shared" si="91"/>
        <v/>
      </c>
      <c r="AP207" s="929" t="str">
        <f t="shared" si="93"/>
        <v/>
      </c>
    </row>
    <row r="208" spans="2:42" ht="15" hidden="1" x14ac:dyDescent="0.25">
      <c r="B208" s="93"/>
      <c r="C208" s="100" t="s">
        <v>312</v>
      </c>
      <c r="D208" s="100"/>
      <c r="E208" s="299"/>
      <c r="F208" s="300"/>
      <c r="G208" s="228"/>
      <c r="H208" s="301"/>
      <c r="I208" s="302"/>
      <c r="J208" s="565"/>
      <c r="K208" s="1001"/>
      <c r="L208" s="937" t="s">
        <v>521</v>
      </c>
      <c r="M208" s="937"/>
      <c r="N208" s="937"/>
      <c r="O208" s="937">
        <v>1</v>
      </c>
      <c r="P208" s="934"/>
      <c r="Q208" s="641" t="str">
        <f>Q207&amp;Q192</f>
        <v>Proximity Sensor WTB8-P2131  1 x CONNECTING T CLAMP</v>
      </c>
      <c r="AG208" s="641" t="str">
        <f t="shared" si="86"/>
        <v/>
      </c>
      <c r="AH208" s="641" t="str">
        <f t="shared" si="87"/>
        <v/>
      </c>
      <c r="AI208" s="641" t="str">
        <f t="shared" si="88"/>
        <v/>
      </c>
      <c r="AL208" s="641" t="str">
        <f t="shared" si="92"/>
        <v/>
      </c>
      <c r="AM208" s="936" t="str">
        <f t="shared" si="89"/>
        <v/>
      </c>
      <c r="AN208" s="641">
        <f t="shared" si="90"/>
        <v>0</v>
      </c>
      <c r="AO208" s="641" t="str">
        <f t="shared" si="91"/>
        <v/>
      </c>
      <c r="AP208" s="929" t="str">
        <f t="shared" si="93"/>
        <v/>
      </c>
    </row>
    <row r="209" spans="2:42" ht="51" hidden="1" x14ac:dyDescent="0.2">
      <c r="B209" s="93"/>
      <c r="C209" s="1063"/>
      <c r="D209" s="366" t="str">
        <f>VLOOKUP($F209,$F$505:$I$935,3,FALSE)</f>
        <v>SW100002</v>
      </c>
      <c r="E209" s="9">
        <f>VLOOKUP($F209,$F$505:$I$935,2,FALSE)</f>
        <v>23020056</v>
      </c>
      <c r="F209" s="298" t="s">
        <v>317</v>
      </c>
      <c r="G209" s="320"/>
      <c r="H209" s="396" t="str">
        <f>IF(G209&gt;=0.1,VLOOKUP(F209,F$504:I$935,4,FALSE),"")</f>
        <v/>
      </c>
      <c r="I209" s="73" t="str">
        <f t="shared" ref="I209:I214" si="95">IF(ISERROR(H209*G209),"",H209*G209)</f>
        <v/>
      </c>
      <c r="J209" s="565"/>
      <c r="K209" s="1001"/>
      <c r="L209" s="937"/>
      <c r="M209" s="937"/>
      <c r="N209" s="937"/>
      <c r="O209" s="937"/>
      <c r="P209" s="934"/>
      <c r="Q209" s="937"/>
      <c r="AG209" s="641" t="str">
        <f t="shared" si="86"/>
        <v>SW100002</v>
      </c>
      <c r="AH209" s="641">
        <f t="shared" si="87"/>
        <v>23020056</v>
      </c>
      <c r="AI209" s="641" t="str">
        <f t="shared" si="88"/>
        <v>Handling of scanner for control scanning of printed barcode or for scan and select PLU. 
Add Hand Scanner</v>
      </c>
      <c r="AL209" s="641" t="str">
        <f t="shared" si="92"/>
        <v/>
      </c>
      <c r="AM209" s="936" t="str">
        <f t="shared" si="89"/>
        <v/>
      </c>
      <c r="AN209" s="641">
        <f t="shared" si="90"/>
        <v>0</v>
      </c>
      <c r="AO209" s="641" t="str">
        <f t="shared" si="91"/>
        <v/>
      </c>
      <c r="AP209" s="929" t="str">
        <f t="shared" si="93"/>
        <v/>
      </c>
    </row>
    <row r="210" spans="2:42" ht="51" hidden="1" x14ac:dyDescent="0.2">
      <c r="B210" s="93"/>
      <c r="C210" s="1064"/>
      <c r="D210" s="366" t="str">
        <f>VLOOKUP($F210,$F$505:$I$935,3,FALSE)</f>
        <v>SW100003</v>
      </c>
      <c r="E210" s="9">
        <f>VLOOKUP($F210,$F$505:$I$935,2,FALSE)</f>
        <v>23020057</v>
      </c>
      <c r="F210" s="298" t="s">
        <v>313</v>
      </c>
      <c r="G210" s="320"/>
      <c r="H210" s="396" t="str">
        <f>IF(G210&gt;=0.1,VLOOKUP(F210,F$504:I$935,4,FALSE),"")</f>
        <v/>
      </c>
      <c r="I210" s="73" t="str">
        <f t="shared" si="95"/>
        <v/>
      </c>
      <c r="J210" s="565"/>
      <c r="K210" s="1001"/>
      <c r="L210" s="937"/>
      <c r="M210" s="937"/>
      <c r="N210" s="937"/>
      <c r="O210" s="937"/>
      <c r="P210" s="934"/>
      <c r="Q210" s="937"/>
      <c r="AG210" s="641" t="str">
        <f t="shared" si="86"/>
        <v>SW100003</v>
      </c>
      <c r="AH210" s="641">
        <f t="shared" si="87"/>
        <v>23020057</v>
      </c>
      <c r="AI210" s="641" t="str">
        <f t="shared" si="88"/>
        <v xml:space="preserve">For configuration of maintenance program where the operator gets prompted to for example clean the print head or roller at selected times or intervals. 
</v>
      </c>
      <c r="AL210" s="641" t="str">
        <f t="shared" si="92"/>
        <v/>
      </c>
      <c r="AM210" s="936" t="str">
        <f t="shared" si="89"/>
        <v/>
      </c>
      <c r="AN210" s="641">
        <f t="shared" si="90"/>
        <v>0</v>
      </c>
      <c r="AO210" s="641" t="str">
        <f t="shared" si="91"/>
        <v/>
      </c>
      <c r="AP210" s="929" t="str">
        <f t="shared" si="93"/>
        <v/>
      </c>
    </row>
    <row r="211" spans="2:42" ht="51" hidden="1" x14ac:dyDescent="0.2">
      <c r="B211" s="93"/>
      <c r="C211" s="1064"/>
      <c r="D211" s="366" t="str">
        <f>VLOOKUP($F211,$F$505:$I$935,3,FALSE)</f>
        <v>SW100006</v>
      </c>
      <c r="E211" s="9">
        <f>VLOOKUP($F211,$F$505:$I$935,2,FALSE)</f>
        <v>23020058</v>
      </c>
      <c r="F211" s="298" t="s">
        <v>314</v>
      </c>
      <c r="G211" s="320"/>
      <c r="H211" s="396" t="str">
        <f>IF(G211&gt;=0.1,VLOOKUP(F211,F$504:I$935,4,FALSE),"")</f>
        <v/>
      </c>
      <c r="I211" s="73" t="str">
        <f t="shared" si="95"/>
        <v/>
      </c>
      <c r="J211" s="565"/>
      <c r="K211" s="1001"/>
      <c r="L211" s="937" t="s">
        <v>111</v>
      </c>
      <c r="M211" s="937"/>
      <c r="N211" s="937"/>
      <c r="O211" s="937">
        <v>1</v>
      </c>
      <c r="P211" s="934"/>
      <c r="Q211" s="937"/>
      <c r="AG211" s="641" t="str">
        <f t="shared" si="86"/>
        <v>SW100006</v>
      </c>
      <c r="AH211" s="641">
        <f t="shared" si="87"/>
        <v>23020058</v>
      </c>
      <c r="AI211" s="641" t="str">
        <f t="shared" si="88"/>
        <v xml:space="preserve">Presents a graphical view in the form of a bar chart, the number of applied labels per minute for the last 24 hours. Each bar corresponds to 15 minutes
</v>
      </c>
      <c r="AL211" s="641" t="str">
        <f t="shared" si="92"/>
        <v/>
      </c>
      <c r="AM211" s="936" t="str">
        <f t="shared" si="89"/>
        <v/>
      </c>
      <c r="AN211" s="641">
        <f t="shared" si="90"/>
        <v>0</v>
      </c>
      <c r="AO211" s="641" t="str">
        <f t="shared" si="91"/>
        <v/>
      </c>
      <c r="AP211" s="929" t="str">
        <f t="shared" si="93"/>
        <v/>
      </c>
    </row>
    <row r="212" spans="2:42" ht="63.75" hidden="1" x14ac:dyDescent="0.2">
      <c r="B212" s="93"/>
      <c r="C212" s="1064"/>
      <c r="D212" s="366" t="str">
        <f>VLOOKUP($F212,$F$505:$I$935,3,FALSE)</f>
        <v>SW100005</v>
      </c>
      <c r="E212" s="9">
        <f>VLOOKUP($F212,$F$505:$I$935,2,FALSE)</f>
        <v>23020059</v>
      </c>
      <c r="F212" s="298" t="s">
        <v>315</v>
      </c>
      <c r="G212" s="320"/>
      <c r="H212" s="396" t="str">
        <f>IF(G212&gt;=0.1,VLOOKUP(F212,F$504:I$935,4,FALSE),"")</f>
        <v/>
      </c>
      <c r="I212" s="73" t="str">
        <f t="shared" si="95"/>
        <v/>
      </c>
      <c r="J212" s="565"/>
      <c r="L212" s="642"/>
      <c r="M212" s="642"/>
      <c r="N212" s="642"/>
      <c r="Q212" s="642"/>
      <c r="AG212" s="641" t="str">
        <f t="shared" si="86"/>
        <v>SW100005</v>
      </c>
      <c r="AH212" s="641">
        <f t="shared" si="87"/>
        <v>23020059</v>
      </c>
      <c r="AI212" s="641" t="str">
        <f t="shared" si="88"/>
        <v xml:space="preserve">Print capacity (peak) up to 120 labels/min (standard is up to 60 labels/min) 
This app is available for D43 model only.  
</v>
      </c>
      <c r="AL212" s="641" t="str">
        <f t="shared" si="92"/>
        <v/>
      </c>
      <c r="AM212" s="936" t="str">
        <f t="shared" si="89"/>
        <v/>
      </c>
      <c r="AN212" s="641">
        <f t="shared" si="90"/>
        <v>0</v>
      </c>
      <c r="AO212" s="641" t="str">
        <f t="shared" si="91"/>
        <v/>
      </c>
      <c r="AP212" s="929" t="str">
        <f t="shared" si="93"/>
        <v/>
      </c>
    </row>
    <row r="213" spans="2:42" ht="38.25" hidden="1" x14ac:dyDescent="0.2">
      <c r="B213" s="93"/>
      <c r="C213" s="1065"/>
      <c r="D213" s="366" t="str">
        <f>VLOOKUP($F213,$F$505:$I$935,3,FALSE)</f>
        <v>SW100004</v>
      </c>
      <c r="E213" s="9">
        <f>VLOOKUP($F213,$F$505:$I$935,2,FALSE)</f>
        <v>23020060</v>
      </c>
      <c r="F213" s="298" t="s">
        <v>316</v>
      </c>
      <c r="G213" s="320"/>
      <c r="H213" s="396" t="str">
        <f>IF(G213&gt;=0.1,VLOOKUP(F213,F$504:I$935,4,FALSE),"")</f>
        <v/>
      </c>
      <c r="I213" s="73" t="str">
        <f t="shared" si="95"/>
        <v/>
      </c>
      <c r="J213" s="565"/>
      <c r="AG213" s="641" t="str">
        <f t="shared" si="86"/>
        <v>SW100004</v>
      </c>
      <c r="AH213" s="641">
        <f t="shared" si="87"/>
        <v>23020060</v>
      </c>
      <c r="AI213" s="641" t="str">
        <f t="shared" si="88"/>
        <v xml:space="preserve">Makes it possible to show an external PC screen on the Autolabel touch screen.
</v>
      </c>
      <c r="AL213" s="641" t="str">
        <f t="shared" si="92"/>
        <v/>
      </c>
      <c r="AM213" s="936" t="str">
        <f t="shared" si="89"/>
        <v/>
      </c>
      <c r="AN213" s="641">
        <f t="shared" si="90"/>
        <v>0</v>
      </c>
      <c r="AO213" s="641" t="str">
        <f t="shared" si="91"/>
        <v/>
      </c>
      <c r="AP213" s="929" t="str">
        <f t="shared" si="93"/>
        <v/>
      </c>
    </row>
    <row r="214" spans="2:42" hidden="1" x14ac:dyDescent="0.2">
      <c r="B214" s="93"/>
      <c r="C214" s="296"/>
      <c r="D214" s="370"/>
      <c r="E214" s="128"/>
      <c r="F214" s="129"/>
      <c r="G214" s="65"/>
      <c r="H214" s="59" t="str">
        <f>IF(ISERROR(IF(G214&gt;=1,VLOOKUP(F214,F$504:I$935,4,FALSE),"")),"",IF(G214&gt;=1,VLOOKUP(F214,F$504:I$935,4,FALSE),""))</f>
        <v/>
      </c>
      <c r="I214" s="130" t="str">
        <f t="shared" si="95"/>
        <v/>
      </c>
      <c r="J214" s="565"/>
      <c r="L214" s="641" t="str">
        <f>PROPER(F214)</f>
        <v/>
      </c>
      <c r="AG214" s="641" t="str">
        <f t="shared" si="86"/>
        <v/>
      </c>
      <c r="AH214" s="641" t="str">
        <f t="shared" si="87"/>
        <v/>
      </c>
      <c r="AI214" s="641" t="str">
        <f t="shared" si="88"/>
        <v/>
      </c>
      <c r="AL214" s="641" t="str">
        <f t="shared" si="92"/>
        <v/>
      </c>
      <c r="AM214" s="936" t="str">
        <f t="shared" si="89"/>
        <v/>
      </c>
      <c r="AN214" s="641">
        <f t="shared" si="90"/>
        <v>0</v>
      </c>
      <c r="AO214" s="641" t="str">
        <f t="shared" si="91"/>
        <v/>
      </c>
      <c r="AP214" s="929" t="str">
        <f t="shared" si="93"/>
        <v/>
      </c>
    </row>
    <row r="215" spans="2:42" x14ac:dyDescent="0.2">
      <c r="B215" s="93"/>
      <c r="C215" s="480"/>
      <c r="D215" s="432"/>
      <c r="E215" s="433"/>
      <c r="F215" s="434"/>
      <c r="G215" s="439"/>
      <c r="H215" s="435"/>
      <c r="I215" s="249"/>
      <c r="J215" s="565"/>
      <c r="AG215" s="641" t="str">
        <f t="shared" si="86"/>
        <v/>
      </c>
      <c r="AH215" s="641" t="str">
        <f t="shared" si="87"/>
        <v/>
      </c>
      <c r="AI215" s="641" t="str">
        <f t="shared" si="88"/>
        <v/>
      </c>
      <c r="AL215" s="641" t="str">
        <f t="shared" si="92"/>
        <v/>
      </c>
      <c r="AM215" s="936" t="str">
        <f t="shared" si="89"/>
        <v/>
      </c>
      <c r="AN215" s="641">
        <f t="shared" si="90"/>
        <v>0</v>
      </c>
      <c r="AO215" s="641" t="str">
        <f t="shared" si="91"/>
        <v/>
      </c>
      <c r="AP215" s="929" t="str">
        <f t="shared" si="93"/>
        <v/>
      </c>
    </row>
    <row r="216" spans="2:42" ht="15" x14ac:dyDescent="0.2">
      <c r="B216" s="93"/>
      <c r="C216" s="243" t="s">
        <v>801</v>
      </c>
      <c r="D216" s="436"/>
      <c r="E216" s="11"/>
      <c r="F216" s="92"/>
      <c r="G216" s="874"/>
      <c r="H216" s="875"/>
      <c r="I216" s="438"/>
      <c r="J216" s="565"/>
      <c r="AG216" s="641" t="str">
        <f t="shared" si="86"/>
        <v/>
      </c>
      <c r="AH216" s="641" t="str">
        <f t="shared" si="87"/>
        <v/>
      </c>
      <c r="AI216" s="641" t="str">
        <f t="shared" si="88"/>
        <v/>
      </c>
      <c r="AL216" s="641" t="str">
        <f t="shared" si="92"/>
        <v/>
      </c>
      <c r="AM216" s="936" t="str">
        <f t="shared" si="89"/>
        <v/>
      </c>
      <c r="AN216" s="641">
        <f t="shared" si="90"/>
        <v>0</v>
      </c>
      <c r="AO216" s="641" t="str">
        <f t="shared" si="91"/>
        <v/>
      </c>
      <c r="AP216" s="929" t="str">
        <f t="shared" si="93"/>
        <v/>
      </c>
    </row>
    <row r="217" spans="2:42" ht="27" customHeight="1" x14ac:dyDescent="0.2">
      <c r="B217" s="93"/>
      <c r="C217" s="768"/>
      <c r="D217" s="366" t="str">
        <f t="shared" ref="D217:D228" si="96">VLOOKUP($F217,$F$505:$I$935,3,FALSE)</f>
        <v>41057665, 41039350</v>
      </c>
      <c r="E217" s="313" t="str">
        <f t="shared" ref="E217:E228" si="97">VLOOKUP($F217,$F$505:$I$935,2,FALSE)</f>
        <v>14010025, 14020062</v>
      </c>
      <c r="F217" s="542" t="s">
        <v>592</v>
      </c>
      <c r="G217" s="320"/>
      <c r="H217" s="396" t="str">
        <f t="shared" ref="H217:H229" si="98">IF(G217&gt;=0.1,VLOOKUP(F217,F$504:I$935,4,FALSE),"")</f>
        <v/>
      </c>
      <c r="I217" s="73" t="str">
        <f t="shared" ref="I217:I224" si="99">IF(ISERROR(H217*G217),"",H217*G217)</f>
        <v/>
      </c>
      <c r="J217" s="565"/>
      <c r="AG217" s="641" t="str">
        <f t="shared" si="86"/>
        <v>41057665, 41039350</v>
      </c>
      <c r="AH217" s="641" t="str">
        <f t="shared" si="87"/>
        <v>14010025, 14020062</v>
      </c>
      <c r="AI217" s="641" t="str">
        <f t="shared" si="88"/>
        <v>7D ViaExtend Enclosed (5 ports)</v>
      </c>
      <c r="AJ217" s="641" t="s">
        <v>861</v>
      </c>
      <c r="AK217" s="931" t="str">
        <f t="shared" ref="AK217:AK223" si="100">VLOOKUP(E217,$G$505:$N$891,8,FALSE)</f>
        <v>IMP01</v>
      </c>
      <c r="AL217" s="641" t="str">
        <f t="shared" si="92"/>
        <v/>
      </c>
      <c r="AM217" s="936" t="str">
        <f t="shared" si="89"/>
        <v/>
      </c>
      <c r="AN217" s="641">
        <f t="shared" si="90"/>
        <v>0</v>
      </c>
      <c r="AO217" s="641" t="str">
        <f t="shared" si="91"/>
        <v/>
      </c>
      <c r="AP217" s="929" t="str">
        <f t="shared" si="93"/>
        <v>IMP01</v>
      </c>
    </row>
    <row r="218" spans="2:42" ht="27.75" customHeight="1" x14ac:dyDescent="0.2">
      <c r="B218" s="93"/>
      <c r="C218" s="769"/>
      <c r="D218" s="366" t="str">
        <f t="shared" si="96"/>
        <v>41057665, 41039350</v>
      </c>
      <c r="E218" s="313" t="str">
        <f t="shared" si="97"/>
        <v>14010025, 14020062</v>
      </c>
      <c r="F218" s="484" t="s">
        <v>592</v>
      </c>
      <c r="G218" s="320"/>
      <c r="H218" s="396" t="str">
        <f t="shared" si="98"/>
        <v/>
      </c>
      <c r="I218" s="73" t="str">
        <f t="shared" si="99"/>
        <v/>
      </c>
      <c r="J218" s="565"/>
      <c r="AG218" s="641" t="str">
        <f t="shared" si="86"/>
        <v>41057665, 41039350</v>
      </c>
      <c r="AH218" s="641" t="str">
        <f t="shared" si="87"/>
        <v>14010025, 14020062</v>
      </c>
      <c r="AI218" s="641" t="str">
        <f t="shared" si="88"/>
        <v>7D ViaExtend Enclosed (5 ports)</v>
      </c>
      <c r="AJ218" s="641" t="s">
        <v>861</v>
      </c>
      <c r="AK218" s="931" t="str">
        <f t="shared" si="100"/>
        <v>IMP01</v>
      </c>
      <c r="AL218" s="641" t="str">
        <f t="shared" si="92"/>
        <v/>
      </c>
      <c r="AM218" s="936" t="str">
        <f t="shared" si="89"/>
        <v/>
      </c>
      <c r="AN218" s="641">
        <f t="shared" si="90"/>
        <v>0</v>
      </c>
      <c r="AO218" s="641" t="str">
        <f t="shared" si="91"/>
        <v/>
      </c>
      <c r="AP218" s="929" t="str">
        <f t="shared" si="93"/>
        <v>IMP01</v>
      </c>
    </row>
    <row r="219" spans="2:42" ht="27.75" customHeight="1" x14ac:dyDescent="0.2">
      <c r="B219" s="93"/>
      <c r="C219" s="769"/>
      <c r="D219" s="366" t="str">
        <f t="shared" si="96"/>
        <v>41057665, 41039351</v>
      </c>
      <c r="E219" s="313" t="str">
        <f t="shared" si="97"/>
        <v>14010025, 14020096</v>
      </c>
      <c r="F219" s="484" t="s">
        <v>593</v>
      </c>
      <c r="G219" s="320"/>
      <c r="H219" s="396" t="str">
        <f t="shared" si="98"/>
        <v/>
      </c>
      <c r="I219" s="73" t="str">
        <f t="shared" si="99"/>
        <v/>
      </c>
      <c r="J219" s="565"/>
      <c r="AG219" s="641" t="str">
        <f t="shared" si="86"/>
        <v>41057665, 41039351</v>
      </c>
      <c r="AH219" s="641" t="str">
        <f t="shared" si="87"/>
        <v>14010025, 14020096</v>
      </c>
      <c r="AI219" s="641" t="str">
        <f t="shared" si="88"/>
        <v>7D ViaExtend Enclosed (8 ports)</v>
      </c>
      <c r="AJ219" s="641" t="s">
        <v>861</v>
      </c>
      <c r="AK219" s="931" t="str">
        <f t="shared" si="100"/>
        <v>IMP01</v>
      </c>
      <c r="AL219" s="641" t="str">
        <f t="shared" si="92"/>
        <v/>
      </c>
      <c r="AM219" s="936" t="str">
        <f t="shared" si="89"/>
        <v/>
      </c>
      <c r="AN219" s="641">
        <f t="shared" si="90"/>
        <v>0</v>
      </c>
      <c r="AO219" s="641" t="str">
        <f t="shared" si="91"/>
        <v/>
      </c>
      <c r="AP219" s="929" t="str">
        <f t="shared" si="93"/>
        <v>IMP01</v>
      </c>
    </row>
    <row r="220" spans="2:42" ht="15" customHeight="1" x14ac:dyDescent="0.2">
      <c r="B220" s="93"/>
      <c r="C220" s="769"/>
      <c r="D220" s="366">
        <f t="shared" si="96"/>
        <v>41204972</v>
      </c>
      <c r="E220" s="313">
        <f t="shared" si="97"/>
        <v>14010013</v>
      </c>
      <c r="F220" s="484" t="s">
        <v>550</v>
      </c>
      <c r="G220" s="320"/>
      <c r="H220" s="396" t="str">
        <f t="shared" si="98"/>
        <v/>
      </c>
      <c r="I220" s="73" t="str">
        <f t="shared" si="99"/>
        <v/>
      </c>
      <c r="J220" s="565"/>
      <c r="AG220" s="641">
        <f t="shared" si="86"/>
        <v>41204972</v>
      </c>
      <c r="AH220" s="641">
        <f t="shared" si="87"/>
        <v>14010013</v>
      </c>
      <c r="AI220" s="641" t="str">
        <f t="shared" si="88"/>
        <v>Mperia 12” ViaAdvanced (IP40)</v>
      </c>
      <c r="AJ220" s="641" t="s">
        <v>861</v>
      </c>
      <c r="AK220" s="931" t="str">
        <f t="shared" si="100"/>
        <v>IMP01</v>
      </c>
      <c r="AL220" s="641" t="str">
        <f t="shared" si="92"/>
        <v/>
      </c>
      <c r="AM220" s="936" t="str">
        <f t="shared" si="89"/>
        <v/>
      </c>
      <c r="AN220" s="641">
        <f t="shared" si="90"/>
        <v>0</v>
      </c>
      <c r="AO220" s="641" t="str">
        <f t="shared" si="91"/>
        <v/>
      </c>
      <c r="AP220" s="929" t="str">
        <f t="shared" si="93"/>
        <v>IMP01</v>
      </c>
    </row>
    <row r="221" spans="2:42" ht="27" customHeight="1" x14ac:dyDescent="0.2">
      <c r="B221" s="93"/>
      <c r="C221" s="769"/>
      <c r="D221" s="366" t="str">
        <f t="shared" si="96"/>
        <v>41057666, 41039350</v>
      </c>
      <c r="E221" s="313" t="str">
        <f t="shared" si="97"/>
        <v>14010024, 14020062</v>
      </c>
      <c r="F221" s="484" t="s">
        <v>596</v>
      </c>
      <c r="G221" s="320"/>
      <c r="H221" s="396" t="str">
        <f t="shared" si="98"/>
        <v/>
      </c>
      <c r="I221" s="73" t="str">
        <f t="shared" si="99"/>
        <v/>
      </c>
      <c r="J221" s="565"/>
      <c r="AG221" s="641" t="str">
        <f t="shared" si="86"/>
        <v>41057666, 41039350</v>
      </c>
      <c r="AH221" s="641" t="str">
        <f t="shared" si="87"/>
        <v>14010024, 14020062</v>
      </c>
      <c r="AI221" s="641" t="str">
        <f t="shared" si="88"/>
        <v>12” ViaAdvanced Enclosed (5 ports)</v>
      </c>
      <c r="AJ221" s="641" t="s">
        <v>861</v>
      </c>
      <c r="AK221" s="931" t="str">
        <f t="shared" si="100"/>
        <v>IMP01</v>
      </c>
      <c r="AL221" s="641" t="str">
        <f t="shared" si="92"/>
        <v/>
      </c>
      <c r="AM221" s="936" t="str">
        <f t="shared" si="89"/>
        <v/>
      </c>
      <c r="AN221" s="641">
        <f t="shared" si="90"/>
        <v>0</v>
      </c>
      <c r="AO221" s="641" t="str">
        <f t="shared" si="91"/>
        <v/>
      </c>
      <c r="AP221" s="929" t="str">
        <f t="shared" si="93"/>
        <v>IMP01</v>
      </c>
    </row>
    <row r="222" spans="2:42" ht="27" customHeight="1" x14ac:dyDescent="0.2">
      <c r="B222" s="93"/>
      <c r="C222" s="769"/>
      <c r="D222" s="366" t="str">
        <f t="shared" si="96"/>
        <v>41057666, 41039351</v>
      </c>
      <c r="E222" s="313" t="str">
        <f t="shared" si="97"/>
        <v>14010024, 14020096</v>
      </c>
      <c r="F222" s="484" t="s">
        <v>597</v>
      </c>
      <c r="G222" s="295"/>
      <c r="H222" s="309" t="str">
        <f t="shared" si="98"/>
        <v/>
      </c>
      <c r="I222" s="73" t="str">
        <f t="shared" si="99"/>
        <v/>
      </c>
      <c r="J222" s="565"/>
      <c r="AG222" s="641" t="str">
        <f t="shared" si="86"/>
        <v>41057666, 41039351</v>
      </c>
      <c r="AH222" s="641" t="str">
        <f t="shared" si="87"/>
        <v>14010024, 14020096</v>
      </c>
      <c r="AI222" s="641" t="str">
        <f t="shared" si="88"/>
        <v>12” ViaAdvanced Enclosed (8 ports)</v>
      </c>
      <c r="AJ222" s="641" t="s">
        <v>861</v>
      </c>
      <c r="AK222" s="931" t="str">
        <f t="shared" si="100"/>
        <v>IMP01</v>
      </c>
      <c r="AL222" s="641" t="str">
        <f t="shared" si="92"/>
        <v/>
      </c>
      <c r="AM222" s="936" t="str">
        <f t="shared" si="89"/>
        <v/>
      </c>
      <c r="AN222" s="641">
        <f t="shared" si="90"/>
        <v>0</v>
      </c>
      <c r="AO222" s="641" t="str">
        <f t="shared" si="91"/>
        <v/>
      </c>
      <c r="AP222" s="929" t="str">
        <f t="shared" si="93"/>
        <v>IMP01</v>
      </c>
    </row>
    <row r="223" spans="2:42" ht="15" customHeight="1" x14ac:dyDescent="0.2">
      <c r="B223" s="93"/>
      <c r="C223" s="769"/>
      <c r="D223" s="366">
        <f t="shared" si="96"/>
        <v>41044264</v>
      </c>
      <c r="E223" s="9">
        <f t="shared" si="97"/>
        <v>14020074</v>
      </c>
      <c r="F223" s="484" t="s">
        <v>580</v>
      </c>
      <c r="G223" s="320"/>
      <c r="H223" s="396" t="str">
        <f t="shared" si="98"/>
        <v/>
      </c>
      <c r="I223" s="73" t="str">
        <f t="shared" si="99"/>
        <v/>
      </c>
      <c r="J223" s="565"/>
      <c r="AG223" s="641">
        <f t="shared" si="86"/>
        <v>41044264</v>
      </c>
      <c r="AH223" s="641">
        <f t="shared" si="87"/>
        <v>14020074</v>
      </c>
      <c r="AI223" s="641" t="str">
        <f t="shared" si="88"/>
        <v>Mperia 15” ViaAdvanced Plus (IP65)</v>
      </c>
      <c r="AJ223" s="641" t="s">
        <v>861</v>
      </c>
      <c r="AK223" s="931" t="str">
        <f t="shared" si="100"/>
        <v>IMP01</v>
      </c>
      <c r="AL223" s="641" t="str">
        <f t="shared" si="92"/>
        <v/>
      </c>
      <c r="AM223" s="936" t="str">
        <f t="shared" si="89"/>
        <v/>
      </c>
      <c r="AN223" s="641">
        <f t="shared" si="90"/>
        <v>0</v>
      </c>
      <c r="AO223" s="641" t="str">
        <f t="shared" si="91"/>
        <v/>
      </c>
      <c r="AP223" s="929" t="str">
        <f t="shared" si="93"/>
        <v>IMP01</v>
      </c>
    </row>
    <row r="224" spans="2:42" ht="38.25" x14ac:dyDescent="0.2">
      <c r="B224" s="93"/>
      <c r="C224" s="769"/>
      <c r="D224" s="342" t="str">
        <f t="shared" si="96"/>
        <v>R15IB3S-65C3/PT/W8, 20191602</v>
      </c>
      <c r="E224" s="313" t="str">
        <f t="shared" si="97"/>
        <v>12990026, 10020146</v>
      </c>
      <c r="F224" s="484" t="s">
        <v>1326</v>
      </c>
      <c r="G224" s="320">
        <v>1</v>
      </c>
      <c r="H224" s="396">
        <f t="shared" si="98"/>
        <v>4358</v>
      </c>
      <c r="I224" s="73">
        <f t="shared" si="99"/>
        <v>4358</v>
      </c>
      <c r="J224" s="565"/>
      <c r="AG224" s="641" t="str">
        <f t="shared" si="86"/>
        <v>R15IB3S-65C3/PT/W8, 20191602</v>
      </c>
      <c r="AH224" s="641" t="str">
        <f t="shared" si="87"/>
        <v>12990026, 10020146</v>
      </c>
      <c r="AI224" s="641" t="str">
        <f t="shared" si="88"/>
        <v>PANEL PC 15" IP65 SS TFT  (inc 12v Power supply)</v>
      </c>
      <c r="AJ224" s="641" t="s">
        <v>910</v>
      </c>
      <c r="AK224" s="931" t="s">
        <v>990</v>
      </c>
      <c r="AL224" s="641">
        <f t="shared" si="92"/>
        <v>4358</v>
      </c>
      <c r="AM224" s="936">
        <f t="shared" si="89"/>
        <v>4358</v>
      </c>
      <c r="AN224" s="641">
        <f t="shared" si="90"/>
        <v>1</v>
      </c>
      <c r="AO224" s="641" t="str">
        <f t="shared" si="91"/>
        <v>Show</v>
      </c>
      <c r="AP224" s="929" t="str">
        <f t="shared" si="93"/>
        <v>Datacapture Assembly</v>
      </c>
    </row>
    <row r="225" spans="2:42" ht="15" customHeight="1" x14ac:dyDescent="0.2">
      <c r="B225" s="93"/>
      <c r="C225" s="769"/>
      <c r="D225" s="366">
        <f t="shared" si="96"/>
        <v>20191603</v>
      </c>
      <c r="E225" s="9" t="str">
        <f t="shared" si="97"/>
        <v>10020147</v>
      </c>
      <c r="F225" s="484" t="s">
        <v>568</v>
      </c>
      <c r="G225" s="320">
        <f>SUM(G217:G223)</f>
        <v>0</v>
      </c>
      <c r="H225" s="396" t="str">
        <f t="shared" si="98"/>
        <v/>
      </c>
      <c r="I225" s="73" t="str">
        <f t="shared" ref="I225:I233" si="101">IF(ISERROR(H225*G225),"",H225*G225)</f>
        <v/>
      </c>
      <c r="J225" s="565"/>
      <c r="AG225" s="641">
        <f t="shared" si="86"/>
        <v>20191603</v>
      </c>
      <c r="AH225" s="641" t="str">
        <f t="shared" si="87"/>
        <v>10020147</v>
      </c>
      <c r="AI225" s="641" t="str">
        <f t="shared" si="88"/>
        <v xml:space="preserve">Power Supply 24V </v>
      </c>
      <c r="AJ225" s="641" t="s">
        <v>910</v>
      </c>
      <c r="AK225" s="931" t="s">
        <v>990</v>
      </c>
      <c r="AL225" s="641" t="str">
        <f t="shared" si="92"/>
        <v/>
      </c>
      <c r="AM225" s="936" t="str">
        <f t="shared" si="89"/>
        <v/>
      </c>
      <c r="AN225" s="641">
        <f t="shared" si="90"/>
        <v>0</v>
      </c>
      <c r="AO225" s="641" t="str">
        <f t="shared" si="91"/>
        <v/>
      </c>
      <c r="AP225" s="929" t="str">
        <f t="shared" si="93"/>
        <v>Datacapture Assembly</v>
      </c>
    </row>
    <row r="226" spans="2:42" ht="15" customHeight="1" x14ac:dyDescent="0.2">
      <c r="B226" s="93"/>
      <c r="C226" s="769"/>
      <c r="D226" s="366">
        <f t="shared" si="96"/>
        <v>133951.01</v>
      </c>
      <c r="E226" s="9" t="str">
        <f t="shared" si="97"/>
        <v xml:space="preserve">14020069 </v>
      </c>
      <c r="F226" s="484" t="s">
        <v>1049</v>
      </c>
      <c r="G226" s="320">
        <f>SUM(G217:G224)</f>
        <v>1</v>
      </c>
      <c r="H226" s="396">
        <f t="shared" si="98"/>
        <v>100</v>
      </c>
      <c r="I226" s="73">
        <f t="shared" si="101"/>
        <v>100</v>
      </c>
      <c r="J226" s="565"/>
      <c r="AG226" s="641">
        <f t="shared" si="86"/>
        <v>133951.01</v>
      </c>
      <c r="AH226" s="641" t="str">
        <f t="shared" si="87"/>
        <v xml:space="preserve">14020069 </v>
      </c>
      <c r="AI226" s="641" t="str">
        <f t="shared" si="88"/>
        <v xml:space="preserve">PCM Wall Mount Vesa 75/100 </v>
      </c>
      <c r="AJ226" s="641" t="s">
        <v>861</v>
      </c>
      <c r="AK226" s="931" t="str">
        <f>VLOOKUP(E226,$G$505:$N$891,8,FALSE)</f>
        <v>IMP01</v>
      </c>
      <c r="AL226" s="641">
        <f t="shared" si="92"/>
        <v>100</v>
      </c>
      <c r="AM226" s="936">
        <f t="shared" si="89"/>
        <v>100</v>
      </c>
      <c r="AN226" s="641">
        <f t="shared" si="90"/>
        <v>1</v>
      </c>
      <c r="AO226" s="641" t="str">
        <f t="shared" si="91"/>
        <v>Show</v>
      </c>
      <c r="AP226" s="929" t="str">
        <f t="shared" si="93"/>
        <v>IMP01</v>
      </c>
    </row>
    <row r="227" spans="2:42" ht="15" customHeight="1" x14ac:dyDescent="0.2">
      <c r="B227" s="93"/>
      <c r="C227" s="769"/>
      <c r="D227" s="366" t="str">
        <f t="shared" si="96"/>
        <v>A100046</v>
      </c>
      <c r="E227" s="9" t="str">
        <f t="shared" si="97"/>
        <v>23020126</v>
      </c>
      <c r="F227" s="484" t="s">
        <v>1050</v>
      </c>
      <c r="G227" s="320"/>
      <c r="H227" s="396" t="str">
        <f t="shared" si="98"/>
        <v/>
      </c>
      <c r="I227" s="73" t="str">
        <f t="shared" si="101"/>
        <v/>
      </c>
      <c r="J227" s="565"/>
      <c r="AG227" s="641" t="str">
        <f t="shared" si="86"/>
        <v>A100046</v>
      </c>
      <c r="AH227" s="641" t="str">
        <f t="shared" si="87"/>
        <v>23020126</v>
      </c>
      <c r="AI227" s="641" t="str">
        <f t="shared" si="88"/>
        <v>Holder Touch Screen Compl.</v>
      </c>
      <c r="AJ227" s="641" t="s">
        <v>856</v>
      </c>
      <c r="AK227" s="931" t="s">
        <v>991</v>
      </c>
      <c r="AL227" s="641" t="str">
        <f t="shared" si="92"/>
        <v/>
      </c>
      <c r="AM227" s="936" t="str">
        <f t="shared" si="89"/>
        <v/>
      </c>
      <c r="AN227" s="641">
        <f t="shared" si="90"/>
        <v>0</v>
      </c>
      <c r="AO227" s="641" t="str">
        <f t="shared" si="91"/>
        <v/>
      </c>
      <c r="AP227" s="929" t="str">
        <f t="shared" si="93"/>
        <v>Engineering Assembly</v>
      </c>
    </row>
    <row r="228" spans="2:42" ht="15" customHeight="1" x14ac:dyDescent="0.2">
      <c r="B228" s="93"/>
      <c r="C228" s="769"/>
      <c r="D228" s="366">
        <f t="shared" si="96"/>
        <v>20091601</v>
      </c>
      <c r="E228" s="9" t="str">
        <f t="shared" si="97"/>
        <v>10020145</v>
      </c>
      <c r="F228" s="484" t="s">
        <v>1051</v>
      </c>
      <c r="G228" s="320">
        <f>G225</f>
        <v>0</v>
      </c>
      <c r="H228" s="396" t="str">
        <f t="shared" si="98"/>
        <v/>
      </c>
      <c r="I228" s="73" t="str">
        <f t="shared" si="101"/>
        <v/>
      </c>
      <c r="J228" s="565"/>
      <c r="AG228" s="641">
        <f t="shared" si="86"/>
        <v>20091601</v>
      </c>
      <c r="AH228" s="641" t="str">
        <f t="shared" si="87"/>
        <v>10020145</v>
      </c>
      <c r="AI228" s="641" t="str">
        <f t="shared" si="88"/>
        <v xml:space="preserve">Circuit Breaker </v>
      </c>
      <c r="AJ228" s="641" t="s">
        <v>910</v>
      </c>
      <c r="AK228" s="931" t="s">
        <v>990</v>
      </c>
      <c r="AL228" s="641" t="str">
        <f t="shared" si="92"/>
        <v/>
      </c>
      <c r="AM228" s="936" t="str">
        <f t="shared" si="89"/>
        <v/>
      </c>
      <c r="AN228" s="641">
        <f t="shared" si="90"/>
        <v>0</v>
      </c>
      <c r="AO228" s="641" t="str">
        <f t="shared" si="91"/>
        <v/>
      </c>
      <c r="AP228" s="929" t="str">
        <f t="shared" si="93"/>
        <v>Datacapture Assembly</v>
      </c>
    </row>
    <row r="229" spans="2:42" ht="15" customHeight="1" x14ac:dyDescent="0.2">
      <c r="B229" s="93"/>
      <c r="C229" s="770"/>
      <c r="D229" s="366"/>
      <c r="E229" s="9"/>
      <c r="F229" s="87"/>
      <c r="G229" s="295"/>
      <c r="H229" s="309" t="str">
        <f t="shared" si="98"/>
        <v/>
      </c>
      <c r="I229" s="73" t="str">
        <f t="shared" si="101"/>
        <v/>
      </c>
      <c r="J229" s="565"/>
      <c r="AG229" s="641" t="str">
        <f t="shared" si="86"/>
        <v/>
      </c>
      <c r="AH229" s="641" t="str">
        <f t="shared" si="87"/>
        <v/>
      </c>
      <c r="AI229" s="641" t="str">
        <f t="shared" si="88"/>
        <v/>
      </c>
      <c r="AL229" s="641" t="str">
        <f t="shared" si="92"/>
        <v/>
      </c>
      <c r="AM229" s="936" t="str">
        <f t="shared" si="89"/>
        <v/>
      </c>
      <c r="AN229" s="641">
        <f t="shared" si="90"/>
        <v>0</v>
      </c>
      <c r="AO229" s="641" t="str">
        <f t="shared" si="91"/>
        <v/>
      </c>
      <c r="AP229" s="929" t="str">
        <f t="shared" si="93"/>
        <v/>
      </c>
    </row>
    <row r="230" spans="2:42" ht="15" customHeight="1" x14ac:dyDescent="0.2">
      <c r="B230" s="93"/>
      <c r="C230" s="551"/>
      <c r="D230" s="432"/>
      <c r="E230" s="433"/>
      <c r="F230" s="434"/>
      <c r="G230" s="440"/>
      <c r="H230" s="552"/>
      <c r="I230" s="249"/>
      <c r="J230" s="565"/>
      <c r="AG230" s="641" t="str">
        <f t="shared" si="86"/>
        <v/>
      </c>
      <c r="AH230" s="641" t="str">
        <f t="shared" si="87"/>
        <v/>
      </c>
      <c r="AI230" s="641" t="str">
        <f t="shared" si="88"/>
        <v/>
      </c>
      <c r="AL230" s="641" t="str">
        <f t="shared" si="92"/>
        <v/>
      </c>
      <c r="AM230" s="936" t="str">
        <f t="shared" si="89"/>
        <v/>
      </c>
      <c r="AN230" s="641">
        <f t="shared" si="90"/>
        <v>0</v>
      </c>
      <c r="AO230" s="641" t="str">
        <f t="shared" si="91"/>
        <v/>
      </c>
      <c r="AP230" s="929" t="str">
        <f t="shared" si="93"/>
        <v/>
      </c>
    </row>
    <row r="231" spans="2:42" ht="17.25" customHeight="1" x14ac:dyDescent="0.2">
      <c r="B231" s="93"/>
      <c r="C231" s="1066" t="s">
        <v>777</v>
      </c>
      <c r="D231" s="1067"/>
      <c r="E231" s="1067"/>
      <c r="F231" s="1067"/>
      <c r="G231" s="440"/>
      <c r="H231" s="552" t="str">
        <f t="shared" ref="H231:H239" si="102">IF(G231&gt;=0.1,VLOOKUP(F231,F$504:I$935,4,FALSE),"")</f>
        <v/>
      </c>
      <c r="I231" s="238" t="str">
        <f t="shared" si="101"/>
        <v/>
      </c>
      <c r="J231" s="565"/>
      <c r="AG231" s="641" t="str">
        <f t="shared" si="86"/>
        <v/>
      </c>
      <c r="AH231" s="641" t="str">
        <f t="shared" si="87"/>
        <v/>
      </c>
      <c r="AI231" s="641" t="str">
        <f t="shared" si="88"/>
        <v/>
      </c>
      <c r="AL231" s="641" t="str">
        <f t="shared" si="92"/>
        <v/>
      </c>
      <c r="AM231" s="936" t="str">
        <f t="shared" si="89"/>
        <v/>
      </c>
      <c r="AN231" s="641">
        <f t="shared" si="90"/>
        <v>0</v>
      </c>
      <c r="AO231" s="641" t="str">
        <f t="shared" si="91"/>
        <v/>
      </c>
      <c r="AP231" s="929" t="str">
        <f t="shared" si="93"/>
        <v/>
      </c>
    </row>
    <row r="232" spans="2:42" ht="27" customHeight="1" x14ac:dyDescent="0.2">
      <c r="B232" s="93"/>
      <c r="C232" s="545"/>
      <c r="D232" s="548" t="str">
        <f t="shared" ref="D232:D237" si="103">VLOOKUP($F232,$F$505:$I$935,3,FALSE)</f>
        <v>41204998, 41039404</v>
      </c>
      <c r="E232" s="549" t="str">
        <f t="shared" ref="E232:E237" si="104">VLOOKUP($F232,$F$505:$I$935,2,FALSE)</f>
        <v>14020055, 14020054</v>
      </c>
      <c r="F232" s="550" t="s">
        <v>584</v>
      </c>
      <c r="G232" s="320"/>
      <c r="H232" s="396" t="str">
        <f t="shared" si="102"/>
        <v/>
      </c>
      <c r="I232" s="73" t="str">
        <f t="shared" si="101"/>
        <v/>
      </c>
      <c r="J232" s="565"/>
      <c r="AG232" s="938" t="str">
        <f t="shared" si="86"/>
        <v>41204998, 41039404</v>
      </c>
      <c r="AH232" s="938" t="str">
        <f t="shared" si="87"/>
        <v>14020055, 14020054</v>
      </c>
      <c r="AI232" s="938" t="str">
        <f t="shared" si="88"/>
        <v>ViaPortal</v>
      </c>
      <c r="AJ232" s="938" t="s">
        <v>865</v>
      </c>
      <c r="AK232" s="937" t="s">
        <v>861</v>
      </c>
      <c r="AL232" s="641" t="str">
        <f t="shared" si="92"/>
        <v/>
      </c>
      <c r="AM232" s="936" t="str">
        <f t="shared" si="89"/>
        <v/>
      </c>
      <c r="AN232" s="641">
        <f t="shared" si="90"/>
        <v>0</v>
      </c>
      <c r="AO232" s="641" t="str">
        <f t="shared" si="91"/>
        <v/>
      </c>
      <c r="AP232" s="929" t="str">
        <f t="shared" si="93"/>
        <v>IMP01</v>
      </c>
    </row>
    <row r="233" spans="2:42" ht="15" customHeight="1" x14ac:dyDescent="0.2">
      <c r="B233" s="93"/>
      <c r="C233" s="545"/>
      <c r="D233" s="366">
        <f t="shared" si="103"/>
        <v>41204999</v>
      </c>
      <c r="E233" s="9">
        <f t="shared" si="104"/>
        <v>14020043</v>
      </c>
      <c r="F233" s="321" t="s">
        <v>585</v>
      </c>
      <c r="G233" s="320"/>
      <c r="H233" s="396" t="str">
        <f t="shared" si="102"/>
        <v/>
      </c>
      <c r="I233" s="73" t="str">
        <f t="shared" si="101"/>
        <v/>
      </c>
      <c r="J233" s="565"/>
      <c r="AG233" s="938">
        <f t="shared" si="86"/>
        <v>41204999</v>
      </c>
      <c r="AH233" s="938">
        <f t="shared" si="87"/>
        <v>14020043</v>
      </c>
      <c r="AI233" s="938" t="str">
        <f t="shared" si="88"/>
        <v>ViaSelect</v>
      </c>
      <c r="AJ233" s="938" t="s">
        <v>865</v>
      </c>
      <c r="AK233" s="937" t="s">
        <v>861</v>
      </c>
      <c r="AL233" s="641" t="str">
        <f t="shared" si="92"/>
        <v/>
      </c>
      <c r="AM233" s="936" t="str">
        <f t="shared" si="89"/>
        <v/>
      </c>
      <c r="AN233" s="641">
        <f t="shared" si="90"/>
        <v>0</v>
      </c>
      <c r="AO233" s="641" t="str">
        <f t="shared" si="91"/>
        <v/>
      </c>
      <c r="AP233" s="929" t="str">
        <f t="shared" si="93"/>
        <v>IMP01</v>
      </c>
    </row>
    <row r="234" spans="2:42" ht="15" customHeight="1" x14ac:dyDescent="0.2">
      <c r="B234" s="93"/>
      <c r="C234" s="545"/>
      <c r="D234" s="366">
        <f t="shared" si="103"/>
        <v>41039404</v>
      </c>
      <c r="E234" s="9">
        <f t="shared" si="104"/>
        <v>14020054</v>
      </c>
      <c r="F234" s="321" t="s">
        <v>586</v>
      </c>
      <c r="G234" s="320"/>
      <c r="H234" s="396" t="str">
        <f t="shared" si="102"/>
        <v/>
      </c>
      <c r="I234" s="73" t="str">
        <f t="shared" ref="I234:I239" si="105">IF(ISERROR(H234*G234),"",H234*G234)</f>
        <v/>
      </c>
      <c r="J234" s="565"/>
      <c r="AG234" s="938">
        <f t="shared" si="86"/>
        <v>41039404</v>
      </c>
      <c r="AH234" s="938">
        <f t="shared" si="87"/>
        <v>14020054</v>
      </c>
      <c r="AI234" s="938" t="str">
        <f t="shared" si="88"/>
        <v xml:space="preserve">ViaConnect </v>
      </c>
      <c r="AJ234" s="938" t="s">
        <v>865</v>
      </c>
      <c r="AK234" s="937" t="s">
        <v>861</v>
      </c>
      <c r="AL234" s="641" t="str">
        <f t="shared" si="92"/>
        <v/>
      </c>
      <c r="AM234" s="936" t="str">
        <f t="shared" si="89"/>
        <v/>
      </c>
      <c r="AN234" s="641">
        <f t="shared" si="90"/>
        <v>0</v>
      </c>
      <c r="AO234" s="641" t="str">
        <f t="shared" si="91"/>
        <v/>
      </c>
      <c r="AP234" s="929" t="str">
        <f t="shared" si="93"/>
        <v>IMP01</v>
      </c>
    </row>
    <row r="235" spans="2:42" ht="15" customHeight="1" x14ac:dyDescent="0.2">
      <c r="B235" s="93"/>
      <c r="C235" s="545"/>
      <c r="D235" s="366">
        <f t="shared" si="103"/>
        <v>41039403</v>
      </c>
      <c r="E235" s="9">
        <f t="shared" si="104"/>
        <v>14020053</v>
      </c>
      <c r="F235" s="321" t="s">
        <v>587</v>
      </c>
      <c r="G235" s="320"/>
      <c r="H235" s="396" t="str">
        <f t="shared" si="102"/>
        <v/>
      </c>
      <c r="I235" s="73" t="str">
        <f t="shared" si="105"/>
        <v/>
      </c>
      <c r="J235" s="565"/>
      <c r="AG235" s="938">
        <f t="shared" si="86"/>
        <v>41039403</v>
      </c>
      <c r="AH235" s="938">
        <f t="shared" si="87"/>
        <v>14020053</v>
      </c>
      <c r="AI235" s="938" t="str">
        <f t="shared" si="88"/>
        <v>ViaEdit</v>
      </c>
      <c r="AJ235" s="938" t="s">
        <v>865</v>
      </c>
      <c r="AK235" s="937" t="s">
        <v>861</v>
      </c>
      <c r="AL235" s="641" t="str">
        <f t="shared" si="92"/>
        <v/>
      </c>
      <c r="AM235" s="936" t="str">
        <f t="shared" si="89"/>
        <v/>
      </c>
      <c r="AN235" s="641">
        <f t="shared" si="90"/>
        <v>0</v>
      </c>
      <c r="AO235" s="641" t="str">
        <f t="shared" si="91"/>
        <v/>
      </c>
      <c r="AP235" s="929" t="str">
        <f t="shared" si="93"/>
        <v>IMP01</v>
      </c>
    </row>
    <row r="236" spans="2:42" ht="15" customHeight="1" x14ac:dyDescent="0.2">
      <c r="B236" s="93"/>
      <c r="C236" s="545"/>
      <c r="D236" s="366">
        <f t="shared" si="103"/>
        <v>41039405</v>
      </c>
      <c r="E236" s="9">
        <f t="shared" si="104"/>
        <v>14020056</v>
      </c>
      <c r="F236" s="321" t="s">
        <v>588</v>
      </c>
      <c r="G236" s="320"/>
      <c r="H236" s="396" t="str">
        <f t="shared" si="102"/>
        <v/>
      </c>
      <c r="I236" s="73" t="str">
        <f t="shared" si="105"/>
        <v/>
      </c>
      <c r="J236" s="565"/>
      <c r="AG236" s="938">
        <f t="shared" si="86"/>
        <v>41039405</v>
      </c>
      <c r="AH236" s="938">
        <f t="shared" si="87"/>
        <v>14020056</v>
      </c>
      <c r="AI236" s="938" t="str">
        <f t="shared" si="88"/>
        <v>ViaBase</v>
      </c>
      <c r="AJ236" s="938" t="s">
        <v>865</v>
      </c>
      <c r="AK236" s="937" t="s">
        <v>861</v>
      </c>
      <c r="AL236" s="641" t="str">
        <f t="shared" si="92"/>
        <v/>
      </c>
      <c r="AM236" s="936" t="str">
        <f t="shared" si="89"/>
        <v/>
      </c>
      <c r="AN236" s="641">
        <f t="shared" si="90"/>
        <v>0</v>
      </c>
      <c r="AO236" s="641" t="str">
        <f t="shared" si="91"/>
        <v/>
      </c>
      <c r="AP236" s="929" t="str">
        <f t="shared" si="93"/>
        <v>IMP01</v>
      </c>
    </row>
    <row r="237" spans="2:42" ht="15" customHeight="1" x14ac:dyDescent="0.2">
      <c r="B237" s="93"/>
      <c r="C237" s="546"/>
      <c r="D237" s="366">
        <f t="shared" si="103"/>
        <v>41205000</v>
      </c>
      <c r="E237" s="9">
        <f t="shared" si="104"/>
        <v>14020099</v>
      </c>
      <c r="F237" s="321" t="s">
        <v>589</v>
      </c>
      <c r="G237" s="320"/>
      <c r="H237" s="396" t="str">
        <f t="shared" si="102"/>
        <v/>
      </c>
      <c r="I237" s="73" t="str">
        <f t="shared" si="105"/>
        <v/>
      </c>
      <c r="J237" s="565"/>
      <c r="AG237" s="938">
        <f t="shared" si="86"/>
        <v>41205000</v>
      </c>
      <c r="AH237" s="938">
        <f t="shared" si="87"/>
        <v>14020099</v>
      </c>
      <c r="AI237" s="938" t="str">
        <f t="shared" si="88"/>
        <v>ViaPlugin</v>
      </c>
      <c r="AJ237" s="938" t="s">
        <v>865</v>
      </c>
      <c r="AK237" s="937" t="s">
        <v>861</v>
      </c>
      <c r="AL237" s="641" t="str">
        <f t="shared" si="92"/>
        <v/>
      </c>
      <c r="AM237" s="936" t="str">
        <f t="shared" si="89"/>
        <v/>
      </c>
      <c r="AN237" s="641">
        <f t="shared" si="90"/>
        <v>0</v>
      </c>
      <c r="AO237" s="641" t="str">
        <f t="shared" si="91"/>
        <v/>
      </c>
      <c r="AP237" s="929" t="str">
        <f t="shared" si="93"/>
        <v>IMP01</v>
      </c>
    </row>
    <row r="238" spans="2:42" ht="15" hidden="1" x14ac:dyDescent="0.2">
      <c r="B238" s="93"/>
      <c r="C238" s="371"/>
      <c r="D238" s="366"/>
      <c r="E238" s="9"/>
      <c r="F238" s="321"/>
      <c r="G238" s="320"/>
      <c r="H238" s="396" t="str">
        <f t="shared" si="102"/>
        <v/>
      </c>
      <c r="I238" s="73" t="str">
        <f t="shared" si="105"/>
        <v/>
      </c>
      <c r="J238" s="565"/>
      <c r="AG238" s="641" t="str">
        <f t="shared" si="86"/>
        <v/>
      </c>
      <c r="AH238" s="641" t="str">
        <f t="shared" si="87"/>
        <v/>
      </c>
      <c r="AI238" s="641" t="str">
        <f t="shared" si="88"/>
        <v/>
      </c>
      <c r="AL238" s="641" t="str">
        <f t="shared" si="92"/>
        <v/>
      </c>
      <c r="AM238" s="936" t="str">
        <f t="shared" si="89"/>
        <v/>
      </c>
      <c r="AN238" s="641">
        <f t="shared" si="90"/>
        <v>0</v>
      </c>
      <c r="AO238" s="641" t="str">
        <f t="shared" si="91"/>
        <v/>
      </c>
      <c r="AP238" s="929" t="str">
        <f t="shared" si="93"/>
        <v/>
      </c>
    </row>
    <row r="239" spans="2:42" ht="15" hidden="1" x14ac:dyDescent="0.2">
      <c r="B239" s="93"/>
      <c r="C239" s="371"/>
      <c r="D239" s="366"/>
      <c r="E239" s="9"/>
      <c r="F239" s="321"/>
      <c r="G239" s="320"/>
      <c r="H239" s="396" t="str">
        <f t="shared" si="102"/>
        <v/>
      </c>
      <c r="I239" s="73" t="str">
        <f t="shared" si="105"/>
        <v/>
      </c>
      <c r="J239" s="565"/>
      <c r="AG239" s="641" t="str">
        <f t="shared" si="86"/>
        <v/>
      </c>
      <c r="AH239" s="641" t="str">
        <f t="shared" si="87"/>
        <v/>
      </c>
      <c r="AI239" s="641" t="str">
        <f t="shared" si="88"/>
        <v/>
      </c>
      <c r="AL239" s="641" t="str">
        <f t="shared" si="92"/>
        <v/>
      </c>
      <c r="AM239" s="936" t="str">
        <f t="shared" si="89"/>
        <v/>
      </c>
      <c r="AN239" s="641">
        <f t="shared" si="90"/>
        <v>0</v>
      </c>
      <c r="AO239" s="641" t="str">
        <f t="shared" si="91"/>
        <v/>
      </c>
      <c r="AP239" s="929" t="str">
        <f t="shared" si="93"/>
        <v/>
      </c>
    </row>
    <row r="240" spans="2:42" x14ac:dyDescent="0.2">
      <c r="B240" s="93"/>
      <c r="C240" s="480"/>
      <c r="D240" s="432"/>
      <c r="E240" s="433"/>
      <c r="F240" s="434"/>
      <c r="G240" s="439"/>
      <c r="H240" s="435"/>
      <c r="I240" s="249"/>
      <c r="J240" s="565"/>
      <c r="AG240" s="641" t="str">
        <f t="shared" si="86"/>
        <v/>
      </c>
      <c r="AH240" s="641" t="str">
        <f t="shared" si="87"/>
        <v/>
      </c>
      <c r="AI240" s="641" t="str">
        <f t="shared" si="88"/>
        <v/>
      </c>
      <c r="AL240" s="641" t="str">
        <f t="shared" si="92"/>
        <v/>
      </c>
      <c r="AM240" s="936" t="str">
        <f t="shared" si="89"/>
        <v/>
      </c>
      <c r="AN240" s="641">
        <f t="shared" si="90"/>
        <v>0</v>
      </c>
      <c r="AO240" s="641" t="str">
        <f t="shared" si="91"/>
        <v/>
      </c>
      <c r="AP240" s="929" t="str">
        <f t="shared" si="93"/>
        <v/>
      </c>
    </row>
    <row r="241" spans="2:42" ht="15" hidden="1" x14ac:dyDescent="0.2">
      <c r="B241" s="93"/>
      <c r="C241" s="243" t="s">
        <v>564</v>
      </c>
      <c r="D241" s="436"/>
      <c r="E241" s="11"/>
      <c r="F241" s="92"/>
      <c r="G241" s="440"/>
      <c r="H241" s="437"/>
      <c r="I241" s="438"/>
      <c r="J241" s="565"/>
      <c r="AG241" s="641" t="str">
        <f t="shared" si="86"/>
        <v/>
      </c>
      <c r="AH241" s="641" t="str">
        <f t="shared" si="87"/>
        <v/>
      </c>
      <c r="AI241" s="641" t="str">
        <f t="shared" si="88"/>
        <v/>
      </c>
      <c r="AL241" s="641" t="str">
        <f t="shared" si="92"/>
        <v/>
      </c>
      <c r="AM241" s="936" t="str">
        <f t="shared" si="89"/>
        <v/>
      </c>
      <c r="AN241" s="641">
        <f t="shared" si="90"/>
        <v>0</v>
      </c>
      <c r="AO241" s="641" t="str">
        <f t="shared" si="91"/>
        <v/>
      </c>
      <c r="AP241" s="929" t="str">
        <f t="shared" si="93"/>
        <v/>
      </c>
    </row>
    <row r="242" spans="2:42" ht="12.6" hidden="1" customHeight="1" x14ac:dyDescent="0.2">
      <c r="B242" s="93"/>
      <c r="C242" s="768"/>
      <c r="D242" s="366"/>
      <c r="E242" s="9"/>
      <c r="F242" s="321"/>
      <c r="G242" s="320"/>
      <c r="H242" s="396" t="str">
        <f>IF(G242&gt;=0.1,VLOOKUP(F242,F$504:I$935,4,FALSE),"")</f>
        <v/>
      </c>
      <c r="I242" s="73" t="str">
        <f>IF(ISERROR(H242*G242),"",H242*G242)</f>
        <v/>
      </c>
      <c r="J242" s="565"/>
      <c r="AG242" s="641" t="str">
        <f t="shared" si="86"/>
        <v/>
      </c>
      <c r="AH242" s="641" t="str">
        <f t="shared" si="87"/>
        <v/>
      </c>
      <c r="AI242" s="641" t="str">
        <f t="shared" si="88"/>
        <v/>
      </c>
      <c r="AJ242" s="641" t="s">
        <v>856</v>
      </c>
      <c r="AK242" s="931" t="s">
        <v>990</v>
      </c>
      <c r="AL242" s="641" t="str">
        <f t="shared" si="92"/>
        <v/>
      </c>
      <c r="AM242" s="936" t="str">
        <f t="shared" si="89"/>
        <v/>
      </c>
      <c r="AN242" s="641">
        <f t="shared" si="90"/>
        <v>0</v>
      </c>
      <c r="AO242" s="641" t="str">
        <f t="shared" si="91"/>
        <v/>
      </c>
      <c r="AP242" s="929" t="str">
        <f t="shared" si="93"/>
        <v>Datacapture Assembly</v>
      </c>
    </row>
    <row r="243" spans="2:42" ht="12.6" hidden="1" customHeight="1" x14ac:dyDescent="0.2">
      <c r="B243" s="93"/>
      <c r="C243" s="769"/>
      <c r="D243" s="366"/>
      <c r="E243" s="9"/>
      <c r="F243" s="321"/>
      <c r="G243" s="320"/>
      <c r="H243" s="396" t="str">
        <f>IF(G243&gt;=0.1,VLOOKUP(F243,F$504:I$935,4,FALSE),"")</f>
        <v/>
      </c>
      <c r="I243" s="73" t="str">
        <f>IF(ISERROR(H243*G243),"",H243*G243)</f>
        <v/>
      </c>
      <c r="J243" s="565"/>
      <c r="AG243" s="641" t="str">
        <f t="shared" si="86"/>
        <v/>
      </c>
      <c r="AH243" s="641" t="str">
        <f t="shared" si="87"/>
        <v/>
      </c>
      <c r="AI243" s="641" t="str">
        <f t="shared" si="88"/>
        <v/>
      </c>
      <c r="AJ243" s="641" t="s">
        <v>897</v>
      </c>
      <c r="AK243" s="931" t="s">
        <v>990</v>
      </c>
      <c r="AL243" s="641" t="str">
        <f t="shared" si="92"/>
        <v/>
      </c>
      <c r="AM243" s="936" t="str">
        <f t="shared" si="89"/>
        <v/>
      </c>
      <c r="AN243" s="641">
        <f t="shared" si="90"/>
        <v>0</v>
      </c>
      <c r="AO243" s="641" t="str">
        <f t="shared" si="91"/>
        <v/>
      </c>
      <c r="AP243" s="929" t="str">
        <f t="shared" si="93"/>
        <v>Datacapture Assembly</v>
      </c>
    </row>
    <row r="244" spans="2:42" ht="12.6" hidden="1" customHeight="1" x14ac:dyDescent="0.2">
      <c r="B244" s="93"/>
      <c r="C244" s="770"/>
      <c r="D244" s="366"/>
      <c r="E244" s="9"/>
      <c r="F244" s="321"/>
      <c r="G244" s="295"/>
      <c r="H244" s="309" t="str">
        <f>IF(G244&gt;=0.1,VLOOKUP(F244,F$504:I$935,4,FALSE),"")</f>
        <v/>
      </c>
      <c r="I244" s="73" t="str">
        <f>IF(ISERROR(H244*G244),"",H244*G244)</f>
        <v/>
      </c>
      <c r="J244" s="565"/>
      <c r="AG244" s="641" t="str">
        <f t="shared" si="86"/>
        <v/>
      </c>
      <c r="AH244" s="641" t="str">
        <f t="shared" si="87"/>
        <v/>
      </c>
      <c r="AI244" s="641" t="str">
        <f t="shared" si="88"/>
        <v/>
      </c>
      <c r="AL244" s="641" t="str">
        <f t="shared" si="92"/>
        <v/>
      </c>
      <c r="AM244" s="936" t="str">
        <f t="shared" si="89"/>
        <v/>
      </c>
      <c r="AN244" s="641">
        <f t="shared" si="90"/>
        <v>0</v>
      </c>
      <c r="AO244" s="641" t="str">
        <f t="shared" si="91"/>
        <v/>
      </c>
      <c r="AP244" s="929" t="str">
        <f t="shared" si="93"/>
        <v/>
      </c>
    </row>
    <row r="245" spans="2:42" ht="15" hidden="1" x14ac:dyDescent="0.2">
      <c r="B245" s="93"/>
      <c r="C245" s="551"/>
      <c r="D245" s="432"/>
      <c r="E245" s="433"/>
      <c r="F245" s="555"/>
      <c r="G245" s="439"/>
      <c r="H245" s="556"/>
      <c r="I245" s="249"/>
      <c r="J245" s="565"/>
      <c r="AG245" s="641" t="str">
        <f t="shared" si="86"/>
        <v/>
      </c>
      <c r="AH245" s="641" t="str">
        <f t="shared" si="87"/>
        <v/>
      </c>
      <c r="AI245" s="641" t="str">
        <f t="shared" si="88"/>
        <v/>
      </c>
      <c r="AL245" s="641" t="str">
        <f t="shared" si="92"/>
        <v/>
      </c>
      <c r="AM245" s="936" t="str">
        <f t="shared" si="89"/>
        <v/>
      </c>
      <c r="AN245" s="641">
        <f t="shared" si="90"/>
        <v>0</v>
      </c>
      <c r="AO245" s="641" t="str">
        <f t="shared" si="91"/>
        <v/>
      </c>
      <c r="AP245" s="929" t="str">
        <f t="shared" si="93"/>
        <v/>
      </c>
    </row>
    <row r="246" spans="2:42" ht="18" x14ac:dyDescent="0.2">
      <c r="B246" s="93"/>
      <c r="C246" s="557"/>
      <c r="D246" s="562" t="str">
        <f>IF(IF(AND(G259&gt;=1,OR(G160&gt;=1,G140&gt;=1,G120&gt;=1,G97&gt;=1,G78&gt;=1,G59&gt;=1,G40&gt;=1)),"PLEASE CHECK DO YOU JBOX PLATE")=FALSE,"",IF(AND(G259&gt;=1,OR(G160&gt;=1,G140&gt;=1,G120&gt;=1,G97&gt;=1,G78&gt;=1,G59&gt;=1,G40&gt;=1)),"PLEASE CHECK DO YOU JBOX PLATE"))</f>
        <v>PLEASE CHECK DO YOU JBOX PLATE</v>
      </c>
      <c r="E246" s="558"/>
      <c r="F246" s="560"/>
      <c r="G246" s="495"/>
      <c r="H246" s="559"/>
      <c r="I246" s="438"/>
      <c r="J246" s="565"/>
      <c r="AG246" s="641" t="str">
        <f t="shared" si="86"/>
        <v>PLEASE CHECK DO YOU JBOX PLATE</v>
      </c>
      <c r="AH246" s="641" t="str">
        <f t="shared" si="87"/>
        <v/>
      </c>
      <c r="AI246" s="641" t="str">
        <f t="shared" si="88"/>
        <v/>
      </c>
      <c r="AL246" s="641" t="str">
        <f t="shared" si="92"/>
        <v/>
      </c>
      <c r="AM246" s="936" t="str">
        <f t="shared" si="89"/>
        <v/>
      </c>
      <c r="AN246" s="641">
        <f t="shared" si="90"/>
        <v>0</v>
      </c>
      <c r="AO246" s="641" t="str">
        <f t="shared" si="91"/>
        <v/>
      </c>
      <c r="AP246" s="929" t="str">
        <f t="shared" si="93"/>
        <v/>
      </c>
    </row>
    <row r="247" spans="2:42" ht="18" x14ac:dyDescent="0.2">
      <c r="B247" s="93"/>
      <c r="C247" s="243" t="s">
        <v>100</v>
      </c>
      <c r="D247" s="563" t="str">
        <f>IF(IF(AND(G259&gt;=1,OR(G155&gt;=1,G135&gt;=1,G115&gt;=1,G92&gt;=1,G73&gt;=1,G54&gt;=1,G35&gt;=1)),"PLEASE CHECK DO YOU NEED BASE PLATE &amp; PIVOT BASE")=FALSE,"",IF(AND(G259&gt;=1,OR(G155&gt;=1,G135&gt;=1,G115&gt;=1,G92&gt;=1,G73&gt;=1,G54&gt;=1,G35&gt;=1)),"PLEASE CHECK DO YOU NEED BASE PLATE &amp; PIVOT BASE"))</f>
        <v>PLEASE CHECK DO YOU NEED BASE PLATE &amp; PIVOT BASE</v>
      </c>
      <c r="E247" s="561"/>
      <c r="F247" s="560"/>
      <c r="G247" s="339"/>
      <c r="H247" s="229"/>
      <c r="I247" s="230"/>
      <c r="J247" s="565"/>
      <c r="L247" s="641" t="str">
        <f>PROPER(F247)</f>
        <v/>
      </c>
      <c r="AG247" s="641" t="str">
        <f t="shared" si="86"/>
        <v>PLEASE CHECK DO YOU NEED BASE PLATE &amp; PIVOT BASE</v>
      </c>
      <c r="AH247" s="641" t="str">
        <f t="shared" si="87"/>
        <v/>
      </c>
      <c r="AI247" s="641" t="str">
        <f t="shared" si="88"/>
        <v/>
      </c>
      <c r="AL247" s="641" t="str">
        <f t="shared" si="92"/>
        <v/>
      </c>
      <c r="AM247" s="936" t="str">
        <f t="shared" si="89"/>
        <v/>
      </c>
      <c r="AN247" s="641">
        <f t="shared" si="90"/>
        <v>0</v>
      </c>
      <c r="AO247" s="641" t="str">
        <f t="shared" si="91"/>
        <v/>
      </c>
      <c r="AP247" s="929" t="str">
        <f t="shared" si="93"/>
        <v/>
      </c>
    </row>
    <row r="248" spans="2:42" ht="63.75" hidden="1" x14ac:dyDescent="0.2">
      <c r="B248" s="93"/>
      <c r="C248" s="226"/>
      <c r="D248" s="366" t="e">
        <f t="shared" ref="D248:D262" si="106">VLOOKUP($F248,$F$505:$I$935,3,FALSE)</f>
        <v>#N/A</v>
      </c>
      <c r="E248" s="9" t="e">
        <f t="shared" ref="E248:E262" si="107">VLOOKUP($F248,$F$505:$I$935,2,FALSE)</f>
        <v>#N/A</v>
      </c>
      <c r="F248" s="321" t="s">
        <v>324</v>
      </c>
      <c r="G248" s="320"/>
      <c r="H248" s="396" t="str">
        <f t="shared" ref="H248:H267" si="108">IF(G248&gt;=0.1,VLOOKUP(F248,F$504:I$935,4,FALSE),"")</f>
        <v/>
      </c>
      <c r="I248" s="73" t="str">
        <f t="shared" ref="I248:I272" si="109">IF(ISERROR(H248*G248),"",H248*G248)</f>
        <v/>
      </c>
      <c r="J248" s="565"/>
      <c r="AG248" s="641" t="e">
        <f t="shared" ref="AG248:AG315" si="110">IF(D248="","",D248)</f>
        <v>#N/A</v>
      </c>
      <c r="AH248" s="641" t="e">
        <f t="shared" ref="AH248:AH315" si="111">IF(E248="","",E248)</f>
        <v>#N/A</v>
      </c>
      <c r="AI248" s="641" t="str">
        <f t="shared" ref="AI248:AI315" si="112">IF(F248="","",F248)</f>
        <v xml:space="preserve">Floor stand in aluminum 1500 mm. The stand can either be bolted directly in the floor, on the floor plate P100515 or mounted on the foot A100043. 
Bracket A100141 suits this floor stand. 
</v>
      </c>
      <c r="AL248" s="641" t="str">
        <f t="shared" ref="AL248:AL327" si="113">IF(G248&gt;0,I248,"")</f>
        <v/>
      </c>
      <c r="AM248" s="936" t="str">
        <f t="shared" ref="AM248:AM327" si="114">AL248</f>
        <v/>
      </c>
      <c r="AN248" s="641">
        <f t="shared" ref="AN248:AN315" si="115">IF(G248="",0,G248)</f>
        <v>0</v>
      </c>
      <c r="AO248" s="641" t="str">
        <f t="shared" ref="AO248:AO315" si="116">IF(AN248&gt;0,"Show", "")</f>
        <v/>
      </c>
      <c r="AP248" s="929" t="str">
        <f t="shared" si="93"/>
        <v/>
      </c>
    </row>
    <row r="249" spans="2:42" ht="63.75" hidden="1" x14ac:dyDescent="0.2">
      <c r="B249" s="93"/>
      <c r="C249" s="226"/>
      <c r="D249" s="366" t="e">
        <f t="shared" si="106"/>
        <v>#N/A</v>
      </c>
      <c r="E249" s="9" t="e">
        <f t="shared" si="107"/>
        <v>#N/A</v>
      </c>
      <c r="F249" s="321" t="s">
        <v>466</v>
      </c>
      <c r="G249" s="320"/>
      <c r="H249" s="396" t="str">
        <f t="shared" si="108"/>
        <v/>
      </c>
      <c r="I249" s="73" t="str">
        <f t="shared" si="109"/>
        <v/>
      </c>
      <c r="J249" s="565"/>
      <c r="AG249" s="641" t="e">
        <f t="shared" si="110"/>
        <v>#N/A</v>
      </c>
      <c r="AH249" s="641" t="e">
        <f t="shared" si="111"/>
        <v>#N/A</v>
      </c>
      <c r="AI249" s="641" t="str">
        <f t="shared" si="112"/>
        <v xml:space="preserve">Floor stand in aluminum 2000 mm. The stand can either be bolted directly in the floor, on the floor plate P100515 or mounted on the foot A100367. 
</v>
      </c>
      <c r="AL249" s="641" t="str">
        <f t="shared" si="113"/>
        <v/>
      </c>
      <c r="AM249" s="936" t="str">
        <f t="shared" si="114"/>
        <v/>
      </c>
      <c r="AN249" s="641">
        <f t="shared" si="115"/>
        <v>0</v>
      </c>
      <c r="AO249" s="641" t="str">
        <f t="shared" si="116"/>
        <v/>
      </c>
      <c r="AP249" s="929" t="str">
        <f t="shared" si="93"/>
        <v/>
      </c>
    </row>
    <row r="250" spans="2:42" ht="76.5" hidden="1" x14ac:dyDescent="0.2">
      <c r="B250" s="93"/>
      <c r="C250" s="226"/>
      <c r="D250" s="366" t="e">
        <f t="shared" si="106"/>
        <v>#N/A</v>
      </c>
      <c r="E250" s="9" t="e">
        <f t="shared" si="107"/>
        <v>#N/A</v>
      </c>
      <c r="F250" s="321" t="s">
        <v>327</v>
      </c>
      <c r="G250" s="320"/>
      <c r="H250" s="396" t="str">
        <f t="shared" si="108"/>
        <v/>
      </c>
      <c r="I250" s="73" t="str">
        <f t="shared" si="109"/>
        <v/>
      </c>
      <c r="J250" s="565"/>
      <c r="AG250" s="641" t="e">
        <f t="shared" si="110"/>
        <v>#N/A</v>
      </c>
      <c r="AH250" s="641" t="e">
        <f t="shared" si="111"/>
        <v>#N/A</v>
      </c>
      <c r="AI250" s="641" t="str">
        <f t="shared" si="112"/>
        <v xml:space="preserve">Motorized floor stand in aluminum. Adjustable from 1050 to 1500 mm. Other physical dimensions same as the base stands above. 
Built in motordriveboard for USB connection to the printer and required software APP included.
</v>
      </c>
      <c r="AL250" s="641" t="str">
        <f t="shared" si="113"/>
        <v/>
      </c>
      <c r="AM250" s="936" t="str">
        <f t="shared" si="114"/>
        <v/>
      </c>
      <c r="AN250" s="641">
        <f t="shared" si="115"/>
        <v>0</v>
      </c>
      <c r="AO250" s="641" t="str">
        <f t="shared" si="116"/>
        <v/>
      </c>
      <c r="AP250" s="929" t="str">
        <f t="shared" si="93"/>
        <v/>
      </c>
    </row>
    <row r="251" spans="2:42" ht="76.5" hidden="1" x14ac:dyDescent="0.2">
      <c r="B251" s="93"/>
      <c r="C251" s="226"/>
      <c r="D251" s="366" t="e">
        <f t="shared" si="106"/>
        <v>#N/A</v>
      </c>
      <c r="E251" s="9" t="e">
        <f t="shared" si="107"/>
        <v>#N/A</v>
      </c>
      <c r="F251" s="321" t="s">
        <v>469</v>
      </c>
      <c r="G251" s="320"/>
      <c r="H251" s="396" t="str">
        <f t="shared" si="108"/>
        <v/>
      </c>
      <c r="I251" s="73" t="str">
        <f>IF(ISERROR(H251*G251),"",H251*G251)</f>
        <v/>
      </c>
      <c r="J251" s="565"/>
      <c r="AG251" s="641" t="e">
        <f t="shared" si="110"/>
        <v>#N/A</v>
      </c>
      <c r="AH251" s="641" t="e">
        <f t="shared" si="111"/>
        <v>#N/A</v>
      </c>
      <c r="AI251" s="641" t="str">
        <f t="shared" si="112"/>
        <v xml:space="preserve">Motorized floor stand in aluminum. Adjustable from 1100 to 1500 mm. Other physical dimensions same as the base stands above. 
Built in motordriveboard for USB connection to the printer and required software APP included.
</v>
      </c>
      <c r="AL251" s="641" t="str">
        <f t="shared" si="113"/>
        <v/>
      </c>
      <c r="AM251" s="936" t="str">
        <f t="shared" si="114"/>
        <v/>
      </c>
      <c r="AN251" s="641">
        <f t="shared" si="115"/>
        <v>0</v>
      </c>
      <c r="AO251" s="641" t="str">
        <f t="shared" si="116"/>
        <v/>
      </c>
      <c r="AP251" s="929" t="str">
        <f t="shared" si="93"/>
        <v/>
      </c>
    </row>
    <row r="252" spans="2:42" ht="76.5" hidden="1" x14ac:dyDescent="0.2">
      <c r="B252" s="93"/>
      <c r="C252" s="226"/>
      <c r="D252" s="366" t="e">
        <f t="shared" si="106"/>
        <v>#N/A</v>
      </c>
      <c r="E252" s="9" t="e">
        <f t="shared" si="107"/>
        <v>#N/A</v>
      </c>
      <c r="F252" s="321" t="s">
        <v>328</v>
      </c>
      <c r="G252" s="320"/>
      <c r="H252" s="396" t="str">
        <f t="shared" si="108"/>
        <v/>
      </c>
      <c r="I252" s="73" t="str">
        <f t="shared" si="109"/>
        <v/>
      </c>
      <c r="J252" s="565"/>
      <c r="AG252" s="641" t="e">
        <f t="shared" si="110"/>
        <v>#N/A</v>
      </c>
      <c r="AH252" s="641" t="e">
        <f t="shared" si="111"/>
        <v>#N/A</v>
      </c>
      <c r="AI252" s="641" t="str">
        <f t="shared" si="112"/>
        <v xml:space="preserve">Motorized floor stand in aluminum. Adjustable from 650 to 1050 mm. Other physical dimensions same as the base stands above. 
Built in motordriveboard for USB connection to the printer and required software APP included.
</v>
      </c>
      <c r="AL252" s="641" t="str">
        <f t="shared" si="113"/>
        <v/>
      </c>
      <c r="AM252" s="936" t="str">
        <f t="shared" si="114"/>
        <v/>
      </c>
      <c r="AN252" s="641">
        <f t="shared" si="115"/>
        <v>0</v>
      </c>
      <c r="AO252" s="641" t="str">
        <f t="shared" si="116"/>
        <v/>
      </c>
      <c r="AP252" s="929" t="str">
        <f t="shared" ref="AP252:AP316" si="117">IF(AK252=0,"", AK252)</f>
        <v/>
      </c>
    </row>
    <row r="253" spans="2:42" ht="76.5" hidden="1" x14ac:dyDescent="0.2">
      <c r="B253" s="93"/>
      <c r="C253" s="364"/>
      <c r="D253" s="366" t="e">
        <f t="shared" si="106"/>
        <v>#N/A</v>
      </c>
      <c r="E253" s="9" t="e">
        <f t="shared" si="107"/>
        <v>#N/A</v>
      </c>
      <c r="F253" s="321" t="s">
        <v>329</v>
      </c>
      <c r="G253" s="320"/>
      <c r="H253" s="396" t="str">
        <f t="shared" si="108"/>
        <v/>
      </c>
      <c r="I253" s="73" t="str">
        <f t="shared" si="109"/>
        <v/>
      </c>
      <c r="J253" s="565"/>
      <c r="AG253" s="641" t="e">
        <f t="shared" si="110"/>
        <v>#N/A</v>
      </c>
      <c r="AH253" s="641" t="e">
        <f t="shared" si="111"/>
        <v>#N/A</v>
      </c>
      <c r="AI253" s="641" t="str">
        <f t="shared" si="112"/>
        <v xml:space="preserve">Motorized floor stand in aluminum. Adjustable from 350 to 550 mm. Other physical dimensions same as the base stands above. 
Built in motordriveboard for USB connection to the printer and required software APP included.
</v>
      </c>
      <c r="AL253" s="641" t="str">
        <f t="shared" si="113"/>
        <v/>
      </c>
      <c r="AM253" s="936" t="str">
        <f t="shared" si="114"/>
        <v/>
      </c>
      <c r="AN253" s="641">
        <f t="shared" si="115"/>
        <v>0</v>
      </c>
      <c r="AO253" s="641" t="str">
        <f t="shared" si="116"/>
        <v/>
      </c>
      <c r="AP253" s="929" t="str">
        <f t="shared" si="117"/>
        <v/>
      </c>
    </row>
    <row r="254" spans="2:42" ht="36.75" hidden="1" customHeight="1" x14ac:dyDescent="0.2">
      <c r="B254" s="93"/>
      <c r="C254" s="243"/>
      <c r="D254" s="366" t="str">
        <f t="shared" si="106"/>
        <v>A100053</v>
      </c>
      <c r="E254" s="9">
        <f t="shared" si="107"/>
        <v>23020063</v>
      </c>
      <c r="F254" s="321" t="s">
        <v>330</v>
      </c>
      <c r="G254" s="320"/>
      <c r="H254" s="396" t="str">
        <f t="shared" si="108"/>
        <v/>
      </c>
      <c r="I254" s="73" t="str">
        <f t="shared" si="109"/>
        <v/>
      </c>
      <c r="J254" s="565"/>
      <c r="AG254" s="641" t="str">
        <f t="shared" si="110"/>
        <v>A100053</v>
      </c>
      <c r="AH254" s="641">
        <f t="shared" si="111"/>
        <v>23020063</v>
      </c>
      <c r="AI254" s="641" t="str">
        <f t="shared" si="112"/>
        <v>For mounting A100255 horizontalls on a vertical base stand or Adj stand.</v>
      </c>
      <c r="AL254" s="641" t="str">
        <f t="shared" si="113"/>
        <v/>
      </c>
      <c r="AM254" s="936" t="str">
        <f t="shared" si="114"/>
        <v/>
      </c>
      <c r="AN254" s="641">
        <f t="shared" si="115"/>
        <v>0</v>
      </c>
      <c r="AO254" s="641" t="str">
        <f t="shared" si="116"/>
        <v/>
      </c>
      <c r="AP254" s="929" t="str">
        <f t="shared" si="117"/>
        <v/>
      </c>
    </row>
    <row r="255" spans="2:42" ht="63.75" hidden="1" x14ac:dyDescent="0.2">
      <c r="B255" s="93"/>
      <c r="C255" s="371"/>
      <c r="D255" s="366" t="e">
        <f t="shared" si="106"/>
        <v>#N/A</v>
      </c>
      <c r="E255" s="9" t="e">
        <f t="shared" si="107"/>
        <v>#N/A</v>
      </c>
      <c r="F255" s="321" t="s">
        <v>331</v>
      </c>
      <c r="G255" s="320"/>
      <c r="H255" s="396" t="str">
        <f t="shared" si="108"/>
        <v/>
      </c>
      <c r="I255" s="73" t="str">
        <f t="shared" si="109"/>
        <v/>
      </c>
      <c r="J255" s="565"/>
      <c r="AG255" s="641" t="e">
        <f t="shared" si="110"/>
        <v>#N/A</v>
      </c>
      <c r="AH255" s="641" t="e">
        <f t="shared" si="111"/>
        <v>#N/A</v>
      </c>
      <c r="AI255" s="641" t="str">
        <f t="shared" si="112"/>
        <v xml:space="preserve">Heavy duty mounting foot in aluminum. Adjustable rubber feet and built in wheels for convenient relocation of the system. Suits all Autolabel floor stands.
</v>
      </c>
      <c r="AL255" s="641" t="str">
        <f t="shared" si="113"/>
        <v/>
      </c>
      <c r="AM255" s="936" t="str">
        <f t="shared" si="114"/>
        <v/>
      </c>
      <c r="AN255" s="641">
        <f t="shared" si="115"/>
        <v>0</v>
      </c>
      <c r="AO255" s="641" t="str">
        <f t="shared" si="116"/>
        <v/>
      </c>
      <c r="AP255" s="929" t="str">
        <f t="shared" si="117"/>
        <v/>
      </c>
    </row>
    <row r="256" spans="2:42" ht="63.75" hidden="1" x14ac:dyDescent="0.2">
      <c r="B256" s="93"/>
      <c r="C256" s="371"/>
      <c r="D256" s="366" t="str">
        <f t="shared" si="106"/>
        <v>P101171</v>
      </c>
      <c r="E256" s="9">
        <f t="shared" si="107"/>
        <v>23020008</v>
      </c>
      <c r="F256" s="321" t="s">
        <v>333</v>
      </c>
      <c r="G256" s="320"/>
      <c r="H256" s="396" t="str">
        <f t="shared" si="108"/>
        <v/>
      </c>
      <c r="I256" s="73" t="str">
        <f t="shared" si="109"/>
        <v/>
      </c>
      <c r="J256" s="565"/>
      <c r="AG256" s="641" t="str">
        <f t="shared" si="110"/>
        <v>P101171</v>
      </c>
      <c r="AH256" s="641">
        <f t="shared" si="111"/>
        <v>23020008</v>
      </c>
      <c r="AI256" s="641" t="str">
        <f t="shared" si="112"/>
        <v xml:space="preserve">Mounting plate in stainless steel for  floor stand. Suitable when the floor stand shall be bolted in the floor. Suits all Autolabel floor stands.
</v>
      </c>
      <c r="AL256" s="641" t="str">
        <f t="shared" si="113"/>
        <v/>
      </c>
      <c r="AM256" s="936" t="str">
        <f t="shared" si="114"/>
        <v/>
      </c>
      <c r="AN256" s="641">
        <f t="shared" si="115"/>
        <v>0</v>
      </c>
      <c r="AO256" s="641" t="str">
        <f t="shared" si="116"/>
        <v/>
      </c>
      <c r="AP256" s="929" t="str">
        <f t="shared" si="117"/>
        <v/>
      </c>
    </row>
    <row r="257" spans="2:42" ht="51" hidden="1" x14ac:dyDescent="0.2">
      <c r="B257" s="93"/>
      <c r="C257" s="371"/>
      <c r="D257" s="366" t="e">
        <f t="shared" si="106"/>
        <v>#N/A</v>
      </c>
      <c r="E257" s="9" t="e">
        <f t="shared" si="107"/>
        <v>#N/A</v>
      </c>
      <c r="F257" s="321" t="s">
        <v>336</v>
      </c>
      <c r="G257" s="320"/>
      <c r="H257" s="396" t="str">
        <f t="shared" si="108"/>
        <v/>
      </c>
      <c r="I257" s="73" t="str">
        <f t="shared" si="109"/>
        <v/>
      </c>
      <c r="J257" s="565"/>
      <c r="AG257" s="641" t="e">
        <f t="shared" si="110"/>
        <v>#N/A</v>
      </c>
      <c r="AH257" s="641" t="e">
        <f t="shared" si="111"/>
        <v>#N/A</v>
      </c>
      <c r="AI257" s="641" t="str">
        <f t="shared" si="112"/>
        <v xml:space="preserve">This module is used for mounting one of the mounting tubes P100446 or P100077 on any of the Autolabel floor stands. 
</v>
      </c>
      <c r="AL257" s="641" t="str">
        <f t="shared" si="113"/>
        <v/>
      </c>
      <c r="AM257" s="936" t="str">
        <f t="shared" si="114"/>
        <v/>
      </c>
      <c r="AN257" s="641">
        <f t="shared" si="115"/>
        <v>0</v>
      </c>
      <c r="AO257" s="641" t="str">
        <f t="shared" si="116"/>
        <v/>
      </c>
      <c r="AP257" s="929" t="str">
        <f t="shared" si="117"/>
        <v/>
      </c>
    </row>
    <row r="258" spans="2:42" ht="76.5" hidden="1" x14ac:dyDescent="0.2">
      <c r="B258" s="93"/>
      <c r="C258" s="371"/>
      <c r="D258" s="366" t="e">
        <f t="shared" si="106"/>
        <v>#N/A</v>
      </c>
      <c r="E258" s="9" t="e">
        <f t="shared" si="107"/>
        <v>#N/A</v>
      </c>
      <c r="F258" s="321" t="s">
        <v>337</v>
      </c>
      <c r="G258" s="320"/>
      <c r="H258" s="396" t="str">
        <f t="shared" si="108"/>
        <v/>
      </c>
      <c r="I258" s="73" t="str">
        <f t="shared" si="109"/>
        <v/>
      </c>
      <c r="J258" s="565"/>
      <c r="AG258" s="641" t="e">
        <f t="shared" si="110"/>
        <v>#N/A</v>
      </c>
      <c r="AH258" s="641" t="e">
        <f t="shared" si="111"/>
        <v>#N/A</v>
      </c>
      <c r="AI258" s="641" t="str">
        <f t="shared" si="112"/>
        <v xml:space="preserve">Mounting tube with outer diameter 51 mm and length 460 mm. The mounting tube works together with the tube holder A100141 and allow stable and flexible mounting of the print&amp;apply module.
</v>
      </c>
      <c r="AL258" s="641" t="str">
        <f t="shared" si="113"/>
        <v/>
      </c>
      <c r="AM258" s="936" t="str">
        <f t="shared" si="114"/>
        <v/>
      </c>
      <c r="AN258" s="641">
        <f t="shared" si="115"/>
        <v>0</v>
      </c>
      <c r="AO258" s="641" t="str">
        <f t="shared" si="116"/>
        <v/>
      </c>
      <c r="AP258" s="929" t="str">
        <f t="shared" si="117"/>
        <v/>
      </c>
    </row>
    <row r="259" spans="2:42" ht="15" customHeight="1" x14ac:dyDescent="0.2">
      <c r="B259" s="93"/>
      <c r="C259" s="768"/>
      <c r="D259" s="342" t="str">
        <f t="shared" si="106"/>
        <v>TSM-92153-A-002/01</v>
      </c>
      <c r="E259" s="313">
        <f t="shared" si="107"/>
        <v>13090046</v>
      </c>
      <c r="F259" s="321" t="s">
        <v>524</v>
      </c>
      <c r="G259" s="320">
        <v>2</v>
      </c>
      <c r="H259" s="396">
        <f t="shared" si="108"/>
        <v>990</v>
      </c>
      <c r="I259" s="73">
        <f t="shared" si="109"/>
        <v>1980</v>
      </c>
      <c r="J259" s="565"/>
      <c r="AG259" s="641" t="str">
        <f t="shared" si="110"/>
        <v>TSM-92153-A-002/01</v>
      </c>
      <c r="AH259" s="641">
        <f t="shared" si="111"/>
        <v>13090046</v>
      </c>
      <c r="AI259" s="641" t="str">
        <f t="shared" si="112"/>
        <v>Pivot Base</v>
      </c>
      <c r="AJ259" s="641" t="s">
        <v>897</v>
      </c>
      <c r="AK259" s="931" t="s">
        <v>991</v>
      </c>
      <c r="AL259" s="641">
        <f t="shared" si="113"/>
        <v>1980</v>
      </c>
      <c r="AM259" s="936">
        <f t="shared" si="114"/>
        <v>1980</v>
      </c>
      <c r="AN259" s="641">
        <f t="shared" si="115"/>
        <v>2</v>
      </c>
      <c r="AO259" s="641" t="str">
        <f t="shared" si="116"/>
        <v>Show</v>
      </c>
      <c r="AP259" s="929" t="str">
        <f t="shared" si="117"/>
        <v>Engineering Assembly</v>
      </c>
    </row>
    <row r="260" spans="2:42" ht="15" customHeight="1" x14ac:dyDescent="0.2">
      <c r="B260" s="93"/>
      <c r="C260" s="769"/>
      <c r="D260" s="342" t="str">
        <f t="shared" si="106"/>
        <v>F3S-TGR-NSPR-21-0</v>
      </c>
      <c r="E260" s="313">
        <f t="shared" si="107"/>
        <v>13120076</v>
      </c>
      <c r="F260" s="321" t="s">
        <v>562</v>
      </c>
      <c r="G260" s="320">
        <f>G259</f>
        <v>2</v>
      </c>
      <c r="H260" s="396">
        <f t="shared" si="108"/>
        <v>230</v>
      </c>
      <c r="I260" s="73">
        <f t="shared" si="109"/>
        <v>460</v>
      </c>
      <c r="J260" s="565"/>
      <c r="AG260" s="641" t="str">
        <f t="shared" si="110"/>
        <v>F3S-TGR-NSPR-21-0</v>
      </c>
      <c r="AH260" s="641">
        <f t="shared" si="111"/>
        <v>13120076</v>
      </c>
      <c r="AI260" s="641" t="str">
        <f t="shared" si="112"/>
        <v>Magnetic Swich</v>
      </c>
      <c r="AJ260" s="641" t="s">
        <v>897</v>
      </c>
      <c r="AK260" s="931" t="s">
        <v>991</v>
      </c>
      <c r="AL260" s="641">
        <f t="shared" si="113"/>
        <v>460</v>
      </c>
      <c r="AM260" s="936">
        <f t="shared" si="114"/>
        <v>460</v>
      </c>
      <c r="AN260" s="641">
        <f t="shared" si="115"/>
        <v>2</v>
      </c>
      <c r="AO260" s="641" t="str">
        <f t="shared" si="116"/>
        <v>Show</v>
      </c>
      <c r="AP260" s="929" t="str">
        <f t="shared" si="117"/>
        <v>Engineering Assembly</v>
      </c>
    </row>
    <row r="261" spans="2:42" ht="15" customHeight="1" x14ac:dyDescent="0.2">
      <c r="B261" s="93"/>
      <c r="C261" s="769"/>
      <c r="D261" s="342" t="str">
        <f t="shared" si="106"/>
        <v xml:space="preserve">MCA-1705024 </v>
      </c>
      <c r="E261" s="313">
        <f t="shared" si="107"/>
        <v>13090047</v>
      </c>
      <c r="F261" s="321" t="s">
        <v>525</v>
      </c>
      <c r="G261" s="320">
        <v>0</v>
      </c>
      <c r="H261" s="396" t="str">
        <f t="shared" si="108"/>
        <v/>
      </c>
      <c r="I261" s="73" t="str">
        <f t="shared" si="109"/>
        <v/>
      </c>
      <c r="J261" s="565"/>
      <c r="AG261" s="641" t="str">
        <f t="shared" si="110"/>
        <v xml:space="preserve">MCA-1705024 </v>
      </c>
      <c r="AH261" s="641">
        <f t="shared" si="111"/>
        <v>13090047</v>
      </c>
      <c r="AI261" s="641" t="str">
        <f t="shared" si="112"/>
        <v>Height Extension Base</v>
      </c>
      <c r="AJ261" s="641" t="s">
        <v>897</v>
      </c>
      <c r="AK261" s="931" t="s">
        <v>991</v>
      </c>
      <c r="AL261" s="641" t="str">
        <f t="shared" si="113"/>
        <v/>
      </c>
      <c r="AM261" s="936" t="str">
        <f t="shared" si="114"/>
        <v/>
      </c>
      <c r="AN261" s="641">
        <f t="shared" si="115"/>
        <v>0</v>
      </c>
      <c r="AO261" s="641" t="str">
        <f t="shared" si="116"/>
        <v/>
      </c>
      <c r="AP261" s="929" t="str">
        <f t="shared" si="117"/>
        <v>Engineering Assembly</v>
      </c>
    </row>
    <row r="262" spans="2:42" ht="15" hidden="1" customHeight="1" x14ac:dyDescent="0.2">
      <c r="B262" s="93"/>
      <c r="C262" s="769"/>
      <c r="D262" s="342" t="str">
        <f t="shared" si="106"/>
        <v xml:space="preserve">27021519-01_C-01 </v>
      </c>
      <c r="E262" s="313" t="str">
        <f t="shared" si="107"/>
        <v>P100515/01</v>
      </c>
      <c r="F262" s="321" t="s">
        <v>539</v>
      </c>
      <c r="G262" s="320"/>
      <c r="H262" s="396" t="str">
        <f t="shared" si="108"/>
        <v/>
      </c>
      <c r="I262" s="73" t="str">
        <f t="shared" si="109"/>
        <v/>
      </c>
      <c r="J262" s="565"/>
      <c r="AG262" s="641" t="str">
        <f t="shared" si="110"/>
        <v xml:space="preserve">27021519-01_C-01 </v>
      </c>
      <c r="AH262" s="641" t="str">
        <f t="shared" si="111"/>
        <v>P100515/01</v>
      </c>
      <c r="AI262" s="641" t="str">
        <f t="shared" si="112"/>
        <v>Floor Plate 1 - local option</v>
      </c>
      <c r="AJ262" s="641" t="s">
        <v>856</v>
      </c>
      <c r="AK262" s="931" t="s">
        <v>897</v>
      </c>
      <c r="AL262" s="641" t="str">
        <f t="shared" si="113"/>
        <v/>
      </c>
      <c r="AM262" s="936" t="str">
        <f t="shared" si="114"/>
        <v/>
      </c>
      <c r="AN262" s="641">
        <f t="shared" si="115"/>
        <v>0</v>
      </c>
      <c r="AO262" s="641" t="str">
        <f t="shared" si="116"/>
        <v/>
      </c>
      <c r="AP262" s="929" t="str">
        <f t="shared" si="117"/>
        <v>ENG02</v>
      </c>
    </row>
    <row r="263" spans="2:42" ht="15" hidden="1" customHeight="1" x14ac:dyDescent="0.2">
      <c r="B263" s="93"/>
      <c r="C263" s="769"/>
      <c r="D263" s="366"/>
      <c r="E263" s="9"/>
      <c r="F263" s="321"/>
      <c r="G263" s="320"/>
      <c r="H263" s="396" t="str">
        <f t="shared" si="108"/>
        <v/>
      </c>
      <c r="I263" s="73" t="str">
        <f t="shared" si="109"/>
        <v/>
      </c>
      <c r="J263" s="565"/>
      <c r="AG263" s="641" t="str">
        <f t="shared" si="110"/>
        <v/>
      </c>
      <c r="AH263" s="641" t="str">
        <f t="shared" si="111"/>
        <v/>
      </c>
      <c r="AI263" s="641" t="str">
        <f t="shared" si="112"/>
        <v/>
      </c>
      <c r="AJ263" s="641" t="e">
        <v>#N/A</v>
      </c>
      <c r="AK263" s="931" t="e">
        <f>VLOOKUP(E263,$G$505:$N$891,8,FALSE)</f>
        <v>#N/A</v>
      </c>
      <c r="AL263" s="641" t="str">
        <f t="shared" si="113"/>
        <v/>
      </c>
      <c r="AM263" s="936" t="str">
        <f t="shared" si="114"/>
        <v/>
      </c>
      <c r="AN263" s="641">
        <f t="shared" si="115"/>
        <v>0</v>
      </c>
      <c r="AO263" s="641" t="str">
        <f t="shared" si="116"/>
        <v/>
      </c>
      <c r="AP263" s="929" t="e">
        <f t="shared" si="117"/>
        <v>#N/A</v>
      </c>
    </row>
    <row r="264" spans="2:42" ht="15" hidden="1" customHeight="1" x14ac:dyDescent="0.2">
      <c r="B264" s="93"/>
      <c r="C264" s="769"/>
      <c r="D264" s="366"/>
      <c r="E264" s="9"/>
      <c r="F264" s="321"/>
      <c r="G264" s="320"/>
      <c r="H264" s="396" t="str">
        <f t="shared" si="108"/>
        <v/>
      </c>
      <c r="I264" s="73" t="str">
        <f t="shared" si="109"/>
        <v/>
      </c>
      <c r="J264" s="565"/>
      <c r="AG264" s="641" t="str">
        <f t="shared" si="110"/>
        <v/>
      </c>
      <c r="AH264" s="641" t="str">
        <f t="shared" si="111"/>
        <v/>
      </c>
      <c r="AI264" s="641" t="str">
        <f t="shared" si="112"/>
        <v/>
      </c>
      <c r="AJ264" s="641" t="e">
        <v>#N/A</v>
      </c>
      <c r="AK264" s="931" t="e">
        <f>VLOOKUP(E264,$G$505:$N$891,8,FALSE)</f>
        <v>#N/A</v>
      </c>
      <c r="AL264" s="641" t="str">
        <f t="shared" si="113"/>
        <v/>
      </c>
      <c r="AM264" s="936" t="str">
        <f t="shared" si="114"/>
        <v/>
      </c>
      <c r="AN264" s="641">
        <f t="shared" si="115"/>
        <v>0</v>
      </c>
      <c r="AO264" s="641" t="str">
        <f t="shared" si="116"/>
        <v/>
      </c>
      <c r="AP264" s="929" t="e">
        <f t="shared" si="117"/>
        <v>#N/A</v>
      </c>
    </row>
    <row r="265" spans="2:42" ht="15" hidden="1" customHeight="1" x14ac:dyDescent="0.2">
      <c r="B265" s="93"/>
      <c r="C265" s="769"/>
      <c r="D265" s="366"/>
      <c r="E265" s="9"/>
      <c r="F265" s="321"/>
      <c r="G265" s="320"/>
      <c r="H265" s="396" t="str">
        <f t="shared" si="108"/>
        <v/>
      </c>
      <c r="I265" s="73" t="str">
        <f t="shared" si="109"/>
        <v/>
      </c>
      <c r="J265" s="565"/>
      <c r="AG265" s="641" t="str">
        <f t="shared" si="110"/>
        <v/>
      </c>
      <c r="AH265" s="641" t="str">
        <f t="shared" si="111"/>
        <v/>
      </c>
      <c r="AI265" s="641" t="str">
        <f t="shared" si="112"/>
        <v/>
      </c>
      <c r="AJ265" s="641" t="e">
        <v>#N/A</v>
      </c>
      <c r="AK265" s="931" t="e">
        <f>VLOOKUP(E265,$G$505:$N$891,8,FALSE)</f>
        <v>#N/A</v>
      </c>
      <c r="AL265" s="641" t="str">
        <f t="shared" si="113"/>
        <v/>
      </c>
      <c r="AM265" s="936" t="str">
        <f t="shared" si="114"/>
        <v/>
      </c>
      <c r="AN265" s="641">
        <f t="shared" si="115"/>
        <v>0</v>
      </c>
      <c r="AO265" s="641" t="str">
        <f t="shared" si="116"/>
        <v/>
      </c>
      <c r="AP265" s="929" t="e">
        <f t="shared" si="117"/>
        <v>#N/A</v>
      </c>
    </row>
    <row r="266" spans="2:42" ht="66" hidden="1" customHeight="1" x14ac:dyDescent="0.2">
      <c r="B266" s="93"/>
      <c r="C266" s="769"/>
      <c r="D266" s="366">
        <f>VLOOKUP($F266,$F$505:$I$935,3,FALSE)</f>
        <v>0</v>
      </c>
      <c r="E266" s="313" t="str">
        <f>VLOOKUP($F266,$F$505:$I$935,2,FALSE)</f>
        <v>13090048, 13020149, 04020021, 13120083, 13120094</v>
      </c>
      <c r="F266" s="321" t="s">
        <v>538</v>
      </c>
      <c r="G266" s="320"/>
      <c r="H266" s="396" t="str">
        <f t="shared" si="108"/>
        <v/>
      </c>
      <c r="I266" s="73" t="str">
        <f>IF(ISERROR(H266*G266),"",H266*G266)</f>
        <v/>
      </c>
      <c r="J266" s="565"/>
      <c r="AG266" s="641">
        <f t="shared" si="110"/>
        <v>0</v>
      </c>
      <c r="AH266" s="641" t="str">
        <f t="shared" si="111"/>
        <v>13090048, 13020149, 04020021, 13120083, 13120094</v>
      </c>
      <c r="AI266" s="641" t="str">
        <f t="shared" si="112"/>
        <v>AUTOLABEL X-ADJUSTMENT (with clamp and 520mm lead screw)</v>
      </c>
      <c r="AJ266" s="641" t="s">
        <v>856</v>
      </c>
      <c r="AK266" s="931" t="str">
        <f>VLOOKUP(E266,$G$505:$N$891,8,FALSE)</f>
        <v>LPA02</v>
      </c>
      <c r="AL266" s="641" t="str">
        <f t="shared" si="113"/>
        <v/>
      </c>
      <c r="AM266" s="936" t="str">
        <f t="shared" si="114"/>
        <v/>
      </c>
      <c r="AN266" s="641">
        <f t="shared" si="115"/>
        <v>0</v>
      </c>
      <c r="AO266" s="641" t="str">
        <f t="shared" si="116"/>
        <v/>
      </c>
      <c r="AP266" s="929" t="str">
        <f t="shared" si="117"/>
        <v>LPA02</v>
      </c>
    </row>
    <row r="267" spans="2:42" ht="15" customHeight="1" x14ac:dyDescent="0.2">
      <c r="B267" s="93"/>
      <c r="C267" s="770"/>
      <c r="D267" s="342" t="str">
        <f>VLOOKUP($F267,$F$505:$I$935,3,FALSE)</f>
        <v>P101858</v>
      </c>
      <c r="E267" s="313">
        <f>VLOOKUP($F267,$F$505:$I$935,2,FALSE)</f>
        <v>23020240</v>
      </c>
      <c r="F267" s="321" t="s">
        <v>1013</v>
      </c>
      <c r="G267" s="295"/>
      <c r="H267" s="663" t="str">
        <f t="shared" si="108"/>
        <v/>
      </c>
      <c r="I267" s="73" t="str">
        <f>IF(ISERROR(H267*G267),"",H267*G267)</f>
        <v/>
      </c>
      <c r="J267" s="565"/>
      <c r="AG267" s="641" t="str">
        <f t="shared" si="110"/>
        <v>P101858</v>
      </c>
      <c r="AH267" s="641">
        <f t="shared" si="111"/>
        <v>23020240</v>
      </c>
      <c r="AI267" s="641" t="str">
        <f t="shared" si="112"/>
        <v>Stand Welded Base 1500</v>
      </c>
      <c r="AL267" s="641" t="str">
        <f t="shared" si="113"/>
        <v/>
      </c>
      <c r="AM267" s="936" t="str">
        <f t="shared" si="114"/>
        <v/>
      </c>
      <c r="AN267" s="641">
        <f t="shared" si="115"/>
        <v>0</v>
      </c>
      <c r="AO267" s="641" t="str">
        <f t="shared" si="116"/>
        <v/>
      </c>
      <c r="AP267" s="929" t="str">
        <f t="shared" si="117"/>
        <v/>
      </c>
    </row>
    <row r="268" spans="2:42" ht="15" hidden="1" x14ac:dyDescent="0.2">
      <c r="B268" s="93"/>
      <c r="C268" s="371"/>
      <c r="D268" s="466"/>
      <c r="E268" s="9"/>
      <c r="F268" s="321"/>
      <c r="G268" s="320"/>
      <c r="H268" s="396"/>
      <c r="I268" s="73"/>
      <c r="J268" s="565"/>
      <c r="AG268" s="641" t="str">
        <f t="shared" si="110"/>
        <v/>
      </c>
      <c r="AH268" s="641" t="str">
        <f t="shared" si="111"/>
        <v/>
      </c>
      <c r="AI268" s="641" t="str">
        <f t="shared" si="112"/>
        <v/>
      </c>
      <c r="AJ268" s="641" t="e">
        <v>#N/A</v>
      </c>
      <c r="AK268" s="931" t="e">
        <f>VLOOKUP(E268,$G$505:$N$891,8,FALSE)</f>
        <v>#N/A</v>
      </c>
      <c r="AL268" s="641" t="str">
        <f t="shared" si="113"/>
        <v/>
      </c>
      <c r="AM268" s="936" t="str">
        <f t="shared" si="114"/>
        <v/>
      </c>
      <c r="AN268" s="641">
        <f t="shared" si="115"/>
        <v>0</v>
      </c>
      <c r="AO268" s="641" t="str">
        <f t="shared" si="116"/>
        <v/>
      </c>
      <c r="AP268" s="929" t="e">
        <f t="shared" si="117"/>
        <v>#N/A</v>
      </c>
    </row>
    <row r="269" spans="2:42" ht="15" hidden="1" x14ac:dyDescent="0.2">
      <c r="B269" s="93"/>
      <c r="C269" s="371"/>
      <c r="D269" s="366"/>
      <c r="E269" s="9"/>
      <c r="F269" s="321"/>
      <c r="G269" s="320"/>
      <c r="H269" s="396"/>
      <c r="I269" s="73"/>
      <c r="J269" s="565"/>
      <c r="AG269" s="641" t="str">
        <f t="shared" si="110"/>
        <v/>
      </c>
      <c r="AH269" s="641" t="str">
        <f t="shared" si="111"/>
        <v/>
      </c>
      <c r="AI269" s="641" t="str">
        <f t="shared" si="112"/>
        <v/>
      </c>
      <c r="AJ269" s="641" t="e">
        <v>#N/A</v>
      </c>
      <c r="AK269" s="931" t="e">
        <f>VLOOKUP(E269,$G$505:$N$891,8,FALSE)</f>
        <v>#N/A</v>
      </c>
      <c r="AL269" s="641" t="str">
        <f t="shared" si="113"/>
        <v/>
      </c>
      <c r="AM269" s="936" t="str">
        <f t="shared" si="114"/>
        <v/>
      </c>
      <c r="AN269" s="641">
        <f t="shared" si="115"/>
        <v>0</v>
      </c>
      <c r="AO269" s="641" t="str">
        <f t="shared" si="116"/>
        <v/>
      </c>
      <c r="AP269" s="929" t="e">
        <f t="shared" si="117"/>
        <v>#N/A</v>
      </c>
    </row>
    <row r="270" spans="2:42" ht="15" hidden="1" x14ac:dyDescent="0.2">
      <c r="B270" s="93"/>
      <c r="C270" s="371"/>
      <c r="D270" s="366"/>
      <c r="E270" s="9"/>
      <c r="F270" s="321"/>
      <c r="G270" s="295"/>
      <c r="H270" s="309" t="str">
        <f>IF(G270&gt;=0.1,VLOOKUP(F270,F$504:I$935,4,FALSE),"")</f>
        <v/>
      </c>
      <c r="I270" s="73" t="str">
        <f t="shared" si="109"/>
        <v/>
      </c>
      <c r="J270" s="565"/>
      <c r="AG270" s="641" t="str">
        <f t="shared" si="110"/>
        <v/>
      </c>
      <c r="AH270" s="641" t="str">
        <f t="shared" si="111"/>
        <v/>
      </c>
      <c r="AI270" s="641" t="str">
        <f t="shared" si="112"/>
        <v/>
      </c>
      <c r="AJ270" s="641" t="e">
        <v>#N/A</v>
      </c>
      <c r="AK270" s="931" t="e">
        <f>VLOOKUP(E270,$G$505:$N$891,8,FALSE)</f>
        <v>#N/A</v>
      </c>
      <c r="AL270" s="641" t="str">
        <f t="shared" si="113"/>
        <v/>
      </c>
      <c r="AM270" s="936" t="str">
        <f t="shared" si="114"/>
        <v/>
      </c>
      <c r="AN270" s="641">
        <f t="shared" si="115"/>
        <v>0</v>
      </c>
      <c r="AO270" s="641" t="str">
        <f t="shared" si="116"/>
        <v/>
      </c>
      <c r="AP270" s="929" t="e">
        <f t="shared" si="117"/>
        <v>#N/A</v>
      </c>
    </row>
    <row r="271" spans="2:42" ht="15" hidden="1" x14ac:dyDescent="0.2">
      <c r="B271" s="93"/>
      <c r="C271" s="371"/>
      <c r="D271" s="366"/>
      <c r="E271" s="9"/>
      <c r="F271" s="321"/>
      <c r="G271" s="295"/>
      <c r="H271" s="396" t="str">
        <f>IF(G271&gt;=0.1,VLOOKUP(F271,F$504:I$935,4,FALSE),"")</f>
        <v/>
      </c>
      <c r="I271" s="73" t="str">
        <f t="shared" si="109"/>
        <v/>
      </c>
      <c r="J271" s="565"/>
      <c r="AG271" s="641" t="str">
        <f t="shared" si="110"/>
        <v/>
      </c>
      <c r="AH271" s="641" t="str">
        <f t="shared" si="111"/>
        <v/>
      </c>
      <c r="AI271" s="641" t="str">
        <f t="shared" si="112"/>
        <v/>
      </c>
      <c r="AJ271" s="641" t="e">
        <v>#N/A</v>
      </c>
      <c r="AK271" s="931" t="e">
        <f>VLOOKUP(E271,$G$505:$N$891,8,FALSE)</f>
        <v>#N/A</v>
      </c>
      <c r="AL271" s="641" t="str">
        <f t="shared" si="113"/>
        <v/>
      </c>
      <c r="AM271" s="936" t="str">
        <f t="shared" si="114"/>
        <v/>
      </c>
      <c r="AN271" s="641">
        <f t="shared" si="115"/>
        <v>0</v>
      </c>
      <c r="AO271" s="641" t="str">
        <f t="shared" si="116"/>
        <v/>
      </c>
      <c r="AP271" s="929" t="e">
        <f t="shared" si="117"/>
        <v>#N/A</v>
      </c>
    </row>
    <row r="272" spans="2:42" ht="39.75" hidden="1" customHeight="1" x14ac:dyDescent="0.2">
      <c r="B272" s="93"/>
      <c r="C272" s="371"/>
      <c r="D272" s="366" t="str">
        <f>VLOOKUP($F272,$F$505:$I$935,3,FALSE)</f>
        <v>P100141</v>
      </c>
      <c r="E272" s="9">
        <f>VLOOKUP($F272,$F$505:$I$935,2,FALSE)</f>
        <v>23020064</v>
      </c>
      <c r="F272" s="322" t="s">
        <v>338</v>
      </c>
      <c r="G272" s="295"/>
      <c r="H272" s="309" t="str">
        <f>IF(G272&gt;=0.1,VLOOKUP(F272,F$504:I$935,4,FALSE),"")</f>
        <v/>
      </c>
      <c r="I272" s="73" t="str">
        <f t="shared" si="109"/>
        <v/>
      </c>
      <c r="J272" s="565"/>
      <c r="AG272" s="641" t="str">
        <f t="shared" si="110"/>
        <v>P100141</v>
      </c>
      <c r="AH272" s="641">
        <f t="shared" si="111"/>
        <v>23020064</v>
      </c>
      <c r="AI272" s="641" t="str">
        <f t="shared" si="112"/>
        <v>Mounting spacer for simplified mounting.</v>
      </c>
      <c r="AJ272" s="641" t="s">
        <v>856</v>
      </c>
      <c r="AK272" s="931" t="str">
        <f>VLOOKUP(E272,$G$505:$N$891,8,FALSE)</f>
        <v>LPA02</v>
      </c>
      <c r="AL272" s="641" t="str">
        <f t="shared" si="113"/>
        <v/>
      </c>
      <c r="AM272" s="936" t="str">
        <f t="shared" si="114"/>
        <v/>
      </c>
      <c r="AN272" s="641">
        <f t="shared" si="115"/>
        <v>0</v>
      </c>
      <c r="AO272" s="641" t="str">
        <f t="shared" si="116"/>
        <v/>
      </c>
      <c r="AP272" s="929" t="str">
        <f t="shared" si="117"/>
        <v>LPA02</v>
      </c>
    </row>
    <row r="273" spans="2:42" ht="6.75" customHeight="1" x14ac:dyDescent="0.2">
      <c r="B273" s="93"/>
      <c r="C273" s="326"/>
      <c r="D273" s="325"/>
      <c r="E273" s="299"/>
      <c r="F273" s="323"/>
      <c r="G273" s="324"/>
      <c r="H273" s="229"/>
      <c r="I273" s="238"/>
      <c r="J273" s="565"/>
      <c r="AG273" s="641" t="str">
        <f t="shared" si="110"/>
        <v/>
      </c>
      <c r="AH273" s="641" t="str">
        <f t="shared" si="111"/>
        <v/>
      </c>
      <c r="AI273" s="641" t="str">
        <f t="shared" si="112"/>
        <v/>
      </c>
      <c r="AL273" s="641" t="str">
        <f t="shared" si="113"/>
        <v/>
      </c>
      <c r="AM273" s="936" t="str">
        <f t="shared" si="114"/>
        <v/>
      </c>
      <c r="AN273" s="641">
        <f t="shared" si="115"/>
        <v>0</v>
      </c>
      <c r="AO273" s="641" t="str">
        <f t="shared" si="116"/>
        <v/>
      </c>
      <c r="AP273" s="929" t="str">
        <f t="shared" si="117"/>
        <v/>
      </c>
    </row>
    <row r="274" spans="2:42" hidden="1" x14ac:dyDescent="0.2">
      <c r="B274" s="93"/>
      <c r="C274" s="771"/>
      <c r="D274" s="369" t="str">
        <f>VLOOKUP($F274,$F$505:$I$935,3,FALSE)</f>
        <v>A100038</v>
      </c>
      <c r="E274" s="128">
        <f>VLOOKUP($F274,$F$505:$I$935,2,FALSE)</f>
        <v>23020006</v>
      </c>
      <c r="F274" s="322" t="s">
        <v>425</v>
      </c>
      <c r="G274" s="320"/>
      <c r="H274" s="396" t="str">
        <f>IF(G274&gt;=0.1,VLOOKUP(F274,F$504:I$935,4,FALSE),"")</f>
        <v/>
      </c>
      <c r="I274" s="73" t="str">
        <f>IF(ISERROR(H274*G274),"",H274*G274)</f>
        <v/>
      </c>
      <c r="J274" s="565"/>
      <c r="AG274" s="641" t="str">
        <f t="shared" si="110"/>
        <v>A100038</v>
      </c>
      <c r="AH274" s="641">
        <f t="shared" si="111"/>
        <v>23020006</v>
      </c>
      <c r="AI274" s="641" t="str">
        <f t="shared" si="112"/>
        <v>Status Beacon</v>
      </c>
      <c r="AJ274" s="641" t="s">
        <v>856</v>
      </c>
      <c r="AK274" s="931" t="s">
        <v>991</v>
      </c>
      <c r="AL274" s="641" t="str">
        <f t="shared" si="113"/>
        <v/>
      </c>
      <c r="AM274" s="936" t="str">
        <f t="shared" si="114"/>
        <v/>
      </c>
      <c r="AN274" s="641">
        <f t="shared" si="115"/>
        <v>0</v>
      </c>
      <c r="AO274" s="641" t="str">
        <f t="shared" si="116"/>
        <v/>
      </c>
      <c r="AP274" s="929" t="str">
        <f t="shared" si="117"/>
        <v>Engineering Assembly</v>
      </c>
    </row>
    <row r="275" spans="2:42" x14ac:dyDescent="0.2">
      <c r="B275" s="93"/>
      <c r="C275" s="772"/>
      <c r="D275" s="369" t="str">
        <f>VLOOKUP($F275,$F$505:$I$935,3,FALSE)</f>
        <v>A100161</v>
      </c>
      <c r="E275" s="128">
        <f>VLOOKUP($F275,$F$505:$I$935,2,FALSE)</f>
        <v>23020065</v>
      </c>
      <c r="F275" s="322" t="s">
        <v>426</v>
      </c>
      <c r="G275" s="320"/>
      <c r="H275" s="396" t="str">
        <f>IF(G275&gt;=0.1,VLOOKUP(F275,F$504:I$935,4,FALSE),"")</f>
        <v/>
      </c>
      <c r="I275" s="73" t="str">
        <f>IF(ISERROR(H275*G275),"",H275*G275)</f>
        <v/>
      </c>
      <c r="J275" s="565"/>
      <c r="AG275" s="641" t="str">
        <f t="shared" si="110"/>
        <v>A100161</v>
      </c>
      <c r="AH275" s="641">
        <f t="shared" si="111"/>
        <v>23020065</v>
      </c>
      <c r="AI275" s="641" t="str">
        <f t="shared" si="112"/>
        <v>Adjustable Label Guide Kit</v>
      </c>
      <c r="AJ275" s="641" t="s">
        <v>856</v>
      </c>
      <c r="AK275" s="931" t="s">
        <v>991</v>
      </c>
      <c r="AL275" s="641" t="str">
        <f t="shared" si="113"/>
        <v/>
      </c>
      <c r="AM275" s="936" t="str">
        <f t="shared" si="114"/>
        <v/>
      </c>
      <c r="AN275" s="641">
        <f t="shared" si="115"/>
        <v>0</v>
      </c>
      <c r="AO275" s="641" t="str">
        <f t="shared" si="116"/>
        <v/>
      </c>
      <c r="AP275" s="929" t="str">
        <f t="shared" si="117"/>
        <v>Engineering Assembly</v>
      </c>
    </row>
    <row r="276" spans="2:42" x14ac:dyDescent="0.2">
      <c r="B276" s="93"/>
      <c r="C276" s="773"/>
      <c r="D276" s="464" t="s">
        <v>534</v>
      </c>
      <c r="E276" s="128">
        <v>99990149</v>
      </c>
      <c r="F276" s="322" t="s">
        <v>535</v>
      </c>
      <c r="G276" s="320"/>
      <c r="H276" s="59" t="str">
        <f>IF(G276&gt;=0.1,VLOOKUP(F276,F$504:I$935,4,FALSE),"")</f>
        <v/>
      </c>
      <c r="I276" s="130" t="str">
        <f>IF(ISERROR(H276*G276),"",H276*G276)</f>
        <v/>
      </c>
      <c r="J276" s="565"/>
      <c r="AG276" s="641" t="str">
        <f t="shared" si="110"/>
        <v>SC03</v>
      </c>
      <c r="AH276" s="641">
        <f t="shared" si="111"/>
        <v>99990149</v>
      </c>
      <c r="AI276" s="641" t="str">
        <f t="shared" si="112"/>
        <v>Sata Clean Alcohol Wipes (50)</v>
      </c>
      <c r="AJ276" s="641" t="s">
        <v>856</v>
      </c>
      <c r="AK276" s="931" t="s">
        <v>991</v>
      </c>
      <c r="AL276" s="641" t="str">
        <f t="shared" si="113"/>
        <v/>
      </c>
      <c r="AM276" s="936" t="str">
        <f t="shared" si="114"/>
        <v/>
      </c>
      <c r="AN276" s="641">
        <f t="shared" si="115"/>
        <v>0</v>
      </c>
      <c r="AO276" s="641" t="str">
        <f t="shared" si="116"/>
        <v/>
      </c>
      <c r="AP276" s="929" t="str">
        <f t="shared" si="117"/>
        <v>Engineering Assembly</v>
      </c>
    </row>
    <row r="277" spans="2:42" ht="13.5" thickBot="1" x14ac:dyDescent="0.25">
      <c r="B277" s="93"/>
      <c r="C277" s="372"/>
      <c r="D277" s="10"/>
      <c r="E277" s="10"/>
      <c r="F277" s="99"/>
      <c r="G277" s="66"/>
      <c r="H277" s="97"/>
      <c r="I277" s="123"/>
      <c r="J277" s="565"/>
      <c r="AG277" s="641" t="str">
        <f t="shared" si="110"/>
        <v/>
      </c>
      <c r="AH277" s="641" t="str">
        <f t="shared" si="111"/>
        <v/>
      </c>
      <c r="AI277" s="641" t="str">
        <f t="shared" si="112"/>
        <v/>
      </c>
      <c r="AL277" s="641" t="str">
        <f t="shared" si="113"/>
        <v/>
      </c>
      <c r="AM277" s="936" t="str">
        <f t="shared" si="114"/>
        <v/>
      </c>
      <c r="AN277" s="641">
        <f t="shared" si="115"/>
        <v>0</v>
      </c>
      <c r="AO277" s="641" t="str">
        <f t="shared" si="116"/>
        <v/>
      </c>
      <c r="AP277" s="929" t="str">
        <f t="shared" si="117"/>
        <v/>
      </c>
    </row>
    <row r="278" spans="2:42" ht="13.5" thickBot="1" x14ac:dyDescent="0.25">
      <c r="B278"/>
      <c r="C278" s="11"/>
      <c r="D278" s="11"/>
      <c r="E278" s="11"/>
      <c r="F278" s="12"/>
      <c r="G278" s="13"/>
      <c r="H278" s="98" t="s">
        <v>11</v>
      </c>
      <c r="I278" s="121">
        <f>SUM(I184:I277)</f>
        <v>7508</v>
      </c>
      <c r="J278" s="565"/>
      <c r="K278" s="1002"/>
      <c r="AG278" s="641" t="str">
        <f t="shared" si="110"/>
        <v/>
      </c>
      <c r="AH278" s="641" t="str">
        <f t="shared" si="111"/>
        <v/>
      </c>
      <c r="AI278" s="641" t="str">
        <f t="shared" si="112"/>
        <v/>
      </c>
      <c r="AL278" s="641" t="str">
        <f t="shared" si="113"/>
        <v/>
      </c>
      <c r="AM278" s="936" t="str">
        <f t="shared" si="114"/>
        <v/>
      </c>
      <c r="AN278" s="641">
        <f t="shared" si="115"/>
        <v>0</v>
      </c>
      <c r="AO278" s="641" t="str">
        <f t="shared" si="116"/>
        <v/>
      </c>
      <c r="AP278" s="929" t="str">
        <f t="shared" si="117"/>
        <v/>
      </c>
    </row>
    <row r="279" spans="2:42" ht="13.5" thickBot="1" x14ac:dyDescent="0.25">
      <c r="B279"/>
      <c r="C279" s="11"/>
      <c r="D279" s="11"/>
      <c r="E279" s="11"/>
      <c r="F279" s="12"/>
      <c r="G279" s="13"/>
      <c r="H279" s="14"/>
      <c r="I279" s="14"/>
      <c r="J279" s="565"/>
      <c r="K279" s="1002"/>
      <c r="AG279" s="641" t="str">
        <f t="shared" si="110"/>
        <v/>
      </c>
      <c r="AH279" s="641" t="str">
        <f t="shared" si="111"/>
        <v/>
      </c>
      <c r="AI279" s="641" t="str">
        <f t="shared" si="112"/>
        <v/>
      </c>
      <c r="AL279" s="641" t="str">
        <f t="shared" si="113"/>
        <v/>
      </c>
      <c r="AM279" s="936" t="str">
        <f t="shared" si="114"/>
        <v/>
      </c>
      <c r="AN279" s="641">
        <f t="shared" si="115"/>
        <v>0</v>
      </c>
      <c r="AO279" s="641" t="str">
        <f t="shared" si="116"/>
        <v/>
      </c>
      <c r="AP279" s="929" t="str">
        <f t="shared" si="117"/>
        <v/>
      </c>
    </row>
    <row r="280" spans="2:42" ht="17.649999999999999" customHeight="1" thickBot="1" x14ac:dyDescent="0.3">
      <c r="B280"/>
      <c r="C280" s="356" t="s">
        <v>13</v>
      </c>
      <c r="D280" s="360"/>
      <c r="E280" s="28"/>
      <c r="F280" s="538" t="s">
        <v>307</v>
      </c>
      <c r="G280" s="30"/>
      <c r="H280" s="29"/>
      <c r="I280" s="31"/>
      <c r="J280" s="565"/>
      <c r="K280" s="1000"/>
      <c r="AG280" s="641" t="str">
        <f t="shared" si="110"/>
        <v/>
      </c>
      <c r="AH280" s="641" t="str">
        <f t="shared" si="111"/>
        <v/>
      </c>
      <c r="AI280" s="641" t="str">
        <f t="shared" si="112"/>
        <v>Please confirm the type of QC Required</v>
      </c>
      <c r="AL280" s="641" t="str">
        <f t="shared" si="113"/>
        <v/>
      </c>
      <c r="AM280" s="936" t="str">
        <f t="shared" si="114"/>
        <v/>
      </c>
      <c r="AN280" s="641">
        <f t="shared" si="115"/>
        <v>0</v>
      </c>
      <c r="AO280" s="641" t="str">
        <f t="shared" si="116"/>
        <v/>
      </c>
      <c r="AP280" s="929" t="str">
        <f t="shared" si="117"/>
        <v/>
      </c>
    </row>
    <row r="281" spans="2:42" ht="3.75" customHeight="1" thickBot="1" x14ac:dyDescent="0.25">
      <c r="B281"/>
      <c r="C281"/>
      <c r="D281"/>
      <c r="E281"/>
      <c r="F281"/>
      <c r="G281"/>
      <c r="H281"/>
      <c r="I281"/>
      <c r="J281" s="565"/>
      <c r="AG281" s="641" t="str">
        <f t="shared" si="110"/>
        <v/>
      </c>
      <c r="AH281" s="641" t="str">
        <f t="shared" si="111"/>
        <v/>
      </c>
      <c r="AI281" s="641" t="str">
        <f t="shared" si="112"/>
        <v/>
      </c>
      <c r="AL281" s="641" t="str">
        <f t="shared" si="113"/>
        <v/>
      </c>
      <c r="AM281" s="936" t="str">
        <f t="shared" si="114"/>
        <v/>
      </c>
      <c r="AN281" s="641">
        <f t="shared" si="115"/>
        <v>0</v>
      </c>
      <c r="AO281" s="641" t="str">
        <f t="shared" si="116"/>
        <v/>
      </c>
      <c r="AP281" s="929" t="str">
        <f t="shared" si="117"/>
        <v/>
      </c>
    </row>
    <row r="282" spans="2:42" x14ac:dyDescent="0.2">
      <c r="B282"/>
      <c r="C282" s="765"/>
      <c r="D282" s="373"/>
      <c r="E282" s="19"/>
      <c r="F282" s="84" t="s">
        <v>448</v>
      </c>
      <c r="G282" s="389"/>
      <c r="H282" s="153">
        <v>1900</v>
      </c>
      <c r="I282" s="124">
        <f>IF(ISERROR(H282*G282),"",H282*G282)</f>
        <v>0</v>
      </c>
      <c r="J282" s="565"/>
      <c r="K282" s="1000"/>
      <c r="AG282" s="641" t="str">
        <f t="shared" si="110"/>
        <v/>
      </c>
      <c r="AH282" s="641" t="str">
        <f t="shared" si="111"/>
        <v/>
      </c>
      <c r="AI282" s="641" t="str">
        <f t="shared" si="112"/>
        <v>Carton - Installation, commissioning &amp; training</v>
      </c>
      <c r="AK282" s="931" t="s">
        <v>95</v>
      </c>
      <c r="AL282" s="641" t="str">
        <f t="shared" si="113"/>
        <v/>
      </c>
      <c r="AM282" s="936" t="str">
        <f t="shared" si="114"/>
        <v/>
      </c>
      <c r="AN282" s="641">
        <f t="shared" si="115"/>
        <v>0</v>
      </c>
      <c r="AO282" s="641" t="str">
        <f t="shared" si="116"/>
        <v/>
      </c>
      <c r="AP282" s="929" t="str">
        <f t="shared" si="117"/>
        <v>Installation</v>
      </c>
    </row>
    <row r="283" spans="2:42" x14ac:dyDescent="0.2">
      <c r="B283"/>
      <c r="C283" s="766"/>
      <c r="D283" s="382"/>
      <c r="E283" s="383"/>
      <c r="F283" s="294" t="s">
        <v>449</v>
      </c>
      <c r="G283" s="483"/>
      <c r="H283" s="384">
        <v>3000</v>
      </c>
      <c r="I283" s="125">
        <f>IF(ISERROR(H283*G283),"",H283*G283)</f>
        <v>0</v>
      </c>
      <c r="J283" s="565"/>
      <c r="K283" s="1000"/>
      <c r="AG283" s="641" t="str">
        <f t="shared" si="110"/>
        <v/>
      </c>
      <c r="AH283" s="641" t="str">
        <f t="shared" si="111"/>
        <v/>
      </c>
      <c r="AI283" s="641" t="str">
        <f t="shared" si="112"/>
        <v>Pallet - Installation, commissioning &amp; training</v>
      </c>
      <c r="AK283" s="931" t="s">
        <v>95</v>
      </c>
      <c r="AL283" s="641" t="str">
        <f t="shared" si="113"/>
        <v/>
      </c>
      <c r="AM283" s="936" t="str">
        <f t="shared" si="114"/>
        <v/>
      </c>
      <c r="AN283" s="641">
        <f t="shared" si="115"/>
        <v>0</v>
      </c>
      <c r="AO283" s="641" t="str">
        <f t="shared" si="116"/>
        <v/>
      </c>
      <c r="AP283" s="929" t="str">
        <f t="shared" si="117"/>
        <v>Installation</v>
      </c>
    </row>
    <row r="284" spans="2:42" x14ac:dyDescent="0.2">
      <c r="B284"/>
      <c r="C284" s="766"/>
      <c r="D284" s="382"/>
      <c r="E284" s="383"/>
      <c r="F284" s="865" t="s">
        <v>1286</v>
      </c>
      <c r="G284" s="483"/>
      <c r="H284" s="660"/>
      <c r="I284" s="125">
        <f>IF(ISERROR(H284*G284),"",H284*G284)</f>
        <v>0</v>
      </c>
      <c r="J284" s="565"/>
      <c r="K284" s="1000"/>
      <c r="AG284" s="641" t="str">
        <f>IF(D284="","",D284)</f>
        <v/>
      </c>
      <c r="AH284" s="641" t="str">
        <f>IF(E284="","",E284)</f>
        <v/>
      </c>
      <c r="AI284" s="641" t="str">
        <f>IF(F284="","",F284)</f>
        <v>Additional - Installation</v>
      </c>
      <c r="AK284" s="931" t="s">
        <v>95</v>
      </c>
      <c r="AL284" s="641" t="str">
        <f>IF(G284&gt;0,I284,"")</f>
        <v/>
      </c>
      <c r="AM284" s="936" t="str">
        <f>AL284</f>
        <v/>
      </c>
      <c r="AN284" s="641">
        <f>IF(G284="",0,G284)</f>
        <v>0</v>
      </c>
      <c r="AO284" s="641" t="str">
        <f>IF(AN284&gt;0,"Show", "")</f>
        <v/>
      </c>
      <c r="AP284" s="929" t="str">
        <f>IF(AK284=0,"", AK284)</f>
        <v>Installation</v>
      </c>
    </row>
    <row r="285" spans="2:42" x14ac:dyDescent="0.2">
      <c r="B285"/>
      <c r="C285" s="766"/>
      <c r="D285" s="374"/>
      <c r="E285" s="204"/>
      <c r="F285" s="294" t="s">
        <v>479</v>
      </c>
      <c r="G285" s="483"/>
      <c r="H285" s="205">
        <f>VLOOKUP(F285, $E$897:$I$912,5,FALSE)</f>
        <v>2520</v>
      </c>
      <c r="I285" s="125">
        <f>IF(ISERROR(H285*G285),"",H285*G285)</f>
        <v>0</v>
      </c>
      <c r="J285" s="565"/>
      <c r="K285" s="1000"/>
      <c r="AG285" s="641" t="str">
        <f t="shared" si="110"/>
        <v/>
      </c>
      <c r="AH285" s="641" t="str">
        <f t="shared" si="111"/>
        <v/>
      </c>
      <c r="AI285" s="641" t="str">
        <f t="shared" si="112"/>
        <v>Basic SSCC Setup 2 Applicator with CIM &amp; Scanners</v>
      </c>
      <c r="AK285" s="931" t="s">
        <v>95</v>
      </c>
      <c r="AL285" s="641" t="str">
        <f t="shared" si="113"/>
        <v/>
      </c>
      <c r="AM285" s="936" t="str">
        <f t="shared" si="114"/>
        <v/>
      </c>
      <c r="AN285" s="641">
        <f t="shared" si="115"/>
        <v>0</v>
      </c>
      <c r="AO285" s="641" t="str">
        <f t="shared" si="116"/>
        <v/>
      </c>
      <c r="AP285" s="929" t="str">
        <f t="shared" si="117"/>
        <v>Installation</v>
      </c>
    </row>
    <row r="286" spans="2:42" x14ac:dyDescent="0.2">
      <c r="B286"/>
      <c r="C286" s="766"/>
      <c r="D286" s="374"/>
      <c r="E286" s="204"/>
      <c r="F286" s="81" t="s">
        <v>536</v>
      </c>
      <c r="G286" s="532">
        <f>SUM(G25,G44,G63,G82,G104,G124,G144,G164)</f>
        <v>5</v>
      </c>
      <c r="H286" s="205">
        <f>(980)*G286</f>
        <v>4900</v>
      </c>
      <c r="I286" s="206"/>
      <c r="J286" s="565"/>
      <c r="K286" s="1000"/>
      <c r="AG286" s="641" t="str">
        <f t="shared" si="110"/>
        <v/>
      </c>
      <c r="AH286" s="641" t="str">
        <f t="shared" si="111"/>
        <v/>
      </c>
      <c r="AI286" s="641" t="str">
        <f t="shared" si="112"/>
        <v>QC Rate</v>
      </c>
      <c r="AK286" s="931" t="s">
        <v>101</v>
      </c>
      <c r="AL286" s="641">
        <f t="shared" si="113"/>
        <v>0</v>
      </c>
      <c r="AM286" s="936">
        <f t="shared" si="114"/>
        <v>0</v>
      </c>
      <c r="AN286" s="641">
        <f t="shared" si="115"/>
        <v>5</v>
      </c>
      <c r="AO286" s="641" t="str">
        <f t="shared" si="116"/>
        <v>Show</v>
      </c>
      <c r="AP286" s="929" t="str">
        <f t="shared" si="117"/>
        <v>QC</v>
      </c>
    </row>
    <row r="287" spans="2:42" ht="6.6" customHeight="1" x14ac:dyDescent="0.2">
      <c r="B287"/>
      <c r="C287" s="766"/>
      <c r="D287" s="776"/>
      <c r="E287" s="777"/>
      <c r="F287" s="778"/>
      <c r="G287" s="779"/>
      <c r="H287" s="780"/>
      <c r="I287" s="781"/>
      <c r="J287" s="565"/>
      <c r="K287" s="1000"/>
      <c r="AG287" s="641" t="str">
        <f t="shared" si="110"/>
        <v/>
      </c>
      <c r="AH287" s="641" t="str">
        <f t="shared" si="111"/>
        <v/>
      </c>
      <c r="AI287" s="641" t="str">
        <f t="shared" si="112"/>
        <v/>
      </c>
      <c r="AL287" s="641" t="str">
        <f t="shared" si="113"/>
        <v/>
      </c>
      <c r="AM287" s="936" t="str">
        <f t="shared" si="114"/>
        <v/>
      </c>
      <c r="AN287" s="641">
        <f t="shared" si="115"/>
        <v>0</v>
      </c>
      <c r="AO287" s="641" t="str">
        <f t="shared" si="116"/>
        <v/>
      </c>
      <c r="AP287" s="929" t="str">
        <f t="shared" si="117"/>
        <v/>
      </c>
    </row>
    <row r="288" spans="2:42" x14ac:dyDescent="0.2">
      <c r="B288"/>
      <c r="C288" s="766"/>
      <c r="D288" s="374"/>
      <c r="E288" s="204"/>
      <c r="F288" s="81" t="s">
        <v>470</v>
      </c>
      <c r="G288" s="483"/>
      <c r="H288" s="205">
        <v>700</v>
      </c>
      <c r="I288" s="125">
        <f>IF(ISERROR(H288*G288),"",H288*G288)</f>
        <v>0</v>
      </c>
      <c r="J288" s="565"/>
      <c r="K288" s="1000"/>
      <c r="AG288" s="641" t="str">
        <f t="shared" si="110"/>
        <v/>
      </c>
      <c r="AH288" s="641" t="str">
        <f t="shared" si="111"/>
        <v/>
      </c>
      <c r="AI288" s="641" t="str">
        <f t="shared" si="112"/>
        <v>Onboard Database Creation</v>
      </c>
      <c r="AK288" s="931" t="s">
        <v>95</v>
      </c>
      <c r="AL288" s="641" t="str">
        <f t="shared" si="113"/>
        <v/>
      </c>
      <c r="AM288" s="936" t="str">
        <f t="shared" si="114"/>
        <v/>
      </c>
      <c r="AN288" s="641">
        <f t="shared" si="115"/>
        <v>0</v>
      </c>
      <c r="AO288" s="641" t="str">
        <f t="shared" si="116"/>
        <v/>
      </c>
      <c r="AP288" s="929" t="str">
        <f t="shared" si="117"/>
        <v>Installation</v>
      </c>
    </row>
    <row r="289" spans="2:42" x14ac:dyDescent="0.2">
      <c r="B289"/>
      <c r="C289" s="766"/>
      <c r="D289" s="374"/>
      <c r="E289" s="204"/>
      <c r="F289" s="81" t="s">
        <v>471</v>
      </c>
      <c r="G289" s="483"/>
      <c r="H289" s="205">
        <v>350</v>
      </c>
      <c r="I289" s="125">
        <f>IF(ISERROR(H289*G289),"",H289*G289)</f>
        <v>0</v>
      </c>
      <c r="J289" s="565"/>
      <c r="K289" s="1000"/>
      <c r="AG289" s="641" t="str">
        <f t="shared" si="110"/>
        <v/>
      </c>
      <c r="AH289" s="641" t="str">
        <f t="shared" si="111"/>
        <v/>
      </c>
      <c r="AI289" s="641" t="str">
        <f t="shared" si="112"/>
        <v>Number of label formats creation</v>
      </c>
      <c r="AK289" s="931" t="s">
        <v>95</v>
      </c>
      <c r="AL289" s="641" t="str">
        <f t="shared" si="113"/>
        <v/>
      </c>
      <c r="AM289" s="936" t="str">
        <f t="shared" si="114"/>
        <v/>
      </c>
      <c r="AN289" s="641">
        <f t="shared" si="115"/>
        <v>0</v>
      </c>
      <c r="AO289" s="641" t="str">
        <f t="shared" si="116"/>
        <v/>
      </c>
      <c r="AP289" s="929" t="str">
        <f t="shared" si="117"/>
        <v>Installation</v>
      </c>
    </row>
    <row r="290" spans="2:42" ht="6.6" customHeight="1" x14ac:dyDescent="0.2">
      <c r="B290"/>
      <c r="C290" s="766"/>
      <c r="D290" s="776"/>
      <c r="E290" s="777"/>
      <c r="F290" s="778"/>
      <c r="G290" s="779"/>
      <c r="H290" s="780"/>
      <c r="I290" s="781"/>
      <c r="J290" s="565"/>
      <c r="K290" s="1000"/>
      <c r="AG290" s="641" t="str">
        <f t="shared" si="110"/>
        <v/>
      </c>
      <c r="AH290" s="641" t="str">
        <f t="shared" si="111"/>
        <v/>
      </c>
      <c r="AI290" s="641" t="str">
        <f t="shared" si="112"/>
        <v/>
      </c>
      <c r="AL290" s="641" t="str">
        <f t="shared" si="113"/>
        <v/>
      </c>
      <c r="AM290" s="936" t="str">
        <f t="shared" si="114"/>
        <v/>
      </c>
      <c r="AN290" s="641">
        <f t="shared" si="115"/>
        <v>0</v>
      </c>
      <c r="AO290" s="641" t="str">
        <f t="shared" si="116"/>
        <v/>
      </c>
      <c r="AP290" s="929" t="str">
        <f t="shared" si="117"/>
        <v/>
      </c>
    </row>
    <row r="291" spans="2:42" x14ac:dyDescent="0.2">
      <c r="B291"/>
      <c r="C291" s="766"/>
      <c r="D291" s="9"/>
      <c r="E291" s="20">
        <v>99990167</v>
      </c>
      <c r="F291" s="423" t="s">
        <v>46</v>
      </c>
      <c r="G291" s="198"/>
      <c r="H291" s="154" t="str">
        <f>IF(G291="","",I960)</f>
        <v/>
      </c>
      <c r="I291" s="125" t="str">
        <f t="shared" ref="I291:I299" si="118">IF(ISERROR(H291*G291),"",H291*G291)</f>
        <v/>
      </c>
      <c r="J291" s="565"/>
      <c r="K291" s="1000"/>
      <c r="AG291" s="641" t="str">
        <f t="shared" si="110"/>
        <v/>
      </c>
      <c r="AH291" s="641">
        <f t="shared" si="111"/>
        <v>99990167</v>
      </c>
      <c r="AI291" s="641" t="str">
        <f t="shared" si="112"/>
        <v>Additional Travel Allowance - Rural Customers (Both Ways)</v>
      </c>
      <c r="AK291" s="931" t="s">
        <v>1010</v>
      </c>
      <c r="AL291" s="641" t="str">
        <f t="shared" si="113"/>
        <v/>
      </c>
      <c r="AM291" s="936" t="str">
        <f t="shared" si="114"/>
        <v/>
      </c>
      <c r="AN291" s="641">
        <f t="shared" si="115"/>
        <v>0</v>
      </c>
      <c r="AO291" s="641" t="str">
        <f t="shared" si="116"/>
        <v/>
      </c>
      <c r="AP291" s="929" t="str">
        <f t="shared" si="117"/>
        <v>Travel &amp; Accomodation</v>
      </c>
    </row>
    <row r="292" spans="2:42" x14ac:dyDescent="0.2">
      <c r="B292"/>
      <c r="C292" s="766"/>
      <c r="D292" s="9"/>
      <c r="E292" s="20">
        <v>99990167</v>
      </c>
      <c r="F292" s="423" t="s">
        <v>1046</v>
      </c>
      <c r="G292" s="198"/>
      <c r="H292" s="660"/>
      <c r="I292" s="125">
        <f>IF(ISERROR(H292*G292),"",H292*G292)</f>
        <v>0</v>
      </c>
      <c r="J292" s="565"/>
      <c r="K292" s="1000"/>
      <c r="AG292" s="641" t="str">
        <f>IF(D292="","",D292)</f>
        <v/>
      </c>
      <c r="AH292" s="641">
        <f>IF(E292="","",E292)</f>
        <v>99990167</v>
      </c>
      <c r="AI292" s="641" t="str">
        <f>IF(F292="","",F292)</f>
        <v>Additional Travel Allowance - Flights (Both ways)</v>
      </c>
      <c r="AK292" s="931" t="s">
        <v>1010</v>
      </c>
      <c r="AL292" s="641" t="str">
        <f>IF(G292&gt;0,I292,"")</f>
        <v/>
      </c>
      <c r="AM292" s="936" t="str">
        <f>AL292</f>
        <v/>
      </c>
      <c r="AN292" s="641">
        <f>IF(G292="",0,G292)</f>
        <v>0</v>
      </c>
      <c r="AO292" s="641" t="str">
        <f>IF(AN292&gt;0,"Show", "")</f>
        <v/>
      </c>
      <c r="AP292" s="929" t="str">
        <f t="shared" si="117"/>
        <v>Travel &amp; Accomodation</v>
      </c>
    </row>
    <row r="293" spans="2:42" x14ac:dyDescent="0.2">
      <c r="B293"/>
      <c r="C293" s="766"/>
      <c r="D293" s="26"/>
      <c r="E293" s="20">
        <v>99990167</v>
      </c>
      <c r="F293" s="81" t="s">
        <v>1045</v>
      </c>
      <c r="G293" s="388"/>
      <c r="H293" s="154">
        <v>250</v>
      </c>
      <c r="I293" s="125">
        <f t="shared" si="118"/>
        <v>0</v>
      </c>
      <c r="J293" s="565"/>
      <c r="K293" s="1000"/>
      <c r="AG293" s="641" t="str">
        <f t="shared" si="110"/>
        <v/>
      </c>
      <c r="AH293" s="641">
        <f t="shared" si="111"/>
        <v>99990167</v>
      </c>
      <c r="AI293" s="641" t="str">
        <f t="shared" si="112"/>
        <v>Accomodation Allowance - Per Day</v>
      </c>
      <c r="AK293" s="931" t="s">
        <v>1010</v>
      </c>
      <c r="AL293" s="641" t="str">
        <f t="shared" si="113"/>
        <v/>
      </c>
      <c r="AM293" s="936" t="str">
        <f t="shared" si="114"/>
        <v/>
      </c>
      <c r="AN293" s="641">
        <f t="shared" si="115"/>
        <v>0</v>
      </c>
      <c r="AO293" s="641" t="str">
        <f t="shared" si="116"/>
        <v/>
      </c>
      <c r="AP293" s="929" t="str">
        <f t="shared" si="117"/>
        <v>Travel &amp; Accomodation</v>
      </c>
    </row>
    <row r="294" spans="2:42" x14ac:dyDescent="0.2">
      <c r="B294"/>
      <c r="C294" s="766"/>
      <c r="D294" s="26"/>
      <c r="E294" s="20">
        <v>99990167</v>
      </c>
      <c r="F294" s="87" t="s">
        <v>48</v>
      </c>
      <c r="G294" s="388"/>
      <c r="H294" s="154" t="str">
        <f>IF(G294="","",I960)</f>
        <v/>
      </c>
      <c r="I294" s="125" t="str">
        <f t="shared" si="118"/>
        <v/>
      </c>
      <c r="J294" s="565"/>
      <c r="K294" s="1000"/>
      <c r="AG294" s="641" t="str">
        <f t="shared" si="110"/>
        <v/>
      </c>
      <c r="AH294" s="641">
        <f t="shared" si="111"/>
        <v>99990167</v>
      </c>
      <c r="AI294" s="641" t="str">
        <f t="shared" si="112"/>
        <v>Presite visit including (Onsite inspection &amp; travel to &amp; from)</v>
      </c>
      <c r="AK294" s="931" t="s">
        <v>95</v>
      </c>
      <c r="AL294" s="641" t="str">
        <f t="shared" si="113"/>
        <v/>
      </c>
      <c r="AM294" s="936" t="str">
        <f t="shared" si="114"/>
        <v/>
      </c>
      <c r="AN294" s="641">
        <f t="shared" si="115"/>
        <v>0</v>
      </c>
      <c r="AO294" s="641" t="str">
        <f t="shared" si="116"/>
        <v/>
      </c>
      <c r="AP294" s="929" t="str">
        <f t="shared" si="117"/>
        <v>Installation</v>
      </c>
    </row>
    <row r="295" spans="2:42" x14ac:dyDescent="0.2">
      <c r="B295"/>
      <c r="C295" s="766"/>
      <c r="D295" s="375"/>
      <c r="E295" s="134"/>
      <c r="F295" s="81" t="s">
        <v>1011</v>
      </c>
      <c r="G295" s="388">
        <v>-1</v>
      </c>
      <c r="H295" s="155"/>
      <c r="I295" s="125">
        <f t="shared" si="118"/>
        <v>0</v>
      </c>
      <c r="J295" s="565"/>
      <c r="K295" s="1000"/>
      <c r="AG295" s="641" t="str">
        <f t="shared" si="110"/>
        <v/>
      </c>
      <c r="AH295" s="641" t="str">
        <f t="shared" si="111"/>
        <v/>
      </c>
      <c r="AI295" s="641" t="str">
        <f t="shared" si="112"/>
        <v>Special Discount (Approved by Service)</v>
      </c>
      <c r="AK295" s="931" t="s">
        <v>95</v>
      </c>
      <c r="AL295" s="641" t="str">
        <f t="shared" si="113"/>
        <v/>
      </c>
      <c r="AM295" s="936" t="str">
        <f t="shared" si="114"/>
        <v/>
      </c>
      <c r="AN295" s="641">
        <f t="shared" si="115"/>
        <v>-1</v>
      </c>
      <c r="AO295" s="641" t="str">
        <f t="shared" si="116"/>
        <v/>
      </c>
      <c r="AP295" s="929" t="str">
        <f t="shared" si="117"/>
        <v>Installation</v>
      </c>
    </row>
    <row r="296" spans="2:42" ht="6.6" customHeight="1" x14ac:dyDescent="0.2">
      <c r="B296"/>
      <c r="C296" s="766"/>
      <c r="D296" s="782"/>
      <c r="E296" s="783"/>
      <c r="F296" s="778"/>
      <c r="G296" s="778"/>
      <c r="H296" s="784"/>
      <c r="I296" s="785"/>
      <c r="J296" s="565"/>
      <c r="K296" s="1000"/>
      <c r="AG296" s="641" t="str">
        <f t="shared" si="110"/>
        <v/>
      </c>
      <c r="AH296" s="641" t="str">
        <f t="shared" si="111"/>
        <v/>
      </c>
      <c r="AI296" s="641" t="str">
        <f t="shared" si="112"/>
        <v/>
      </c>
      <c r="AL296" s="641" t="str">
        <f t="shared" si="113"/>
        <v/>
      </c>
      <c r="AM296" s="936" t="str">
        <f t="shared" si="114"/>
        <v/>
      </c>
      <c r="AN296" s="641">
        <f t="shared" si="115"/>
        <v>0</v>
      </c>
      <c r="AO296" s="641" t="str">
        <f t="shared" si="116"/>
        <v/>
      </c>
      <c r="AP296" s="929" t="str">
        <f t="shared" si="117"/>
        <v/>
      </c>
    </row>
    <row r="297" spans="2:42" x14ac:dyDescent="0.2">
      <c r="B297"/>
      <c r="C297" s="766"/>
      <c r="D297" s="379"/>
      <c r="E297" s="542">
        <v>99990166</v>
      </c>
      <c r="F297" s="81" t="s">
        <v>830</v>
      </c>
      <c r="G297" s="198"/>
      <c r="H297" s="647">
        <v>900</v>
      </c>
      <c r="I297" s="125">
        <f>IF(ISERROR(H297*G297),"",H297*G297)</f>
        <v>0</v>
      </c>
      <c r="J297" s="565"/>
      <c r="K297" s="1000"/>
      <c r="AG297" s="641" t="str">
        <f t="shared" si="110"/>
        <v/>
      </c>
      <c r="AH297" s="641">
        <f t="shared" si="111"/>
        <v>99990166</v>
      </c>
      <c r="AI297" s="641" t="str">
        <f t="shared" si="112"/>
        <v>Essential Service Package</v>
      </c>
      <c r="AK297" s="931" t="s">
        <v>830</v>
      </c>
      <c r="AL297" s="641" t="str">
        <f t="shared" si="113"/>
        <v/>
      </c>
      <c r="AM297" s="936" t="str">
        <f t="shared" si="114"/>
        <v/>
      </c>
      <c r="AN297" s="641">
        <f t="shared" si="115"/>
        <v>0</v>
      </c>
      <c r="AO297" s="641" t="str">
        <f t="shared" si="116"/>
        <v/>
      </c>
      <c r="AP297" s="929" t="str">
        <f t="shared" si="117"/>
        <v>Essential Service Package</v>
      </c>
    </row>
    <row r="298" spans="2:42" ht="12.6" customHeight="1" x14ac:dyDescent="0.2">
      <c r="B298"/>
      <c r="C298" s="766"/>
      <c r="D298" s="598"/>
      <c r="E298" s="597"/>
      <c r="F298" s="250"/>
      <c r="G298" s="391"/>
      <c r="H298" s="241"/>
      <c r="I298" s="242"/>
      <c r="J298" s="565"/>
      <c r="AG298" s="641" t="str">
        <f t="shared" si="110"/>
        <v/>
      </c>
      <c r="AH298" s="641" t="str">
        <f t="shared" si="111"/>
        <v/>
      </c>
      <c r="AI298" s="641" t="str">
        <f t="shared" si="112"/>
        <v/>
      </c>
      <c r="AJ298" s="641" t="s">
        <v>958</v>
      </c>
      <c r="AK298" s="931" t="s">
        <v>810</v>
      </c>
      <c r="AL298" s="641" t="str">
        <f t="shared" si="113"/>
        <v/>
      </c>
      <c r="AM298" s="936" t="str">
        <f t="shared" si="114"/>
        <v/>
      </c>
      <c r="AN298" s="641">
        <f t="shared" si="115"/>
        <v>0</v>
      </c>
      <c r="AO298" s="641" t="str">
        <f t="shared" si="116"/>
        <v/>
      </c>
      <c r="AP298" s="929" t="str">
        <f t="shared" si="117"/>
        <v>Software Support</v>
      </c>
    </row>
    <row r="299" spans="2:42" ht="13.5" thickBot="1" x14ac:dyDescent="0.25">
      <c r="B299"/>
      <c r="C299" s="767"/>
      <c r="D299" s="376"/>
      <c r="E299" s="135"/>
      <c r="F299" s="126"/>
      <c r="G299" s="67"/>
      <c r="H299" s="156"/>
      <c r="I299" s="173">
        <f t="shared" si="118"/>
        <v>0</v>
      </c>
      <c r="J299" s="565"/>
      <c r="K299" s="1000"/>
      <c r="AG299" s="641" t="str">
        <f t="shared" si="110"/>
        <v/>
      </c>
      <c r="AH299" s="641" t="str">
        <f t="shared" si="111"/>
        <v/>
      </c>
      <c r="AI299" s="641" t="str">
        <f t="shared" si="112"/>
        <v/>
      </c>
      <c r="AL299" s="641" t="str">
        <f t="shared" si="113"/>
        <v/>
      </c>
      <c r="AM299" s="936" t="str">
        <f t="shared" si="114"/>
        <v/>
      </c>
      <c r="AN299" s="641">
        <f t="shared" si="115"/>
        <v>0</v>
      </c>
      <c r="AO299" s="641" t="str">
        <f t="shared" si="116"/>
        <v/>
      </c>
      <c r="AP299" s="929" t="str">
        <f t="shared" si="117"/>
        <v/>
      </c>
    </row>
    <row r="300" spans="2:42" ht="13.5" thickBot="1" x14ac:dyDescent="0.25">
      <c r="B300"/>
      <c r="C300" s="11"/>
      <c r="D300" s="11"/>
      <c r="E300" s="11"/>
      <c r="F300" s="12"/>
      <c r="G300" s="13"/>
      <c r="H300" s="21" t="s">
        <v>11</v>
      </c>
      <c r="I300" s="120">
        <f>SUM(I282:I299)</f>
        <v>0</v>
      </c>
      <c r="J300" s="565"/>
      <c r="K300" s="1000"/>
      <c r="AG300" s="641" t="str">
        <f t="shared" si="110"/>
        <v/>
      </c>
      <c r="AH300" s="641" t="str">
        <f t="shared" si="111"/>
        <v/>
      </c>
      <c r="AI300" s="641" t="str">
        <f t="shared" si="112"/>
        <v/>
      </c>
      <c r="AL300" s="641" t="str">
        <f t="shared" si="113"/>
        <v/>
      </c>
      <c r="AM300" s="936" t="str">
        <f t="shared" si="114"/>
        <v/>
      </c>
      <c r="AN300" s="641">
        <f t="shared" si="115"/>
        <v>0</v>
      </c>
      <c r="AO300" s="641" t="str">
        <f t="shared" si="116"/>
        <v/>
      </c>
      <c r="AP300" s="929" t="str">
        <f t="shared" si="117"/>
        <v/>
      </c>
    </row>
    <row r="301" spans="2:42" ht="13.5" thickBot="1" x14ac:dyDescent="0.25">
      <c r="B301"/>
      <c r="C301" s="1"/>
      <c r="D301" s="1"/>
      <c r="E301" s="1"/>
      <c r="F301"/>
      <c r="G301" s="2"/>
      <c r="H301" s="2"/>
      <c r="I301" s="2"/>
      <c r="J301" s="565"/>
      <c r="K301" s="1000"/>
      <c r="L301" s="643"/>
      <c r="M301" s="643"/>
      <c r="AG301" s="641" t="str">
        <f t="shared" si="110"/>
        <v/>
      </c>
      <c r="AH301" s="641" t="str">
        <f t="shared" si="111"/>
        <v/>
      </c>
      <c r="AI301" s="641" t="str">
        <f t="shared" si="112"/>
        <v/>
      </c>
      <c r="AL301" s="641" t="str">
        <f t="shared" si="113"/>
        <v/>
      </c>
      <c r="AM301" s="936" t="str">
        <f t="shared" si="114"/>
        <v/>
      </c>
      <c r="AN301" s="641">
        <f t="shared" si="115"/>
        <v>0</v>
      </c>
      <c r="AO301" s="641" t="str">
        <f t="shared" si="116"/>
        <v/>
      </c>
      <c r="AP301" s="929" t="str">
        <f t="shared" si="117"/>
        <v/>
      </c>
    </row>
    <row r="302" spans="2:42" ht="18.600000000000001" customHeight="1" thickBot="1" x14ac:dyDescent="0.3">
      <c r="B302"/>
      <c r="C302" s="356" t="s">
        <v>9</v>
      </c>
      <c r="D302" s="360"/>
      <c r="E302" s="28"/>
      <c r="F302" s="538" t="str">
        <f>IF(G304&lt;1,"You Have Not Selected Any Label or Ribbons","")</f>
        <v>You Have Not Selected Any Label or Ribbons</v>
      </c>
      <c r="G302" s="30"/>
      <c r="H302" s="29"/>
      <c r="I302" s="31"/>
      <c r="J302" s="565"/>
      <c r="K302" s="1000"/>
      <c r="L302" s="643"/>
      <c r="M302" s="643"/>
      <c r="AG302" s="641" t="str">
        <f t="shared" si="110"/>
        <v/>
      </c>
      <c r="AH302" s="641" t="str">
        <f t="shared" si="111"/>
        <v/>
      </c>
      <c r="AI302" s="641" t="str">
        <f t="shared" si="112"/>
        <v>You Have Not Selected Any Label or Ribbons</v>
      </c>
      <c r="AL302" s="641" t="str">
        <f t="shared" si="113"/>
        <v/>
      </c>
      <c r="AM302" s="936" t="str">
        <f t="shared" si="114"/>
        <v/>
      </c>
      <c r="AN302" s="641">
        <f t="shared" si="115"/>
        <v>0</v>
      </c>
      <c r="AO302" s="641" t="str">
        <f t="shared" si="116"/>
        <v/>
      </c>
      <c r="AP302" s="929" t="str">
        <f t="shared" si="117"/>
        <v/>
      </c>
    </row>
    <row r="303" spans="2:42" ht="4.5" customHeight="1" thickBot="1" x14ac:dyDescent="0.25">
      <c r="B303"/>
      <c r="C303"/>
      <c r="D303"/>
      <c r="E303"/>
      <c r="F303"/>
      <c r="G303"/>
      <c r="H303"/>
      <c r="I303"/>
      <c r="J303" s="565"/>
      <c r="L303" s="643"/>
      <c r="M303" s="643"/>
      <c r="AG303" s="641" t="str">
        <f t="shared" si="110"/>
        <v/>
      </c>
      <c r="AH303" s="641" t="str">
        <f t="shared" si="111"/>
        <v/>
      </c>
      <c r="AI303" s="641" t="str">
        <f t="shared" si="112"/>
        <v/>
      </c>
      <c r="AL303" s="641" t="str">
        <f t="shared" si="113"/>
        <v/>
      </c>
      <c r="AM303" s="936" t="str">
        <f t="shared" si="114"/>
        <v/>
      </c>
      <c r="AN303" s="641">
        <f t="shared" si="115"/>
        <v>0</v>
      </c>
      <c r="AO303" s="641" t="str">
        <f t="shared" si="116"/>
        <v/>
      </c>
      <c r="AP303" s="929" t="str">
        <f t="shared" si="117"/>
        <v/>
      </c>
    </row>
    <row r="304" spans="2:42" x14ac:dyDescent="0.2">
      <c r="B304" s="76">
        <f>VLOOKUP(F304,$F$737:$J$750,5,FALSE)</f>
        <v>0</v>
      </c>
      <c r="C304" s="762"/>
      <c r="D304" s="385" t="str">
        <f>VLOOKUP($F304,$F$505:$I$935,3,FALSE)</f>
        <v>M28-22</v>
      </c>
      <c r="E304" s="19" t="str">
        <f>VLOOKUP($F304,$F$505:$I$935,2,FALSE)</f>
        <v>17190004</v>
      </c>
      <c r="F304" s="386" t="s">
        <v>115</v>
      </c>
      <c r="G304" s="389"/>
      <c r="H304" s="387" t="str">
        <f>IF(G304&gt;=1,VLOOKUP(F304,F$504:I$935,4,FALSE),"")</f>
        <v/>
      </c>
      <c r="I304" s="15" t="str">
        <f>IF(ISERROR(H304*G304),"",H304*G304)</f>
        <v/>
      </c>
      <c r="J304" s="565"/>
      <c r="K304" s="1000"/>
      <c r="L304" s="643"/>
      <c r="M304" s="643"/>
      <c r="AG304" s="641" t="str">
        <f t="shared" si="110"/>
        <v>M28-22</v>
      </c>
      <c r="AH304" s="641" t="str">
        <f t="shared" si="111"/>
        <v>17190004</v>
      </c>
      <c r="AI304" s="641" t="str">
        <f t="shared" si="112"/>
        <v>LABEL TT 104X152MM</v>
      </c>
      <c r="AL304" s="641" t="str">
        <f t="shared" si="113"/>
        <v/>
      </c>
      <c r="AM304" s="936" t="str">
        <f t="shared" si="114"/>
        <v/>
      </c>
      <c r="AN304" s="641">
        <f t="shared" si="115"/>
        <v>0</v>
      </c>
      <c r="AO304" s="641" t="str">
        <f t="shared" si="116"/>
        <v/>
      </c>
      <c r="AP304" s="929" t="str">
        <f t="shared" si="117"/>
        <v/>
      </c>
    </row>
    <row r="305" spans="2:42" x14ac:dyDescent="0.2">
      <c r="B305" s="76">
        <f>VLOOKUP(F305,$F$737:$J$750,5,FALSE)</f>
        <v>0</v>
      </c>
      <c r="C305" s="763"/>
      <c r="D305" s="797" t="str">
        <f>VLOOKUP($F305,$F$505:$I$935,3,FALSE)</f>
        <v>M28-22</v>
      </c>
      <c r="E305" s="383" t="str">
        <f>VLOOKUP($F305,$F$505:$I$935,2,FALSE)</f>
        <v>17190004</v>
      </c>
      <c r="F305" s="798" t="s">
        <v>115</v>
      </c>
      <c r="G305" s="483"/>
      <c r="H305" s="799" t="str">
        <f>IF(G305&gt;=1,VLOOKUP(F305,F$504:I$935,4,FALSE),"")</f>
        <v/>
      </c>
      <c r="I305" s="800" t="str">
        <f>IF(ISERROR(H305*G305),"",H305*G305)</f>
        <v/>
      </c>
      <c r="J305" s="565"/>
      <c r="K305" s="1000"/>
      <c r="L305" s="643"/>
      <c r="M305" s="643"/>
      <c r="AG305" s="641" t="str">
        <f>IF(D305="","",D305)</f>
        <v>M28-22</v>
      </c>
      <c r="AH305" s="641" t="str">
        <f>IF(E305="","",E305)</f>
        <v>17190004</v>
      </c>
      <c r="AI305" s="641" t="str">
        <f>IF(F305="","",F305)</f>
        <v>LABEL TT 104X152MM</v>
      </c>
      <c r="AL305" s="641" t="str">
        <f>IF(G305&gt;0,I305,"")</f>
        <v/>
      </c>
      <c r="AM305" s="936" t="str">
        <f>AL305</f>
        <v/>
      </c>
      <c r="AN305" s="641">
        <f>IF(G305="",0,G305)</f>
        <v>0</v>
      </c>
      <c r="AO305" s="641" t="str">
        <f>IF(AN305&gt;0,"Show", "")</f>
        <v/>
      </c>
      <c r="AP305" s="929" t="str">
        <f t="shared" si="117"/>
        <v/>
      </c>
    </row>
    <row r="306" spans="2:42" x14ac:dyDescent="0.2">
      <c r="B306"/>
      <c r="C306" s="763"/>
      <c r="D306" s="9" t="str">
        <f>VLOOKUP($F306,$F$505:$I$935,3,FALSE)</f>
        <v>T57244ANM</v>
      </c>
      <c r="E306" s="20">
        <f>VLOOKUP($F306,$F$505:$I$935,2,FALSE)</f>
        <v>18210027</v>
      </c>
      <c r="F306" s="114" t="s">
        <v>118</v>
      </c>
      <c r="G306" s="390"/>
      <c r="H306" s="60" t="str">
        <f>IF(G306&gt;=1,VLOOKUP(F306,F$504:I$935,4,FALSE),"")</f>
        <v/>
      </c>
      <c r="I306" s="24" t="str">
        <f>IF(ISERROR(H306*G306),"",H306*G306)</f>
        <v/>
      </c>
      <c r="J306" s="565"/>
      <c r="K306" s="1000"/>
      <c r="L306" s="643"/>
      <c r="M306" s="643"/>
      <c r="AG306" s="641" t="str">
        <f t="shared" si="110"/>
        <v>T57244ANM</v>
      </c>
      <c r="AH306" s="641">
        <f t="shared" si="111"/>
        <v>18210027</v>
      </c>
      <c r="AI306" s="641" t="str">
        <f t="shared" si="112"/>
        <v>RIBBON FE WAX 104X360M BLK CSI</v>
      </c>
      <c r="AL306" s="641" t="str">
        <f t="shared" si="113"/>
        <v/>
      </c>
      <c r="AM306" s="936" t="str">
        <f t="shared" si="114"/>
        <v/>
      </c>
      <c r="AN306" s="641">
        <f t="shared" si="115"/>
        <v>0</v>
      </c>
      <c r="AO306" s="641" t="str">
        <f t="shared" si="116"/>
        <v/>
      </c>
      <c r="AP306" s="929" t="str">
        <f t="shared" si="117"/>
        <v/>
      </c>
    </row>
    <row r="307" spans="2:42" ht="5.0999999999999996" customHeight="1" x14ac:dyDescent="0.2">
      <c r="B307"/>
      <c r="C307" s="763"/>
      <c r="D307" s="9"/>
      <c r="E307" s="20"/>
      <c r="F307" s="114"/>
      <c r="G307" s="786"/>
      <c r="H307" s="60"/>
      <c r="I307" s="24"/>
      <c r="J307" s="565"/>
      <c r="K307" s="1000"/>
      <c r="L307" s="643"/>
      <c r="M307" s="643"/>
      <c r="AG307" s="641" t="str">
        <f t="shared" ref="AG307:AI308" si="119">IF(D307="","",D307)</f>
        <v/>
      </c>
      <c r="AH307" s="641" t="str">
        <f t="shared" si="119"/>
        <v/>
      </c>
      <c r="AI307" s="641" t="str">
        <f t="shared" si="119"/>
        <v/>
      </c>
      <c r="AL307" s="641" t="str">
        <f>IF(G307&gt;0,I307,"")</f>
        <v/>
      </c>
      <c r="AM307" s="936" t="str">
        <f>AL307</f>
        <v/>
      </c>
      <c r="AN307" s="641">
        <f>IF(G307="",0,G307)</f>
        <v>0</v>
      </c>
      <c r="AO307" s="641" t="str">
        <f>IF(AN307&gt;0,"Show", "")</f>
        <v/>
      </c>
      <c r="AP307" s="929" t="str">
        <f t="shared" si="117"/>
        <v/>
      </c>
    </row>
    <row r="308" spans="2:42" x14ac:dyDescent="0.2">
      <c r="B308"/>
      <c r="C308" s="763"/>
      <c r="D308" s="9" t="e">
        <f>VLOOKUP($F308,$F$505:$I$935,3,FALSE)</f>
        <v>#N/A</v>
      </c>
      <c r="E308" s="20" t="e">
        <f>VLOOKUP($F308,$F$505:$I$935,2,FALSE)</f>
        <v>#N/A</v>
      </c>
      <c r="F308" s="114"/>
      <c r="G308" s="390"/>
      <c r="H308" s="60" t="str">
        <f>IF(G308&gt;=1,VLOOKUP(F308,F$504:I$935,4,FALSE),"")</f>
        <v/>
      </c>
      <c r="I308" s="24" t="str">
        <f>IF(ISERROR(H308*G308),"",H308*G308)</f>
        <v/>
      </c>
      <c r="J308" s="565"/>
      <c r="K308" s="1000"/>
      <c r="L308" s="643"/>
      <c r="M308" s="643"/>
      <c r="AG308" s="641" t="e">
        <f t="shared" si="119"/>
        <v>#N/A</v>
      </c>
      <c r="AH308" s="641" t="e">
        <f t="shared" si="119"/>
        <v>#N/A</v>
      </c>
      <c r="AI308" s="641" t="str">
        <f t="shared" si="119"/>
        <v/>
      </c>
      <c r="AL308" s="641" t="str">
        <f>IF(G308&gt;0,I308,"")</f>
        <v/>
      </c>
      <c r="AM308" s="936" t="str">
        <f>AL308</f>
        <v/>
      </c>
      <c r="AN308" s="641">
        <f>IF(G308="",0,G308)</f>
        <v>0</v>
      </c>
      <c r="AO308" s="641" t="str">
        <f>IF(AN308&gt;0,"Show", "")</f>
        <v/>
      </c>
      <c r="AP308" s="929" t="str">
        <f t="shared" si="117"/>
        <v/>
      </c>
    </row>
    <row r="309" spans="2:42" ht="13.5" thickBot="1" x14ac:dyDescent="0.25">
      <c r="B309"/>
      <c r="C309" s="764"/>
      <c r="D309" s="377"/>
      <c r="E309" s="3"/>
      <c r="F309" s="64"/>
      <c r="G309" s="68"/>
      <c r="H309" s="61" t="str">
        <f>IF(G309&gt;=1,VLOOKUP(F309,F$504:I$935,4,FALSE),"")</f>
        <v/>
      </c>
      <c r="I309" s="4" t="str">
        <f>IF(ISERROR(H309*G309),"",H309*G309)</f>
        <v/>
      </c>
      <c r="J309" s="565"/>
      <c r="K309" s="1000"/>
      <c r="L309" s="643"/>
      <c r="M309" s="643"/>
      <c r="AG309" s="641" t="str">
        <f t="shared" si="110"/>
        <v/>
      </c>
      <c r="AH309" s="641" t="str">
        <f t="shared" si="111"/>
        <v/>
      </c>
      <c r="AI309" s="641" t="str">
        <f t="shared" si="112"/>
        <v/>
      </c>
      <c r="AL309" s="641" t="str">
        <f t="shared" si="113"/>
        <v/>
      </c>
      <c r="AM309" s="936" t="str">
        <f t="shared" si="114"/>
        <v/>
      </c>
      <c r="AN309" s="641">
        <f t="shared" si="115"/>
        <v>0</v>
      </c>
      <c r="AO309" s="641" t="str">
        <f t="shared" si="116"/>
        <v/>
      </c>
      <c r="AP309" s="929" t="str">
        <f t="shared" si="117"/>
        <v/>
      </c>
    </row>
    <row r="310" spans="2:42" ht="13.5" thickBot="1" x14ac:dyDescent="0.25">
      <c r="B310"/>
      <c r="C310" s="1"/>
      <c r="D310" s="1"/>
      <c r="E310" s="1"/>
      <c r="F310"/>
      <c r="G310" s="2"/>
      <c r="H310" s="21" t="s">
        <v>11</v>
      </c>
      <c r="I310" s="22">
        <f>SUM(I304:I309)</f>
        <v>0</v>
      </c>
      <c r="J310" s="565"/>
      <c r="AG310" s="641" t="str">
        <f t="shared" si="110"/>
        <v/>
      </c>
      <c r="AH310" s="641" t="str">
        <f t="shared" si="111"/>
        <v/>
      </c>
      <c r="AI310" s="641" t="str">
        <f t="shared" si="112"/>
        <v/>
      </c>
      <c r="AL310" s="641" t="str">
        <f t="shared" si="113"/>
        <v/>
      </c>
      <c r="AM310" s="936" t="str">
        <f t="shared" si="114"/>
        <v/>
      </c>
      <c r="AN310" s="641">
        <f t="shared" si="115"/>
        <v>0</v>
      </c>
      <c r="AO310" s="641" t="str">
        <f t="shared" si="116"/>
        <v/>
      </c>
      <c r="AP310" s="929" t="str">
        <f t="shared" si="117"/>
        <v/>
      </c>
    </row>
    <row r="311" spans="2:42" ht="13.5" thickBot="1" x14ac:dyDescent="0.25">
      <c r="B311"/>
      <c r="C311" s="1"/>
      <c r="D311" s="1"/>
      <c r="E311" s="1"/>
      <c r="F311"/>
      <c r="G311" s="2"/>
      <c r="H311" s="112"/>
      <c r="I311" s="113"/>
      <c r="J311" s="565"/>
      <c r="AG311" s="641" t="str">
        <f t="shared" si="110"/>
        <v/>
      </c>
      <c r="AH311" s="641" t="str">
        <f t="shared" si="111"/>
        <v/>
      </c>
      <c r="AI311" s="641" t="str">
        <f t="shared" si="112"/>
        <v/>
      </c>
      <c r="AL311" s="641" t="str">
        <f t="shared" si="113"/>
        <v/>
      </c>
      <c r="AM311" s="936" t="str">
        <f t="shared" si="114"/>
        <v/>
      </c>
      <c r="AN311" s="641">
        <f t="shared" si="115"/>
        <v>0</v>
      </c>
      <c r="AO311" s="641" t="str">
        <f t="shared" si="116"/>
        <v/>
      </c>
      <c r="AP311" s="929" t="str">
        <f t="shared" si="117"/>
        <v/>
      </c>
    </row>
    <row r="312" spans="2:42" ht="19.149999999999999" customHeight="1" thickBot="1" x14ac:dyDescent="0.3">
      <c r="B312"/>
      <c r="C312" s="356" t="s">
        <v>746</v>
      </c>
      <c r="D312" s="360"/>
      <c r="E312" s="28"/>
      <c r="F312" s="538" t="str">
        <f>IF(G329&gt;=1,"Check to ensure current legacy software has specialised business logic","")</f>
        <v/>
      </c>
      <c r="G312" s="30"/>
      <c r="H312" s="29"/>
      <c r="I312" s="31"/>
      <c r="J312" s="565"/>
      <c r="AG312" s="641" t="str">
        <f t="shared" si="110"/>
        <v/>
      </c>
      <c r="AH312" s="641" t="str">
        <f t="shared" si="111"/>
        <v/>
      </c>
      <c r="AI312" s="641" t="str">
        <f t="shared" si="112"/>
        <v/>
      </c>
      <c r="AL312" s="641" t="str">
        <f t="shared" si="113"/>
        <v/>
      </c>
      <c r="AM312" s="936" t="str">
        <f t="shared" si="114"/>
        <v/>
      </c>
      <c r="AN312" s="641">
        <f t="shared" si="115"/>
        <v>0</v>
      </c>
      <c r="AO312" s="641" t="str">
        <f t="shared" si="116"/>
        <v/>
      </c>
      <c r="AP312" s="929" t="str">
        <f t="shared" si="117"/>
        <v/>
      </c>
    </row>
    <row r="313" spans="2:42" ht="4.5" customHeight="1" thickBot="1" x14ac:dyDescent="0.25">
      <c r="B313"/>
      <c r="C313"/>
      <c r="D313"/>
      <c r="E313"/>
      <c r="F313"/>
      <c r="G313"/>
      <c r="H313"/>
      <c r="I313"/>
      <c r="J313" s="565"/>
      <c r="L313" s="643"/>
      <c r="M313" s="643"/>
      <c r="AG313" s="641" t="str">
        <f t="shared" si="110"/>
        <v/>
      </c>
      <c r="AH313" s="641" t="str">
        <f t="shared" si="111"/>
        <v/>
      </c>
      <c r="AI313" s="641" t="str">
        <f t="shared" si="112"/>
        <v/>
      </c>
      <c r="AL313" s="641" t="str">
        <f t="shared" si="113"/>
        <v/>
      </c>
      <c r="AM313" s="936" t="str">
        <f t="shared" si="114"/>
        <v/>
      </c>
      <c r="AN313" s="641">
        <f t="shared" si="115"/>
        <v>0</v>
      </c>
      <c r="AO313" s="641" t="str">
        <f t="shared" si="116"/>
        <v/>
      </c>
      <c r="AP313" s="929" t="str">
        <f t="shared" si="117"/>
        <v/>
      </c>
    </row>
    <row r="314" spans="2:42" ht="16.5" customHeight="1" x14ac:dyDescent="0.25">
      <c r="B314"/>
      <c r="C314" s="553" t="s">
        <v>987</v>
      </c>
      <c r="D314" s="361"/>
      <c r="E314" s="221"/>
      <c r="F314" s="222"/>
      <c r="G314" s="223"/>
      <c r="H314" s="224"/>
      <c r="I314" s="225"/>
      <c r="J314" s="565"/>
      <c r="AG314" s="641" t="str">
        <f t="shared" si="110"/>
        <v/>
      </c>
      <c r="AH314" s="641" t="str">
        <f t="shared" si="111"/>
        <v/>
      </c>
      <c r="AI314" s="641" t="str">
        <f t="shared" si="112"/>
        <v/>
      </c>
      <c r="AL314" s="641" t="str">
        <f t="shared" ref="AL314:AL323" si="120">IF(G314&gt;0,I314,"")</f>
        <v/>
      </c>
      <c r="AM314" s="936" t="str">
        <f t="shared" ref="AM314:AM323" si="121">AL314</f>
        <v/>
      </c>
      <c r="AN314" s="641">
        <f t="shared" si="115"/>
        <v>0</v>
      </c>
      <c r="AO314" s="641" t="str">
        <f t="shared" si="116"/>
        <v/>
      </c>
      <c r="AP314" s="929" t="str">
        <f t="shared" si="117"/>
        <v/>
      </c>
    </row>
    <row r="315" spans="2:42" ht="15" hidden="1" customHeight="1" x14ac:dyDescent="0.2">
      <c r="B315"/>
      <c r="C315" s="755"/>
      <c r="D315" s="362"/>
      <c r="E315" s="219">
        <f>VLOOKUP($F315,$F$505:$I$935,2,FALSE)</f>
        <v>12080017</v>
      </c>
      <c r="F315" s="640" t="s">
        <v>787</v>
      </c>
      <c r="G315" s="391"/>
      <c r="H315" s="241" t="str">
        <f>IF(G315&gt;=0.1,VLOOKUP(F315,F$504:I$935,4,FALSE),"")</f>
        <v/>
      </c>
      <c r="I315" s="238" t="str">
        <f>IF(ISERROR(H315*G315),"",H315*G315)</f>
        <v/>
      </c>
      <c r="J315" s="565"/>
      <c r="AG315" s="641" t="str">
        <f t="shared" si="110"/>
        <v/>
      </c>
      <c r="AH315" s="641">
        <f t="shared" si="111"/>
        <v>12080017</v>
      </c>
      <c r="AI315" s="641" t="str">
        <f t="shared" si="112"/>
        <v>Express Software</v>
      </c>
      <c r="AJ315" s="641" t="s">
        <v>957</v>
      </c>
      <c r="AK315" s="641" t="s">
        <v>986</v>
      </c>
      <c r="AL315" s="641" t="str">
        <f t="shared" si="120"/>
        <v/>
      </c>
      <c r="AM315" s="936" t="str">
        <f t="shared" si="121"/>
        <v/>
      </c>
      <c r="AN315" s="641">
        <f t="shared" si="115"/>
        <v>0</v>
      </c>
      <c r="AO315" s="641" t="str">
        <f t="shared" si="116"/>
        <v/>
      </c>
      <c r="AP315" s="929" t="str">
        <f t="shared" si="117"/>
        <v>iDSnet Express</v>
      </c>
    </row>
    <row r="316" spans="2:42" ht="15" hidden="1" customHeight="1" x14ac:dyDescent="0.2">
      <c r="B316"/>
      <c r="C316" s="756"/>
      <c r="D316" s="362"/>
      <c r="E316" s="928" t="str">
        <f>VLOOKUP($F316,$F$505:$I$935,2,FALSE)</f>
        <v>12080050</v>
      </c>
      <c r="F316" s="525" t="s">
        <v>784</v>
      </c>
      <c r="G316" s="391"/>
      <c r="H316" s="391"/>
      <c r="I316" s="238">
        <f>IF(ISERROR(H316*G316),"",H316*G316)</f>
        <v>0</v>
      </c>
      <c r="J316" s="565"/>
      <c r="AG316" s="641" t="str">
        <f t="shared" ref="AG316:AG387" si="122">IF(D316="","",D316)</f>
        <v/>
      </c>
      <c r="AH316" s="641" t="str">
        <f t="shared" ref="AH316:AH387" si="123">IF(E316="","",E316)</f>
        <v>12080050</v>
      </c>
      <c r="AI316" s="641" t="str">
        <f t="shared" ref="AI316:AI392" si="124">IF(F316="","",F316)</f>
        <v>Upgrade Enterprise - Custom Business Logic</v>
      </c>
      <c r="AJ316" s="641" t="s">
        <v>957</v>
      </c>
      <c r="AK316" s="641" t="s">
        <v>1341</v>
      </c>
      <c r="AL316" s="641" t="str">
        <f t="shared" si="120"/>
        <v/>
      </c>
      <c r="AM316" s="936" t="str">
        <f t="shared" si="121"/>
        <v/>
      </c>
      <c r="AN316" s="641">
        <f t="shared" ref="AN316:AN392" si="125">IF(G316="",0,G316)</f>
        <v>0</v>
      </c>
      <c r="AO316" s="641" t="str">
        <f t="shared" ref="AO316:AO392" si="126">IF(AN316&gt;0,"Show", "")</f>
        <v/>
      </c>
      <c r="AP316" s="929" t="str">
        <f t="shared" si="117"/>
        <v xml:space="preserve">IDSnet Installation – Enterprise Onsite </v>
      </c>
    </row>
    <row r="317" spans="2:42" hidden="1" x14ac:dyDescent="0.2">
      <c r="B317"/>
      <c r="C317" s="756"/>
      <c r="D317" s="362"/>
      <c r="E317" s="928" t="str">
        <f>VLOOKUP($F317,$F$505:$I$935,2,FALSE)</f>
        <v>12080050</v>
      </c>
      <c r="F317" s="525" t="s">
        <v>785</v>
      </c>
      <c r="G317" s="391"/>
      <c r="H317" s="241" t="str">
        <f>IF(G317&gt;=0.1,VLOOKUP(F317,F$504:I$935,4,FALSE),"")</f>
        <v/>
      </c>
      <c r="I317" s="238" t="str">
        <f>IF(ISERROR(H317*G317),"",H317*G317)</f>
        <v/>
      </c>
      <c r="J317" s="565"/>
      <c r="AG317" s="641" t="str">
        <f t="shared" si="122"/>
        <v/>
      </c>
      <c r="AH317" s="641" t="str">
        <f t="shared" si="123"/>
        <v>12080050</v>
      </c>
      <c r="AI317" s="641" t="str">
        <f t="shared" si="124"/>
        <v>IDSnet Installation - Express Remote</v>
      </c>
      <c r="AJ317" s="641" t="s">
        <v>957</v>
      </c>
      <c r="AK317" s="641" t="s">
        <v>1341</v>
      </c>
      <c r="AL317" s="641" t="str">
        <f t="shared" si="120"/>
        <v/>
      </c>
      <c r="AM317" s="936" t="str">
        <f t="shared" si="121"/>
        <v/>
      </c>
      <c r="AN317" s="641">
        <f t="shared" si="125"/>
        <v>0</v>
      </c>
      <c r="AO317" s="641" t="str">
        <f t="shared" si="126"/>
        <v/>
      </c>
      <c r="AP317" s="929" t="str">
        <f t="shared" ref="AP317:AP391" si="127">IF(AK317=0,"", AK317)</f>
        <v xml:space="preserve">IDSnet Installation – Enterprise Onsite </v>
      </c>
    </row>
    <row r="318" spans="2:42" hidden="1" x14ac:dyDescent="0.2">
      <c r="B318"/>
      <c r="C318" s="244"/>
      <c r="D318" s="297"/>
      <c r="E318" s="245"/>
      <c r="F318" s="246"/>
      <c r="G318" s="247"/>
      <c r="H318" s="248"/>
      <c r="I318" s="249"/>
      <c r="J318" s="565"/>
      <c r="AG318" s="641" t="str">
        <f t="shared" si="122"/>
        <v/>
      </c>
      <c r="AH318" s="641" t="str">
        <f t="shared" si="123"/>
        <v/>
      </c>
      <c r="AI318" s="641" t="str">
        <f t="shared" si="124"/>
        <v/>
      </c>
      <c r="AK318" s="641"/>
      <c r="AL318" s="641" t="str">
        <f t="shared" si="120"/>
        <v/>
      </c>
      <c r="AM318" s="936" t="str">
        <f t="shared" si="121"/>
        <v/>
      </c>
      <c r="AN318" s="641">
        <f t="shared" si="125"/>
        <v>0</v>
      </c>
      <c r="AO318" s="641" t="str">
        <f t="shared" si="126"/>
        <v/>
      </c>
      <c r="AP318" s="929" t="str">
        <f t="shared" si="127"/>
        <v/>
      </c>
    </row>
    <row r="319" spans="2:42" ht="15" hidden="1" x14ac:dyDescent="0.2">
      <c r="B319"/>
      <c r="C319" s="635" t="s">
        <v>988</v>
      </c>
      <c r="D319" s="636"/>
      <c r="E319" s="227"/>
      <c r="F319" s="227"/>
      <c r="G319" s="228"/>
      <c r="H319" s="237"/>
      <c r="I319" s="238"/>
      <c r="J319" s="565"/>
      <c r="AG319" s="641" t="str">
        <f t="shared" si="122"/>
        <v/>
      </c>
      <c r="AH319" s="641" t="str">
        <f t="shared" si="123"/>
        <v/>
      </c>
      <c r="AI319" s="641" t="str">
        <f t="shared" si="124"/>
        <v/>
      </c>
      <c r="AK319" s="641"/>
      <c r="AL319" s="641" t="str">
        <f t="shared" si="120"/>
        <v/>
      </c>
      <c r="AM319" s="936" t="str">
        <f t="shared" si="121"/>
        <v/>
      </c>
      <c r="AN319" s="641">
        <f t="shared" si="125"/>
        <v>0</v>
      </c>
      <c r="AO319" s="641" t="str">
        <f t="shared" si="126"/>
        <v/>
      </c>
      <c r="AP319" s="929" t="str">
        <f t="shared" si="127"/>
        <v/>
      </c>
    </row>
    <row r="320" spans="2:42" ht="15" hidden="1" customHeight="1" x14ac:dyDescent="0.2">
      <c r="B320"/>
      <c r="C320" s="757"/>
      <c r="D320" s="362"/>
      <c r="E320" s="219">
        <v>12080017</v>
      </c>
      <c r="F320" s="233" t="s">
        <v>794</v>
      </c>
      <c r="G320" s="391"/>
      <c r="H320" s="241" t="str">
        <f>IF(G320&gt;=0.1,VLOOKUP(F320,F$504:I$935,4,FALSE),"")</f>
        <v/>
      </c>
      <c r="I320" s="238" t="str">
        <f>IF(ISERROR(H320*G320),"",H320*G320)</f>
        <v/>
      </c>
      <c r="J320" s="565"/>
      <c r="AG320" s="641" t="str">
        <f t="shared" si="122"/>
        <v/>
      </c>
      <c r="AH320" s="641">
        <f t="shared" si="123"/>
        <v>12080017</v>
      </c>
      <c r="AI320" s="641" t="str">
        <f t="shared" si="124"/>
        <v>Hardware Driver - Express/Enterprise - LPA</v>
      </c>
      <c r="AJ320" s="641" t="s">
        <v>957</v>
      </c>
      <c r="AK320" s="641" t="s">
        <v>986</v>
      </c>
      <c r="AL320" s="641" t="str">
        <f t="shared" si="120"/>
        <v/>
      </c>
      <c r="AM320" s="936" t="str">
        <f t="shared" si="121"/>
        <v/>
      </c>
      <c r="AN320" s="641">
        <f t="shared" si="125"/>
        <v>0</v>
      </c>
      <c r="AO320" s="641" t="str">
        <f t="shared" si="126"/>
        <v/>
      </c>
      <c r="AP320" s="929" t="str">
        <f t="shared" si="127"/>
        <v>iDSnet Express</v>
      </c>
    </row>
    <row r="321" spans="2:42" ht="15" hidden="1" customHeight="1" x14ac:dyDescent="0.2">
      <c r="B321"/>
      <c r="C321" s="758"/>
      <c r="D321" s="362"/>
      <c r="E321" s="219">
        <v>12080017</v>
      </c>
      <c r="F321" s="233" t="s">
        <v>791</v>
      </c>
      <c r="G321" s="391"/>
      <c r="H321" s="241" t="str">
        <f>IF(G321&gt;=0.1,VLOOKUP(F321,F$504:I$935,4,FALSE),"")</f>
        <v/>
      </c>
      <c r="I321" s="238" t="str">
        <f>IF(ISERROR(H321*G321),"",H321*G321)</f>
        <v/>
      </c>
      <c r="J321" s="565"/>
      <c r="AG321" s="641" t="str">
        <f t="shared" si="122"/>
        <v/>
      </c>
      <c r="AH321" s="641">
        <f t="shared" si="123"/>
        <v>12080017</v>
      </c>
      <c r="AI321" s="641" t="str">
        <f t="shared" si="124"/>
        <v>Hardware Driver - Express/Enterprise - DOD</v>
      </c>
      <c r="AJ321" s="641" t="s">
        <v>957</v>
      </c>
      <c r="AK321" s="641" t="s">
        <v>986</v>
      </c>
      <c r="AL321" s="641" t="str">
        <f t="shared" si="120"/>
        <v/>
      </c>
      <c r="AM321" s="936" t="str">
        <f t="shared" si="121"/>
        <v/>
      </c>
      <c r="AN321" s="641">
        <f t="shared" si="125"/>
        <v>0</v>
      </c>
      <c r="AO321" s="641" t="str">
        <f t="shared" si="126"/>
        <v/>
      </c>
      <c r="AP321" s="929" t="str">
        <f t="shared" si="127"/>
        <v>iDSnet Express</v>
      </c>
    </row>
    <row r="322" spans="2:42" ht="15" hidden="1" customHeight="1" x14ac:dyDescent="0.2">
      <c r="B322"/>
      <c r="C322" s="758"/>
      <c r="D322" s="362"/>
      <c r="E322" s="219">
        <v>12080017</v>
      </c>
      <c r="F322" s="233" t="s">
        <v>788</v>
      </c>
      <c r="G322" s="391"/>
      <c r="H322" s="241" t="str">
        <f>IF(G322&gt;=0.1,VLOOKUP(F322,F$504:I$935,4,FALSE),"")</f>
        <v/>
      </c>
      <c r="I322" s="238" t="str">
        <f>IF(ISERROR(H322*G322),"",H322*G322)</f>
        <v/>
      </c>
      <c r="J322" s="565"/>
      <c r="AG322" s="641" t="str">
        <f t="shared" si="122"/>
        <v/>
      </c>
      <c r="AH322" s="641">
        <f t="shared" si="123"/>
        <v>12080017</v>
      </c>
      <c r="AI322" s="641" t="str">
        <f t="shared" si="124"/>
        <v>Scanner Driver - Validation</v>
      </c>
      <c r="AJ322" s="641" t="s">
        <v>957</v>
      </c>
      <c r="AK322" s="641" t="s">
        <v>986</v>
      </c>
      <c r="AL322" s="641" t="str">
        <f t="shared" si="120"/>
        <v/>
      </c>
      <c r="AM322" s="936" t="str">
        <f t="shared" si="121"/>
        <v/>
      </c>
      <c r="AN322" s="641">
        <f t="shared" si="125"/>
        <v>0</v>
      </c>
      <c r="AO322" s="641" t="str">
        <f t="shared" si="126"/>
        <v/>
      </c>
      <c r="AP322" s="929" t="str">
        <f t="shared" si="127"/>
        <v>iDSnet Express</v>
      </c>
    </row>
    <row r="323" spans="2:42" ht="15" hidden="1" customHeight="1" x14ac:dyDescent="0.2">
      <c r="B323"/>
      <c r="C323" s="759"/>
      <c r="D323" s="362"/>
      <c r="E323" s="219">
        <v>12080017</v>
      </c>
      <c r="F323" s="233" t="s">
        <v>826</v>
      </c>
      <c r="G323" s="391"/>
      <c r="H323" s="241">
        <v>450</v>
      </c>
      <c r="I323" s="238">
        <f>IF(ISERROR(H323*G323),"",H323*G323)</f>
        <v>0</v>
      </c>
      <c r="J323" s="565"/>
      <c r="AG323" s="641" t="str">
        <f t="shared" si="122"/>
        <v/>
      </c>
      <c r="AH323" s="641">
        <f t="shared" si="123"/>
        <v>12080017</v>
      </c>
      <c r="AI323" s="641" t="str">
        <f t="shared" si="124"/>
        <v>Idsnet Portal Driver</v>
      </c>
      <c r="AJ323" s="641" t="s">
        <v>957</v>
      </c>
      <c r="AK323" s="641" t="s">
        <v>986</v>
      </c>
      <c r="AL323" s="641" t="str">
        <f t="shared" si="120"/>
        <v/>
      </c>
      <c r="AM323" s="936" t="str">
        <f t="shared" si="121"/>
        <v/>
      </c>
      <c r="AN323" s="641">
        <f t="shared" si="125"/>
        <v>0</v>
      </c>
      <c r="AO323" s="641" t="str">
        <f t="shared" si="126"/>
        <v/>
      </c>
      <c r="AP323" s="929" t="str">
        <f t="shared" si="127"/>
        <v>iDSnet Express</v>
      </c>
    </row>
    <row r="324" spans="2:42" ht="15" customHeight="1" x14ac:dyDescent="0.2">
      <c r="B324"/>
      <c r="C324" s="788"/>
      <c r="D324" s="789"/>
      <c r="E324" s="790"/>
      <c r="F324" s="791"/>
      <c r="G324" s="792"/>
      <c r="H324" s="793"/>
      <c r="I324" s="794"/>
      <c r="J324" s="565"/>
      <c r="AK324" s="641"/>
      <c r="AM324" s="936"/>
      <c r="AP324" s="929" t="str">
        <f t="shared" si="127"/>
        <v/>
      </c>
    </row>
    <row r="325" spans="2:42" ht="15" customHeight="1" x14ac:dyDescent="0.2">
      <c r="B325"/>
      <c r="C325" s="557"/>
      <c r="D325" s="401"/>
      <c r="E325" s="558"/>
      <c r="F325" s="787"/>
      <c r="G325" s="403"/>
      <c r="H325" s="559"/>
      <c r="I325" s="438"/>
      <c r="J325" s="565"/>
      <c r="AG325" s="641" t="str">
        <f t="shared" si="122"/>
        <v/>
      </c>
      <c r="AH325" s="641" t="str">
        <f t="shared" si="123"/>
        <v/>
      </c>
      <c r="AI325" s="641" t="str">
        <f t="shared" si="124"/>
        <v/>
      </c>
      <c r="AM325" s="936"/>
      <c r="AN325" s="641">
        <f t="shared" si="125"/>
        <v>0</v>
      </c>
      <c r="AO325" s="641" t="str">
        <f t="shared" si="126"/>
        <v/>
      </c>
      <c r="AP325" s="929" t="str">
        <f t="shared" si="127"/>
        <v/>
      </c>
    </row>
    <row r="326" spans="2:42" ht="16.5" customHeight="1" x14ac:dyDescent="0.25">
      <c r="B326"/>
      <c r="C326" s="638" t="s">
        <v>994</v>
      </c>
      <c r="D326" s="636"/>
      <c r="E326" s="227"/>
      <c r="F326" s="639"/>
      <c r="G326" s="228"/>
      <c r="H326" s="229"/>
      <c r="I326" s="230"/>
      <c r="J326" s="565"/>
      <c r="AG326" s="641" t="str">
        <f t="shared" si="122"/>
        <v/>
      </c>
      <c r="AH326" s="641" t="str">
        <f t="shared" si="123"/>
        <v/>
      </c>
      <c r="AI326" s="641" t="str">
        <f t="shared" si="124"/>
        <v/>
      </c>
      <c r="AL326" s="641" t="str">
        <f t="shared" si="113"/>
        <v/>
      </c>
      <c r="AM326" s="936" t="str">
        <f t="shared" si="114"/>
        <v/>
      </c>
      <c r="AN326" s="641">
        <f t="shared" si="125"/>
        <v>0</v>
      </c>
      <c r="AO326" s="641" t="str">
        <f t="shared" si="126"/>
        <v/>
      </c>
      <c r="AP326" s="929" t="str">
        <f t="shared" si="127"/>
        <v/>
      </c>
    </row>
    <row r="327" spans="2:42" ht="15" customHeight="1" x14ac:dyDescent="0.2">
      <c r="B327"/>
      <c r="C327" s="757"/>
      <c r="D327" s="362"/>
      <c r="E327" s="219">
        <f>VLOOKUP($F327,$F$505:$I$935,2,FALSE)</f>
        <v>12080009</v>
      </c>
      <c r="F327" s="640" t="s">
        <v>747</v>
      </c>
      <c r="G327" s="391">
        <v>1</v>
      </c>
      <c r="H327" s="241">
        <f>IF(G327&gt;=0.1,VLOOKUP(F327,F$504:I$935,4,FALSE),"")</f>
        <v>19500</v>
      </c>
      <c r="I327" s="238">
        <f>IF(ISERROR(H327*G327),"",H327*G327)</f>
        <v>19500</v>
      </c>
      <c r="J327" s="565"/>
      <c r="AG327" s="641" t="str">
        <f t="shared" si="122"/>
        <v/>
      </c>
      <c r="AH327" s="641">
        <f t="shared" si="123"/>
        <v>12080009</v>
      </c>
      <c r="AI327" s="641" t="str">
        <f t="shared" si="124"/>
        <v>Enterprise (Budget only)</v>
      </c>
      <c r="AJ327" s="641" t="s">
        <v>957</v>
      </c>
      <c r="AK327" s="641" t="s">
        <v>989</v>
      </c>
      <c r="AL327" s="641">
        <f t="shared" si="113"/>
        <v>19500</v>
      </c>
      <c r="AM327" s="936">
        <f t="shared" si="114"/>
        <v>19500</v>
      </c>
      <c r="AN327" s="641">
        <f t="shared" si="125"/>
        <v>1</v>
      </c>
      <c r="AO327" s="641" t="str">
        <f t="shared" si="126"/>
        <v>Show</v>
      </c>
      <c r="AP327" s="929" t="str">
        <f t="shared" si="127"/>
        <v>IDSnet Enterprise</v>
      </c>
    </row>
    <row r="328" spans="2:42" ht="15" customHeight="1" x14ac:dyDescent="0.2">
      <c r="B328"/>
      <c r="C328" s="758"/>
      <c r="D328" s="362"/>
      <c r="E328" s="219" t="str">
        <f>VLOOKUP($F328,$F$505:$I$935,2,FALSE)</f>
        <v>12080050</v>
      </c>
      <c r="F328" s="525" t="s">
        <v>748</v>
      </c>
      <c r="G328" s="391">
        <v>1</v>
      </c>
      <c r="H328" s="241">
        <f>IF(G328&gt;=0.1,VLOOKUP(F328,F$504:I$935,4,FALSE),"")</f>
        <v>15000</v>
      </c>
      <c r="I328" s="238">
        <f>IF(ISERROR(H328*G328),"",H328*G328)</f>
        <v>15000</v>
      </c>
      <c r="J328" s="565"/>
      <c r="AG328" s="641" t="str">
        <f t="shared" si="122"/>
        <v/>
      </c>
      <c r="AH328" s="641" t="str">
        <f t="shared" si="123"/>
        <v>12080050</v>
      </c>
      <c r="AI328" s="641" t="str">
        <f t="shared" si="124"/>
        <v>Enterprise (ERP Integration - SAP, JDE)</v>
      </c>
      <c r="AJ328" s="641" t="s">
        <v>957</v>
      </c>
      <c r="AK328" s="641" t="s">
        <v>1341</v>
      </c>
      <c r="AL328" s="641">
        <f t="shared" ref="AL328:AL407" si="128">IF(G328&gt;0,I328,"")</f>
        <v>15000</v>
      </c>
      <c r="AM328" s="936">
        <f t="shared" ref="AM328:AM380" si="129">AL328</f>
        <v>15000</v>
      </c>
      <c r="AN328" s="641">
        <f t="shared" si="125"/>
        <v>1</v>
      </c>
      <c r="AO328" s="641" t="str">
        <f t="shared" si="126"/>
        <v>Show</v>
      </c>
      <c r="AP328" s="929" t="str">
        <f t="shared" si="127"/>
        <v xml:space="preserve">IDSnet Installation – Enterprise Onsite </v>
      </c>
    </row>
    <row r="329" spans="2:42" ht="15" customHeight="1" x14ac:dyDescent="0.2">
      <c r="B329"/>
      <c r="C329" s="758"/>
      <c r="D329" s="362"/>
      <c r="E329" s="219">
        <f>VLOOKUP($F329,$F$505:$I$935,2,FALSE)</f>
        <v>12080026</v>
      </c>
      <c r="F329" s="525" t="s">
        <v>782</v>
      </c>
      <c r="G329" s="391"/>
      <c r="H329" s="241" t="str">
        <f>IF(G329&gt;=0.1,VLOOKUP(F329,F$504:I$935,4,FALSE),"")</f>
        <v/>
      </c>
      <c r="I329" s="238" t="str">
        <f>IF(ISERROR(H329*G329),"",H329*G329)</f>
        <v/>
      </c>
      <c r="J329" s="565"/>
      <c r="AG329" s="641" t="str">
        <f t="shared" si="122"/>
        <v/>
      </c>
      <c r="AH329" s="641">
        <f t="shared" si="123"/>
        <v>12080026</v>
      </c>
      <c r="AI329" s="641" t="str">
        <f t="shared" si="124"/>
        <v>Upgrade Enterprise V1 to V4</v>
      </c>
      <c r="AJ329" s="641" t="s">
        <v>957</v>
      </c>
      <c r="AK329" s="641" t="s">
        <v>989</v>
      </c>
      <c r="AL329" s="641" t="str">
        <f t="shared" si="128"/>
        <v/>
      </c>
      <c r="AM329" s="936" t="str">
        <f t="shared" si="129"/>
        <v/>
      </c>
      <c r="AN329" s="641">
        <f t="shared" si="125"/>
        <v>0</v>
      </c>
      <c r="AO329" s="641" t="str">
        <f t="shared" si="126"/>
        <v/>
      </c>
      <c r="AP329" s="929" t="str">
        <f t="shared" si="127"/>
        <v>IDSnet Enterprise</v>
      </c>
    </row>
    <row r="330" spans="2:42" ht="15" customHeight="1" x14ac:dyDescent="0.2">
      <c r="B330"/>
      <c r="C330" s="758"/>
      <c r="D330" s="362"/>
      <c r="E330" s="219" t="str">
        <f>VLOOKUP($F330,$F$505:$I$935,2,FALSE)</f>
        <v>12080050</v>
      </c>
      <c r="F330" s="525" t="s">
        <v>784</v>
      </c>
      <c r="G330" s="391"/>
      <c r="H330" s="391"/>
      <c r="I330" s="238">
        <f>IF(ISERROR(H330*G330),"",H330*G330)</f>
        <v>0</v>
      </c>
      <c r="J330" s="565"/>
      <c r="AG330" s="641" t="str">
        <f t="shared" si="122"/>
        <v/>
      </c>
      <c r="AH330" s="641" t="str">
        <f t="shared" si="123"/>
        <v>12080050</v>
      </c>
      <c r="AI330" s="641" t="str">
        <f t="shared" si="124"/>
        <v>Upgrade Enterprise - Custom Business Logic</v>
      </c>
      <c r="AJ330" s="641" t="s">
        <v>957</v>
      </c>
      <c r="AK330" s="641" t="s">
        <v>1341</v>
      </c>
      <c r="AL330" s="641" t="str">
        <f t="shared" si="128"/>
        <v/>
      </c>
      <c r="AM330" s="936" t="str">
        <f t="shared" si="129"/>
        <v/>
      </c>
      <c r="AN330" s="641">
        <f t="shared" si="125"/>
        <v>0</v>
      </c>
      <c r="AO330" s="641" t="str">
        <f t="shared" si="126"/>
        <v/>
      </c>
      <c r="AP330" s="929" t="str">
        <f t="shared" si="127"/>
        <v xml:space="preserve">IDSnet Installation – Enterprise Onsite </v>
      </c>
    </row>
    <row r="331" spans="2:42" ht="14.25" customHeight="1" x14ac:dyDescent="0.2">
      <c r="B331"/>
      <c r="C331" s="758"/>
      <c r="D331" s="362"/>
      <c r="E331" s="219" t="str">
        <f>VLOOKUP($F331,$F$505:$I$935,2,FALSE)</f>
        <v>12080050</v>
      </c>
      <c r="F331" s="525" t="s">
        <v>786</v>
      </c>
      <c r="G331" s="391">
        <f>G327</f>
        <v>1</v>
      </c>
      <c r="H331" s="241">
        <f>IF(G331&gt;=0.1,VLOOKUP(F331,F$504:I$935,4,FALSE),"")</f>
        <v>5000</v>
      </c>
      <c r="I331" s="238">
        <f>IF(ISERROR(H331*G331),"",H331*G331)</f>
        <v>5000</v>
      </c>
      <c r="J331" s="565"/>
      <c r="AG331" s="641" t="str">
        <f t="shared" si="122"/>
        <v/>
      </c>
      <c r="AH331" s="641" t="str">
        <f t="shared" si="123"/>
        <v>12080050</v>
      </c>
      <c r="AI331" s="641" t="str">
        <f t="shared" si="124"/>
        <v>IDSnet Installation - Enterprise Onsite</v>
      </c>
      <c r="AJ331" s="641" t="s">
        <v>957</v>
      </c>
      <c r="AK331" s="641" t="s">
        <v>1341</v>
      </c>
      <c r="AL331" s="641">
        <f t="shared" si="128"/>
        <v>5000</v>
      </c>
      <c r="AM331" s="936">
        <f t="shared" si="129"/>
        <v>5000</v>
      </c>
      <c r="AN331" s="641">
        <f t="shared" si="125"/>
        <v>1</v>
      </c>
      <c r="AO331" s="641" t="str">
        <f t="shared" si="126"/>
        <v>Show</v>
      </c>
      <c r="AP331" s="929" t="str">
        <f t="shared" si="127"/>
        <v xml:space="preserve">IDSnet Installation – Enterprise Onsite </v>
      </c>
    </row>
    <row r="332" spans="2:42" x14ac:dyDescent="0.2">
      <c r="B332"/>
      <c r="C332" s="244"/>
      <c r="D332" s="297"/>
      <c r="E332" s="245"/>
      <c r="F332" s="246"/>
      <c r="G332" s="247"/>
      <c r="H332" s="248"/>
      <c r="I332" s="249"/>
      <c r="J332" s="565"/>
      <c r="AG332" s="641" t="str">
        <f t="shared" si="122"/>
        <v/>
      </c>
      <c r="AH332" s="641" t="str">
        <f t="shared" si="123"/>
        <v/>
      </c>
      <c r="AI332" s="641" t="str">
        <f t="shared" si="124"/>
        <v/>
      </c>
      <c r="AL332" s="641" t="str">
        <f t="shared" si="128"/>
        <v/>
      </c>
      <c r="AM332" s="936" t="str">
        <f t="shared" si="129"/>
        <v/>
      </c>
      <c r="AN332" s="641">
        <f t="shared" si="125"/>
        <v>0</v>
      </c>
      <c r="AO332" s="641" t="str">
        <f t="shared" si="126"/>
        <v/>
      </c>
      <c r="AP332" s="929" t="str">
        <f t="shared" si="127"/>
        <v/>
      </c>
    </row>
    <row r="333" spans="2:42" ht="15" x14ac:dyDescent="0.2">
      <c r="B333"/>
      <c r="C333" s="243" t="s">
        <v>993</v>
      </c>
      <c r="D333" s="363"/>
      <c r="E333" s="227"/>
      <c r="F333" s="227"/>
      <c r="G333" s="228"/>
      <c r="H333" s="237"/>
      <c r="I333" s="238"/>
      <c r="J333" s="565"/>
      <c r="AG333" s="641" t="str">
        <f t="shared" si="122"/>
        <v/>
      </c>
      <c r="AH333" s="641" t="str">
        <f t="shared" si="123"/>
        <v/>
      </c>
      <c r="AI333" s="641" t="str">
        <f t="shared" si="124"/>
        <v/>
      </c>
      <c r="AL333" s="641" t="str">
        <f t="shared" si="128"/>
        <v/>
      </c>
      <c r="AM333" s="936" t="str">
        <f t="shared" si="129"/>
        <v/>
      </c>
      <c r="AN333" s="641">
        <f t="shared" si="125"/>
        <v>0</v>
      </c>
      <c r="AO333" s="641" t="str">
        <f t="shared" si="126"/>
        <v/>
      </c>
      <c r="AP333" s="929" t="str">
        <f t="shared" si="127"/>
        <v/>
      </c>
    </row>
    <row r="334" spans="2:42" ht="15" customHeight="1" x14ac:dyDescent="0.2">
      <c r="B334"/>
      <c r="C334" s="757"/>
      <c r="D334" s="362"/>
      <c r="E334" s="219">
        <v>12080009</v>
      </c>
      <c r="F334" s="233" t="s">
        <v>794</v>
      </c>
      <c r="G334" s="391"/>
      <c r="H334" s="241" t="str">
        <f t="shared" ref="H334:H346" si="130">IF(G334&gt;=0.1,VLOOKUP(F334,F$504:I$935,4,FALSE),"")</f>
        <v/>
      </c>
      <c r="I334" s="238" t="str">
        <f>IF(ISERROR(H334*G334),"",H334*G334)</f>
        <v/>
      </c>
      <c r="J334" s="565"/>
      <c r="AG334" s="641" t="str">
        <f t="shared" si="122"/>
        <v/>
      </c>
      <c r="AH334" s="641">
        <f t="shared" si="123"/>
        <v>12080009</v>
      </c>
      <c r="AI334" s="641" t="str">
        <f t="shared" si="124"/>
        <v>Hardware Driver - Express/Enterprise - LPA</v>
      </c>
      <c r="AJ334" s="641" t="s">
        <v>957</v>
      </c>
      <c r="AK334" s="641" t="s">
        <v>989</v>
      </c>
      <c r="AL334" s="641" t="str">
        <f t="shared" si="128"/>
        <v/>
      </c>
      <c r="AM334" s="936" t="str">
        <f t="shared" si="129"/>
        <v/>
      </c>
      <c r="AN334" s="641">
        <f t="shared" si="125"/>
        <v>0</v>
      </c>
      <c r="AO334" s="641" t="str">
        <f t="shared" si="126"/>
        <v/>
      </c>
      <c r="AP334" s="929" t="str">
        <f t="shared" si="127"/>
        <v>IDSnet Enterprise</v>
      </c>
    </row>
    <row r="335" spans="2:42" ht="15" customHeight="1" x14ac:dyDescent="0.2">
      <c r="B335"/>
      <c r="C335" s="758"/>
      <c r="D335" s="362"/>
      <c r="E335" s="219">
        <v>12080009</v>
      </c>
      <c r="F335" s="233" t="s">
        <v>790</v>
      </c>
      <c r="G335" s="391"/>
      <c r="H335" s="241" t="str">
        <f t="shared" si="130"/>
        <v/>
      </c>
      <c r="I335" s="238" t="str">
        <f>IF(ISERROR(H335*G335),"",H335*G335)</f>
        <v/>
      </c>
      <c r="J335" s="565"/>
      <c r="AG335" s="641" t="str">
        <f t="shared" si="122"/>
        <v/>
      </c>
      <c r="AH335" s="641">
        <f t="shared" si="123"/>
        <v>12080009</v>
      </c>
      <c r="AI335" s="641" t="str">
        <f t="shared" si="124"/>
        <v>Hardware Driver - Express/Enterprise - CIJ</v>
      </c>
      <c r="AJ335" s="641" t="s">
        <v>957</v>
      </c>
      <c r="AK335" s="641" t="s">
        <v>989</v>
      </c>
      <c r="AL335" s="641" t="str">
        <f t="shared" si="128"/>
        <v/>
      </c>
      <c r="AM335" s="936" t="str">
        <f t="shared" si="129"/>
        <v/>
      </c>
      <c r="AN335" s="641">
        <f t="shared" si="125"/>
        <v>0</v>
      </c>
      <c r="AO335" s="641" t="str">
        <f t="shared" si="126"/>
        <v/>
      </c>
      <c r="AP335" s="929" t="str">
        <f t="shared" si="127"/>
        <v>IDSnet Enterprise</v>
      </c>
    </row>
    <row r="336" spans="2:42" ht="15" customHeight="1" x14ac:dyDescent="0.2">
      <c r="B336"/>
      <c r="C336" s="758"/>
      <c r="D336" s="362"/>
      <c r="E336" s="219">
        <v>12080009</v>
      </c>
      <c r="F336" s="233" t="s">
        <v>796</v>
      </c>
      <c r="G336" s="391"/>
      <c r="H336" s="241" t="str">
        <f t="shared" si="130"/>
        <v/>
      </c>
      <c r="I336" s="238" t="str">
        <f t="shared" ref="I336:I344" si="131">IF(ISERROR(H336*G336),"",H336*G336)</f>
        <v/>
      </c>
      <c r="J336" s="565"/>
      <c r="AG336" s="641" t="str">
        <f t="shared" ref="AG336:AG344" si="132">IF(D336="","",D336)</f>
        <v/>
      </c>
      <c r="AH336" s="641">
        <f t="shared" ref="AH336:AH344" si="133">IF(E336="","",E336)</f>
        <v>12080009</v>
      </c>
      <c r="AI336" s="641" t="str">
        <f t="shared" ref="AI336:AI344" si="134">IF(F336="","",F336)</f>
        <v>Hardware Driver - Enterprise - LAS</v>
      </c>
      <c r="AJ336" s="641" t="s">
        <v>957</v>
      </c>
      <c r="AK336" s="641" t="s">
        <v>989</v>
      </c>
      <c r="AL336" s="641" t="str">
        <f t="shared" ref="AL336:AL344" si="135">IF(G336&gt;0,I336,"")</f>
        <v/>
      </c>
      <c r="AM336" s="936" t="str">
        <f t="shared" ref="AM336:AM344" si="136">AL336</f>
        <v/>
      </c>
      <c r="AN336" s="641">
        <f t="shared" ref="AN336:AN344" si="137">IF(G336="",0,G336)</f>
        <v>0</v>
      </c>
      <c r="AO336" s="641" t="str">
        <f t="shared" ref="AO336:AO344" si="138">IF(AN336&gt;0,"Show", "")</f>
        <v/>
      </c>
      <c r="AP336" s="929" t="str">
        <f t="shared" ref="AP336:AP344" si="139">IF(AK336=0,"", AK336)</f>
        <v>IDSnet Enterprise</v>
      </c>
    </row>
    <row r="337" spans="2:42" ht="15" customHeight="1" x14ac:dyDescent="0.2">
      <c r="B337"/>
      <c r="C337" s="758"/>
      <c r="D337" s="362"/>
      <c r="E337" s="219">
        <v>12080009</v>
      </c>
      <c r="F337" s="233" t="s">
        <v>832</v>
      </c>
      <c r="G337" s="391"/>
      <c r="H337" s="241" t="str">
        <f t="shared" si="130"/>
        <v/>
      </c>
      <c r="I337" s="238" t="str">
        <f t="shared" si="131"/>
        <v/>
      </c>
      <c r="J337" s="565"/>
      <c r="AG337" s="641" t="str">
        <f t="shared" si="132"/>
        <v/>
      </c>
      <c r="AH337" s="641">
        <f t="shared" si="133"/>
        <v>12080009</v>
      </c>
      <c r="AI337" s="641" t="str">
        <f t="shared" si="134"/>
        <v>Hardware Driver - Express/Enterprise - SAP</v>
      </c>
      <c r="AJ337" s="641" t="s">
        <v>957</v>
      </c>
      <c r="AK337" s="641" t="s">
        <v>989</v>
      </c>
      <c r="AL337" s="641" t="str">
        <f t="shared" si="135"/>
        <v/>
      </c>
      <c r="AM337" s="936" t="str">
        <f t="shared" si="136"/>
        <v/>
      </c>
      <c r="AN337" s="641">
        <f t="shared" si="137"/>
        <v>0</v>
      </c>
      <c r="AO337" s="641" t="str">
        <f t="shared" si="138"/>
        <v/>
      </c>
      <c r="AP337" s="929" t="str">
        <f t="shared" si="139"/>
        <v>IDSnet Enterprise</v>
      </c>
    </row>
    <row r="338" spans="2:42" ht="15" customHeight="1" x14ac:dyDescent="0.2">
      <c r="B338"/>
      <c r="C338" s="758"/>
      <c r="D338" s="362"/>
      <c r="E338" s="219">
        <v>12080009</v>
      </c>
      <c r="F338" s="233" t="s">
        <v>797</v>
      </c>
      <c r="G338" s="391"/>
      <c r="H338" s="241" t="str">
        <f t="shared" si="130"/>
        <v/>
      </c>
      <c r="I338" s="238" t="str">
        <f t="shared" si="131"/>
        <v/>
      </c>
      <c r="J338" s="565"/>
      <c r="AG338" s="641" t="str">
        <f t="shared" si="132"/>
        <v/>
      </c>
      <c r="AH338" s="641">
        <f t="shared" si="133"/>
        <v>12080009</v>
      </c>
      <c r="AI338" s="641" t="str">
        <f t="shared" si="134"/>
        <v>Hardware Driver - Enterprise - VIS</v>
      </c>
      <c r="AJ338" s="641" t="s">
        <v>957</v>
      </c>
      <c r="AK338" s="641" t="s">
        <v>989</v>
      </c>
      <c r="AL338" s="641" t="str">
        <f t="shared" si="135"/>
        <v/>
      </c>
      <c r="AM338" s="936" t="str">
        <f t="shared" si="136"/>
        <v/>
      </c>
      <c r="AN338" s="641">
        <f t="shared" si="137"/>
        <v>0</v>
      </c>
      <c r="AO338" s="641" t="str">
        <f t="shared" si="138"/>
        <v/>
      </c>
      <c r="AP338" s="929" t="str">
        <f t="shared" si="139"/>
        <v>IDSnet Enterprise</v>
      </c>
    </row>
    <row r="339" spans="2:42" ht="15" customHeight="1" x14ac:dyDescent="0.2">
      <c r="B339"/>
      <c r="C339" s="758"/>
      <c r="D339" s="362"/>
      <c r="E339" s="219">
        <v>12080009</v>
      </c>
      <c r="F339" s="233" t="s">
        <v>797</v>
      </c>
      <c r="G339" s="391"/>
      <c r="H339" s="241" t="str">
        <f t="shared" si="130"/>
        <v/>
      </c>
      <c r="I339" s="238" t="str">
        <f t="shared" si="131"/>
        <v/>
      </c>
      <c r="J339" s="565"/>
      <c r="AG339" s="641" t="str">
        <f t="shared" si="132"/>
        <v/>
      </c>
      <c r="AH339" s="641">
        <f t="shared" si="133"/>
        <v>12080009</v>
      </c>
      <c r="AI339" s="641" t="str">
        <f t="shared" si="134"/>
        <v>Hardware Driver - Enterprise - VIS</v>
      </c>
      <c r="AJ339" s="641" t="s">
        <v>957</v>
      </c>
      <c r="AK339" s="641" t="s">
        <v>989</v>
      </c>
      <c r="AL339" s="641" t="str">
        <f t="shared" si="135"/>
        <v/>
      </c>
      <c r="AM339" s="936" t="str">
        <f t="shared" si="136"/>
        <v/>
      </c>
      <c r="AN339" s="641">
        <f t="shared" si="137"/>
        <v>0</v>
      </c>
      <c r="AO339" s="641" t="str">
        <f t="shared" si="138"/>
        <v/>
      </c>
      <c r="AP339" s="929" t="str">
        <f t="shared" si="139"/>
        <v>IDSnet Enterprise</v>
      </c>
    </row>
    <row r="340" spans="2:42" ht="15" hidden="1" customHeight="1" x14ac:dyDescent="0.2">
      <c r="B340"/>
      <c r="C340" s="758"/>
      <c r="D340" s="362"/>
      <c r="E340" s="219">
        <v>12080009</v>
      </c>
      <c r="F340" s="233" t="s">
        <v>797</v>
      </c>
      <c r="G340" s="391"/>
      <c r="H340" s="241" t="str">
        <f t="shared" si="130"/>
        <v/>
      </c>
      <c r="I340" s="238" t="str">
        <f t="shared" si="131"/>
        <v/>
      </c>
      <c r="J340" s="565"/>
      <c r="AG340" s="641" t="str">
        <f t="shared" si="132"/>
        <v/>
      </c>
      <c r="AH340" s="641">
        <f t="shared" si="133"/>
        <v>12080009</v>
      </c>
      <c r="AI340" s="641" t="str">
        <f t="shared" si="134"/>
        <v>Hardware Driver - Enterprise - VIS</v>
      </c>
      <c r="AJ340" s="641" t="s">
        <v>957</v>
      </c>
      <c r="AK340" s="641" t="s">
        <v>989</v>
      </c>
      <c r="AL340" s="641" t="str">
        <f t="shared" si="135"/>
        <v/>
      </c>
      <c r="AM340" s="936" t="str">
        <f t="shared" si="136"/>
        <v/>
      </c>
      <c r="AN340" s="641">
        <f t="shared" si="137"/>
        <v>0</v>
      </c>
      <c r="AO340" s="641" t="str">
        <f t="shared" si="138"/>
        <v/>
      </c>
      <c r="AP340" s="929" t="str">
        <f t="shared" si="139"/>
        <v>IDSnet Enterprise</v>
      </c>
    </row>
    <row r="341" spans="2:42" ht="15" hidden="1" customHeight="1" x14ac:dyDescent="0.2">
      <c r="B341"/>
      <c r="C341" s="758"/>
      <c r="D341" s="362"/>
      <c r="E341" s="219">
        <v>12080009</v>
      </c>
      <c r="F341" s="233" t="s">
        <v>797</v>
      </c>
      <c r="G341" s="391"/>
      <c r="H341" s="241" t="str">
        <f t="shared" si="130"/>
        <v/>
      </c>
      <c r="I341" s="238" t="str">
        <f t="shared" si="131"/>
        <v/>
      </c>
      <c r="J341" s="565"/>
      <c r="AG341" s="641" t="str">
        <f t="shared" si="132"/>
        <v/>
      </c>
      <c r="AH341" s="641">
        <f t="shared" si="133"/>
        <v>12080009</v>
      </c>
      <c r="AI341" s="641" t="str">
        <f t="shared" si="134"/>
        <v>Hardware Driver - Enterprise - VIS</v>
      </c>
      <c r="AJ341" s="641" t="s">
        <v>957</v>
      </c>
      <c r="AK341" s="641" t="s">
        <v>989</v>
      </c>
      <c r="AL341" s="641" t="str">
        <f t="shared" si="135"/>
        <v/>
      </c>
      <c r="AM341" s="936" t="str">
        <f t="shared" si="136"/>
        <v/>
      </c>
      <c r="AN341" s="641">
        <f t="shared" si="137"/>
        <v>0</v>
      </c>
      <c r="AO341" s="641" t="str">
        <f t="shared" si="138"/>
        <v/>
      </c>
      <c r="AP341" s="929" t="str">
        <f t="shared" si="139"/>
        <v>IDSnet Enterprise</v>
      </c>
    </row>
    <row r="342" spans="2:42" ht="15" hidden="1" customHeight="1" x14ac:dyDescent="0.2">
      <c r="B342"/>
      <c r="C342" s="758"/>
      <c r="D342" s="362"/>
      <c r="E342" s="219">
        <v>12080009</v>
      </c>
      <c r="F342" s="233" t="s">
        <v>797</v>
      </c>
      <c r="G342" s="391"/>
      <c r="H342" s="241" t="str">
        <f t="shared" si="130"/>
        <v/>
      </c>
      <c r="I342" s="238" t="str">
        <f t="shared" si="131"/>
        <v/>
      </c>
      <c r="J342" s="565"/>
      <c r="AG342" s="641" t="str">
        <f t="shared" si="132"/>
        <v/>
      </c>
      <c r="AH342" s="641">
        <f t="shared" si="133"/>
        <v>12080009</v>
      </c>
      <c r="AI342" s="641" t="str">
        <f t="shared" si="134"/>
        <v>Hardware Driver - Enterprise - VIS</v>
      </c>
      <c r="AJ342" s="641" t="s">
        <v>957</v>
      </c>
      <c r="AK342" s="641" t="s">
        <v>989</v>
      </c>
      <c r="AL342" s="641" t="str">
        <f t="shared" si="135"/>
        <v/>
      </c>
      <c r="AM342" s="936" t="str">
        <f t="shared" si="136"/>
        <v/>
      </c>
      <c r="AN342" s="641">
        <f t="shared" si="137"/>
        <v>0</v>
      </c>
      <c r="AO342" s="641" t="str">
        <f t="shared" si="138"/>
        <v/>
      </c>
      <c r="AP342" s="929" t="str">
        <f t="shared" si="139"/>
        <v>IDSnet Enterprise</v>
      </c>
    </row>
    <row r="343" spans="2:42" ht="15" hidden="1" customHeight="1" x14ac:dyDescent="0.2">
      <c r="B343"/>
      <c r="C343" s="758"/>
      <c r="D343" s="362"/>
      <c r="E343" s="219">
        <v>12080009</v>
      </c>
      <c r="F343" s="233" t="s">
        <v>797</v>
      </c>
      <c r="G343" s="391"/>
      <c r="H343" s="241" t="str">
        <f t="shared" si="130"/>
        <v/>
      </c>
      <c r="I343" s="238" t="str">
        <f t="shared" si="131"/>
        <v/>
      </c>
      <c r="J343" s="565"/>
      <c r="AG343" s="641" t="str">
        <f t="shared" si="132"/>
        <v/>
      </c>
      <c r="AH343" s="641">
        <f t="shared" si="133"/>
        <v>12080009</v>
      </c>
      <c r="AI343" s="641" t="str">
        <f t="shared" si="134"/>
        <v>Hardware Driver - Enterprise - VIS</v>
      </c>
      <c r="AJ343" s="641" t="s">
        <v>957</v>
      </c>
      <c r="AK343" s="641" t="s">
        <v>989</v>
      </c>
      <c r="AL343" s="641" t="str">
        <f t="shared" si="135"/>
        <v/>
      </c>
      <c r="AM343" s="936" t="str">
        <f t="shared" si="136"/>
        <v/>
      </c>
      <c r="AN343" s="641">
        <f t="shared" si="137"/>
        <v>0</v>
      </c>
      <c r="AO343" s="641" t="str">
        <f t="shared" si="138"/>
        <v/>
      </c>
      <c r="AP343" s="929" t="str">
        <f t="shared" si="139"/>
        <v>IDSnet Enterprise</v>
      </c>
    </row>
    <row r="344" spans="2:42" ht="15" hidden="1" customHeight="1" x14ac:dyDescent="0.2">
      <c r="B344"/>
      <c r="C344" s="758"/>
      <c r="D344" s="362"/>
      <c r="E344" s="219">
        <v>12080009</v>
      </c>
      <c r="F344" s="233" t="s">
        <v>797</v>
      </c>
      <c r="G344" s="391"/>
      <c r="H344" s="241" t="str">
        <f t="shared" si="130"/>
        <v/>
      </c>
      <c r="I344" s="238" t="str">
        <f t="shared" si="131"/>
        <v/>
      </c>
      <c r="J344" s="565"/>
      <c r="AG344" s="641" t="str">
        <f t="shared" si="132"/>
        <v/>
      </c>
      <c r="AH344" s="641">
        <f t="shared" si="133"/>
        <v>12080009</v>
      </c>
      <c r="AI344" s="641" t="str">
        <f t="shared" si="134"/>
        <v>Hardware Driver - Enterprise - VIS</v>
      </c>
      <c r="AJ344" s="641" t="s">
        <v>957</v>
      </c>
      <c r="AK344" s="641" t="s">
        <v>989</v>
      </c>
      <c r="AL344" s="641" t="str">
        <f t="shared" si="135"/>
        <v/>
      </c>
      <c r="AM344" s="936" t="str">
        <f t="shared" si="136"/>
        <v/>
      </c>
      <c r="AN344" s="641">
        <f t="shared" si="137"/>
        <v>0</v>
      </c>
      <c r="AO344" s="641" t="str">
        <f t="shared" si="138"/>
        <v/>
      </c>
      <c r="AP344" s="929" t="str">
        <f t="shared" si="139"/>
        <v>IDSnet Enterprise</v>
      </c>
    </row>
    <row r="345" spans="2:42" ht="15" hidden="1" customHeight="1" x14ac:dyDescent="0.2">
      <c r="B345"/>
      <c r="C345" s="758"/>
      <c r="D345" s="362"/>
      <c r="E345" s="219">
        <v>12080009</v>
      </c>
      <c r="F345" s="233" t="s">
        <v>788</v>
      </c>
      <c r="G345" s="391"/>
      <c r="H345" s="241" t="str">
        <f t="shared" si="130"/>
        <v/>
      </c>
      <c r="I345" s="238" t="str">
        <f>IF(ISERROR(H345*G345),"",H345*G345)</f>
        <v/>
      </c>
      <c r="J345" s="565"/>
      <c r="AG345" s="641" t="str">
        <f t="shared" si="122"/>
        <v/>
      </c>
      <c r="AH345" s="641">
        <f t="shared" si="123"/>
        <v>12080009</v>
      </c>
      <c r="AI345" s="641" t="str">
        <f t="shared" si="124"/>
        <v>Scanner Driver - Validation</v>
      </c>
      <c r="AJ345" s="641" t="s">
        <v>957</v>
      </c>
      <c r="AK345" s="641" t="s">
        <v>989</v>
      </c>
      <c r="AL345" s="641" t="str">
        <f t="shared" si="128"/>
        <v/>
      </c>
      <c r="AM345" s="936" t="str">
        <f t="shared" si="129"/>
        <v/>
      </c>
      <c r="AN345" s="641">
        <f t="shared" si="125"/>
        <v>0</v>
      </c>
      <c r="AO345" s="641" t="str">
        <f t="shared" si="126"/>
        <v/>
      </c>
      <c r="AP345" s="929" t="str">
        <f t="shared" si="127"/>
        <v>IDSnet Enterprise</v>
      </c>
    </row>
    <row r="346" spans="2:42" ht="15" hidden="1" customHeight="1" x14ac:dyDescent="0.2">
      <c r="B346"/>
      <c r="C346" s="758"/>
      <c r="D346" s="362"/>
      <c r="E346" s="219">
        <v>12080009</v>
      </c>
      <c r="F346" s="233" t="s">
        <v>789</v>
      </c>
      <c r="G346" s="391"/>
      <c r="H346" s="241" t="str">
        <f t="shared" si="130"/>
        <v/>
      </c>
      <c r="I346" s="238" t="str">
        <f>IF(ISERROR(H346*G346),"",H346*G346)</f>
        <v/>
      </c>
      <c r="J346" s="565"/>
      <c r="AG346" s="641" t="str">
        <f t="shared" si="122"/>
        <v/>
      </c>
      <c r="AH346" s="641">
        <f t="shared" si="123"/>
        <v>12080009</v>
      </c>
      <c r="AI346" s="641" t="str">
        <f t="shared" si="124"/>
        <v>Scanner Driver - Induct (Enterprise only)</v>
      </c>
      <c r="AJ346" s="641" t="s">
        <v>957</v>
      </c>
      <c r="AK346" s="641" t="s">
        <v>989</v>
      </c>
      <c r="AL346" s="641" t="str">
        <f t="shared" si="128"/>
        <v/>
      </c>
      <c r="AM346" s="936" t="str">
        <f t="shared" si="129"/>
        <v/>
      </c>
      <c r="AN346" s="641">
        <f t="shared" si="125"/>
        <v>0</v>
      </c>
      <c r="AO346" s="641" t="str">
        <f t="shared" si="126"/>
        <v/>
      </c>
      <c r="AP346" s="929" t="str">
        <f t="shared" si="127"/>
        <v>IDSnet Enterprise</v>
      </c>
    </row>
    <row r="347" spans="2:42" ht="15" hidden="1" customHeight="1" x14ac:dyDescent="0.2">
      <c r="B347"/>
      <c r="C347" s="759"/>
      <c r="D347" s="362"/>
      <c r="E347" s="219">
        <v>12080009</v>
      </c>
      <c r="F347" s="233" t="s">
        <v>826</v>
      </c>
      <c r="G347" s="391"/>
      <c r="H347" s="241">
        <v>450</v>
      </c>
      <c r="I347" s="238">
        <f>IF(ISERROR(H347*G347),"",H347*G347)</f>
        <v>0</v>
      </c>
      <c r="J347" s="565"/>
      <c r="AG347" s="641" t="str">
        <f t="shared" si="122"/>
        <v/>
      </c>
      <c r="AH347" s="641">
        <f t="shared" si="123"/>
        <v>12080009</v>
      </c>
      <c r="AI347" s="641" t="str">
        <f t="shared" si="124"/>
        <v>Idsnet Portal Driver</v>
      </c>
      <c r="AJ347" s="641" t="s">
        <v>957</v>
      </c>
      <c r="AK347" s="641" t="s">
        <v>989</v>
      </c>
      <c r="AL347" s="641" t="str">
        <f t="shared" si="128"/>
        <v/>
      </c>
      <c r="AM347" s="936" t="str">
        <f t="shared" si="129"/>
        <v/>
      </c>
      <c r="AN347" s="641">
        <f t="shared" si="125"/>
        <v>0</v>
      </c>
      <c r="AO347" s="641" t="str">
        <f t="shared" si="126"/>
        <v/>
      </c>
      <c r="AP347" s="929" t="str">
        <f t="shared" si="127"/>
        <v>IDSnet Enterprise</v>
      </c>
    </row>
    <row r="348" spans="2:42" ht="15" customHeight="1" x14ac:dyDescent="0.2">
      <c r="B348"/>
      <c r="C348" s="795"/>
      <c r="D348" s="297"/>
      <c r="E348" s="245"/>
      <c r="F348" s="246"/>
      <c r="G348" s="792"/>
      <c r="H348" s="248"/>
      <c r="I348" s="249"/>
      <c r="J348" s="565"/>
      <c r="AK348" s="641"/>
      <c r="AM348" s="936"/>
      <c r="AP348" s="929" t="str">
        <f t="shared" si="127"/>
        <v/>
      </c>
    </row>
    <row r="349" spans="2:42" x14ac:dyDescent="0.2">
      <c r="B349"/>
      <c r="C349" s="557"/>
      <c r="D349" s="401"/>
      <c r="E349" s="558"/>
      <c r="F349" s="787"/>
      <c r="G349" s="403"/>
      <c r="H349" s="559"/>
      <c r="I349" s="438"/>
      <c r="J349" s="565"/>
      <c r="AG349" s="641" t="str">
        <f t="shared" si="122"/>
        <v/>
      </c>
      <c r="AH349" s="641" t="str">
        <f t="shared" si="123"/>
        <v/>
      </c>
      <c r="AI349" s="641" t="str">
        <f t="shared" si="124"/>
        <v/>
      </c>
      <c r="AL349" s="641" t="str">
        <f t="shared" si="128"/>
        <v/>
      </c>
      <c r="AM349" s="936" t="str">
        <f t="shared" si="129"/>
        <v/>
      </c>
      <c r="AN349" s="641">
        <f t="shared" si="125"/>
        <v>0</v>
      </c>
      <c r="AO349" s="641" t="str">
        <f t="shared" si="126"/>
        <v/>
      </c>
      <c r="AP349" s="929" t="str">
        <f t="shared" si="127"/>
        <v/>
      </c>
    </row>
    <row r="350" spans="2:42" ht="15" x14ac:dyDescent="0.2">
      <c r="B350"/>
      <c r="C350" s="243" t="s">
        <v>821</v>
      </c>
      <c r="D350" s="363"/>
      <c r="E350" s="227"/>
      <c r="F350" s="539"/>
      <c r="G350" s="228"/>
      <c r="H350" s="237"/>
      <c r="I350" s="238"/>
      <c r="J350" s="565"/>
      <c r="AG350" s="641" t="str">
        <f t="shared" si="122"/>
        <v/>
      </c>
      <c r="AH350" s="641" t="str">
        <f t="shared" si="123"/>
        <v/>
      </c>
      <c r="AI350" s="641" t="str">
        <f t="shared" si="124"/>
        <v/>
      </c>
      <c r="AL350" s="641" t="str">
        <f t="shared" si="128"/>
        <v/>
      </c>
      <c r="AM350" s="936" t="str">
        <f t="shared" si="129"/>
        <v/>
      </c>
      <c r="AN350" s="641">
        <f t="shared" si="125"/>
        <v>0</v>
      </c>
      <c r="AO350" s="641" t="str">
        <f t="shared" si="126"/>
        <v/>
      </c>
      <c r="AP350" s="929" t="str">
        <f t="shared" si="127"/>
        <v/>
      </c>
    </row>
    <row r="351" spans="2:42" x14ac:dyDescent="0.2">
      <c r="B351"/>
      <c r="C351" s="757"/>
      <c r="D351" s="599">
        <f>VLOOKUP($F351,$F$505:$I$935,3,FALSE)</f>
        <v>12990013</v>
      </c>
      <c r="E351" s="597">
        <f>VLOOKUP($F351,$F$505:$I$935,2,FALSE)</f>
        <v>12990013</v>
      </c>
      <c r="F351" s="250" t="s">
        <v>1372</v>
      </c>
      <c r="G351" s="391">
        <v>1</v>
      </c>
      <c r="H351" s="241">
        <f>IF(G351&gt;=0.1,VLOOKUP(F351,F$504:I$935,4,FALSE),"")</f>
        <v>4430</v>
      </c>
      <c r="I351" s="242">
        <f>IF(ISERROR(H351*G351),"",H351*G351)</f>
        <v>4430</v>
      </c>
      <c r="J351" s="565"/>
      <c r="AG351" s="641">
        <f t="shared" si="122"/>
        <v>12990013</v>
      </c>
      <c r="AH351" s="641">
        <f t="shared" si="123"/>
        <v>12990013</v>
      </c>
      <c r="AI351" s="641" t="str">
        <f t="shared" si="124"/>
        <v>Mini CIM V2</v>
      </c>
      <c r="AJ351" s="641" t="s">
        <v>897</v>
      </c>
      <c r="AK351" s="931" t="s">
        <v>990</v>
      </c>
      <c r="AL351" s="641">
        <f t="shared" si="128"/>
        <v>4430</v>
      </c>
      <c r="AM351" s="936">
        <f t="shared" si="129"/>
        <v>4430</v>
      </c>
      <c r="AN351" s="641">
        <f t="shared" si="125"/>
        <v>1</v>
      </c>
      <c r="AO351" s="641" t="str">
        <f t="shared" si="126"/>
        <v>Show</v>
      </c>
      <c r="AP351" s="929" t="str">
        <f t="shared" si="127"/>
        <v>Datacapture Assembly</v>
      </c>
    </row>
    <row r="352" spans="2:42" x14ac:dyDescent="0.2">
      <c r="B352"/>
      <c r="C352" s="758"/>
      <c r="D352" s="598">
        <f>VLOOKUP($F352,$F$505:$I$935,3,FALSE)</f>
        <v>13080198</v>
      </c>
      <c r="E352" s="597">
        <f>VLOOKUP($F352,$F$505:$I$935,2,FALSE)</f>
        <v>13080198</v>
      </c>
      <c r="F352" s="250" t="s">
        <v>1373</v>
      </c>
      <c r="G352" s="391">
        <v>1</v>
      </c>
      <c r="H352" s="241">
        <f>IF(G352&gt;=0.1,VLOOKUP(F352,F$504:I$935,4,FALSE),"")</f>
        <v>7950</v>
      </c>
      <c r="I352" s="242">
        <f>IF(ISERROR(H352*G352),"",H352*G352)</f>
        <v>7950</v>
      </c>
      <c r="J352" s="565"/>
      <c r="AG352" s="641">
        <f t="shared" si="122"/>
        <v>13080198</v>
      </c>
      <c r="AH352" s="641">
        <f t="shared" si="123"/>
        <v>13080198</v>
      </c>
      <c r="AI352" s="641" t="str">
        <f t="shared" si="124"/>
        <v>CIM V7 Carton &amp; Pallet</v>
      </c>
      <c r="AJ352" s="641" t="s">
        <v>897</v>
      </c>
      <c r="AK352" s="931" t="s">
        <v>990</v>
      </c>
      <c r="AL352" s="641">
        <f t="shared" si="128"/>
        <v>7950</v>
      </c>
      <c r="AM352" s="936">
        <f t="shared" si="129"/>
        <v>7950</v>
      </c>
      <c r="AN352" s="641">
        <f t="shared" si="125"/>
        <v>1</v>
      </c>
      <c r="AO352" s="641" t="str">
        <f t="shared" si="126"/>
        <v>Show</v>
      </c>
      <c r="AP352" s="929" t="str">
        <f t="shared" si="127"/>
        <v>Datacapture Assembly</v>
      </c>
    </row>
    <row r="353" spans="2:42" ht="12.75" customHeight="1" x14ac:dyDescent="0.2">
      <c r="B353"/>
      <c r="C353" s="758"/>
      <c r="D353" s="598" t="str">
        <f>VLOOKUP($F353,$F$505:$I$935,3,FALSE)</f>
        <v>LCE-302-BYG</v>
      </c>
      <c r="E353" s="597">
        <f>VLOOKUP($F353,$F$505:$I$935,2,FALSE)</f>
        <v>13080094</v>
      </c>
      <c r="F353" s="234" t="s">
        <v>1366</v>
      </c>
      <c r="G353" s="391">
        <v>2</v>
      </c>
      <c r="H353" s="241">
        <f>IF(G353&gt;=0.1,VLOOKUP(F353,F$504:I$935,4,FALSE),"")</f>
        <v>267</v>
      </c>
      <c r="I353" s="242">
        <f>IF(ISERROR(H353*G353),"",H353*G353)</f>
        <v>534</v>
      </c>
      <c r="J353" s="565"/>
      <c r="AG353" s="641" t="str">
        <f t="shared" si="122"/>
        <v>LCE-302-BYG</v>
      </c>
      <c r="AH353" s="641">
        <f t="shared" si="123"/>
        <v>13080094</v>
      </c>
      <c r="AI353" s="641" t="str">
        <f t="shared" si="124"/>
        <v>Beacon B/A/G</v>
      </c>
      <c r="AJ353" s="641" t="s">
        <v>910</v>
      </c>
      <c r="AK353" s="931" t="s">
        <v>990</v>
      </c>
      <c r="AL353" s="641">
        <f t="shared" si="128"/>
        <v>534</v>
      </c>
      <c r="AM353" s="936">
        <f t="shared" si="129"/>
        <v>534</v>
      </c>
      <c r="AN353" s="641">
        <f t="shared" si="125"/>
        <v>2</v>
      </c>
      <c r="AO353" s="641" t="str">
        <f t="shared" si="126"/>
        <v>Show</v>
      </c>
      <c r="AP353" s="929" t="str">
        <f t="shared" si="127"/>
        <v>Datacapture Assembly</v>
      </c>
    </row>
    <row r="354" spans="2:42" x14ac:dyDescent="0.2">
      <c r="B354"/>
      <c r="C354" s="758"/>
      <c r="D354" s="598" t="str">
        <f>VLOOKUP($F354,$F$505:$I$935,3,FALSE)</f>
        <v>GM4130-BK-433K2</v>
      </c>
      <c r="E354" s="597" t="str">
        <f>VLOOKUP($F354,$F$505:$I$935,2,FALSE)</f>
        <v>10040052</v>
      </c>
      <c r="F354" s="234" t="s">
        <v>808</v>
      </c>
      <c r="G354" s="391"/>
      <c r="H354" s="241" t="str">
        <f>IF(G354&gt;=0.1,VLOOKUP(F354,F$504:I$935,4,FALSE),"")</f>
        <v/>
      </c>
      <c r="I354" s="242" t="str">
        <f>IF(ISERROR(H354*G354),"",H354*G354)</f>
        <v/>
      </c>
      <c r="J354" s="565"/>
      <c r="AG354" s="641" t="str">
        <f t="shared" si="122"/>
        <v>GM4130-BK-433K2</v>
      </c>
      <c r="AH354" s="641" t="str">
        <f t="shared" si="123"/>
        <v>10040052</v>
      </c>
      <c r="AI354" s="641" t="str">
        <f t="shared" si="124"/>
        <v xml:space="preserve">CORDLESS HAND SCNR </v>
      </c>
      <c r="AJ354" s="641" t="s">
        <v>910</v>
      </c>
      <c r="AK354" s="931" t="s">
        <v>990</v>
      </c>
      <c r="AL354" s="641" t="str">
        <f t="shared" si="128"/>
        <v/>
      </c>
      <c r="AM354" s="936" t="str">
        <f t="shared" si="129"/>
        <v/>
      </c>
      <c r="AN354" s="641">
        <f t="shared" si="125"/>
        <v>0</v>
      </c>
      <c r="AO354" s="641" t="str">
        <f t="shared" si="126"/>
        <v/>
      </c>
      <c r="AP354" s="929" t="str">
        <f t="shared" si="127"/>
        <v>Datacapture Assembly</v>
      </c>
    </row>
    <row r="355" spans="2:42" ht="25.5" x14ac:dyDescent="0.2">
      <c r="B355"/>
      <c r="C355" s="759"/>
      <c r="D355" s="598" t="str">
        <f>VLOOKUP($F355,$F$505:$I$935,3,FALSE)</f>
        <v>GD4130-BK, 90G000008</v>
      </c>
      <c r="E355" s="597" t="str">
        <f>VLOOKUP($F355,$F$505:$I$935,2,FALSE)</f>
        <v>10040032, 10020022</v>
      </c>
      <c r="F355" s="234" t="s">
        <v>824</v>
      </c>
      <c r="G355" s="391"/>
      <c r="H355" s="241" t="str">
        <f>IF(G355&gt;=0.1,VLOOKUP(F355,F$504:I$935,4,FALSE),"")</f>
        <v/>
      </c>
      <c r="I355" s="242" t="str">
        <f>IF(ISERROR(H355*G355),"",H355*G355)</f>
        <v/>
      </c>
      <c r="J355" s="565"/>
      <c r="AG355" s="641" t="str">
        <f t="shared" si="122"/>
        <v>GD4130-BK, 90G000008</v>
      </c>
      <c r="AH355" s="641" t="str">
        <f t="shared" si="123"/>
        <v>10040032, 10020022</v>
      </c>
      <c r="AI355" s="641" t="str">
        <f t="shared" si="124"/>
        <v>Corded Hand Scanner &amp; cable</v>
      </c>
      <c r="AJ355" s="641" t="s">
        <v>910</v>
      </c>
      <c r="AK355" s="931" t="s">
        <v>990</v>
      </c>
      <c r="AL355" s="641" t="str">
        <f t="shared" si="128"/>
        <v/>
      </c>
      <c r="AM355" s="936" t="str">
        <f t="shared" si="129"/>
        <v/>
      </c>
      <c r="AN355" s="641">
        <f t="shared" si="125"/>
        <v>0</v>
      </c>
      <c r="AO355" s="641" t="str">
        <f t="shared" si="126"/>
        <v/>
      </c>
      <c r="AP355" s="929" t="str">
        <f t="shared" si="127"/>
        <v>Datacapture Assembly</v>
      </c>
    </row>
    <row r="356" spans="2:42" ht="14.25" x14ac:dyDescent="0.2">
      <c r="B356"/>
      <c r="C356" s="244"/>
      <c r="D356" s="297"/>
      <c r="E356" s="245"/>
      <c r="F356" s="924" t="str">
        <f>IF(SUM(G358:G359)&gt;0,"Please refer install guide to check configuration","")</f>
        <v>Please refer install guide to check configuration</v>
      </c>
      <c r="G356" s="247"/>
      <c r="H356" s="248"/>
      <c r="I356" s="249"/>
      <c r="J356" s="565"/>
      <c r="AG356" s="641" t="str">
        <f t="shared" si="122"/>
        <v/>
      </c>
      <c r="AH356" s="641" t="str">
        <f t="shared" si="123"/>
        <v/>
      </c>
      <c r="AI356" s="641" t="str">
        <f t="shared" si="124"/>
        <v>Please refer install guide to check configuration</v>
      </c>
      <c r="AL356" s="641" t="str">
        <f t="shared" si="128"/>
        <v/>
      </c>
      <c r="AM356" s="936" t="str">
        <f t="shared" si="129"/>
        <v/>
      </c>
      <c r="AN356" s="641">
        <f t="shared" si="125"/>
        <v>0</v>
      </c>
      <c r="AO356" s="641" t="str">
        <f t="shared" si="126"/>
        <v/>
      </c>
      <c r="AP356" s="929" t="str">
        <f t="shared" si="127"/>
        <v/>
      </c>
    </row>
    <row r="357" spans="2:42" ht="15" x14ac:dyDescent="0.2">
      <c r="B357"/>
      <c r="C357" s="243" t="s">
        <v>141</v>
      </c>
      <c r="D357" s="923"/>
      <c r="E357" s="227"/>
      <c r="F357" s="901" t="str">
        <f>PASS!D179</f>
        <v/>
      </c>
      <c r="G357" s="228"/>
      <c r="H357" s="237"/>
      <c r="I357" s="238"/>
      <c r="J357" s="565"/>
      <c r="AG357" s="641" t="str">
        <f t="shared" si="122"/>
        <v/>
      </c>
      <c r="AH357" s="641" t="str">
        <f t="shared" si="123"/>
        <v/>
      </c>
      <c r="AI357" s="641" t="str">
        <f t="shared" si="124"/>
        <v/>
      </c>
      <c r="AL357" s="641" t="str">
        <f t="shared" si="128"/>
        <v/>
      </c>
      <c r="AM357" s="936" t="str">
        <f t="shared" si="129"/>
        <v/>
      </c>
      <c r="AN357" s="641">
        <f t="shared" si="125"/>
        <v>0</v>
      </c>
      <c r="AO357" s="641" t="str">
        <f t="shared" si="126"/>
        <v/>
      </c>
      <c r="AP357" s="929" t="str">
        <f t="shared" si="127"/>
        <v/>
      </c>
    </row>
    <row r="358" spans="2:42" x14ac:dyDescent="0.2">
      <c r="B358"/>
      <c r="C358" s="757"/>
      <c r="D358" s="598">
        <f t="shared" ref="D358:D363" si="140">VLOOKUP($F358,$F$505:$I$935,3,FALSE)</f>
        <v>937600050</v>
      </c>
      <c r="E358" s="597">
        <f t="shared" ref="E358:E363" si="141">VLOOKUP($F358,$F$505:$I$935,2,FALSE)</f>
        <v>10020142</v>
      </c>
      <c r="F358" s="234" t="s">
        <v>1320</v>
      </c>
      <c r="G358" s="925"/>
      <c r="H358" s="241" t="str">
        <f t="shared" ref="H358:H363" si="142">IF(G358&gt;=0.1,VLOOKUP(F358,F$504:I$935,4,FALSE),"")</f>
        <v/>
      </c>
      <c r="I358" s="242" t="str">
        <f t="shared" ref="I358:I371" si="143">IF(ISERROR(H358*G358),"",H358*G358)</f>
        <v/>
      </c>
      <c r="J358" s="565"/>
      <c r="AG358" s="641">
        <f t="shared" si="122"/>
        <v>937600050</v>
      </c>
      <c r="AH358" s="641">
        <f t="shared" si="123"/>
        <v>10020142</v>
      </c>
      <c r="AI358" s="641" t="str">
        <f t="shared" si="124"/>
        <v>Validation Scanner - Matrix 300N - LQL 9mm</v>
      </c>
      <c r="AJ358" s="641" t="s">
        <v>910</v>
      </c>
      <c r="AK358" s="931" t="s">
        <v>990</v>
      </c>
      <c r="AL358" s="641" t="str">
        <f t="shared" si="128"/>
        <v/>
      </c>
      <c r="AM358" s="936" t="str">
        <f t="shared" si="129"/>
        <v/>
      </c>
      <c r="AN358" s="641">
        <f t="shared" si="125"/>
        <v>0</v>
      </c>
      <c r="AO358" s="641" t="str">
        <f t="shared" si="126"/>
        <v/>
      </c>
      <c r="AP358" s="929" t="str">
        <f t="shared" si="127"/>
        <v>Datacapture Assembly</v>
      </c>
    </row>
    <row r="359" spans="2:42" x14ac:dyDescent="0.2">
      <c r="B359"/>
      <c r="C359" s="758"/>
      <c r="D359" s="598">
        <f t="shared" si="140"/>
        <v>937600080</v>
      </c>
      <c r="E359" s="597">
        <f t="shared" si="141"/>
        <v>10040174</v>
      </c>
      <c r="F359" s="234" t="s">
        <v>1321</v>
      </c>
      <c r="G359" s="391">
        <v>2</v>
      </c>
      <c r="H359" s="241">
        <f t="shared" si="142"/>
        <v>2975</v>
      </c>
      <c r="I359" s="242">
        <f>IF(ISERROR(H359*G359),"",H359*G359)</f>
        <v>5950</v>
      </c>
      <c r="J359" s="565"/>
      <c r="AG359" s="641">
        <f>IF(D359="","",D359)</f>
        <v>937600080</v>
      </c>
      <c r="AH359" s="641">
        <f>IF(E359="","",E359)</f>
        <v>10040174</v>
      </c>
      <c r="AI359" s="641" t="str">
        <f>IF(F359="","",F359)</f>
        <v>Validation Scanner - Matrix 300N - LNS 16mm</v>
      </c>
      <c r="AJ359" s="641" t="s">
        <v>910</v>
      </c>
      <c r="AK359" s="931" t="s">
        <v>990</v>
      </c>
      <c r="AL359" s="641">
        <f>IF(G359&gt;0,I359,"")</f>
        <v>5950</v>
      </c>
      <c r="AM359" s="936">
        <f>AL359</f>
        <v>5950</v>
      </c>
      <c r="AN359" s="641">
        <f>IF(G359="",0,G359)</f>
        <v>2</v>
      </c>
      <c r="AO359" s="641" t="str">
        <f>IF(AN359&gt;0,"Show", "")</f>
        <v>Show</v>
      </c>
      <c r="AP359" s="929" t="str">
        <f>IF(AK359=0,"", AK359)</f>
        <v>Datacapture Assembly</v>
      </c>
    </row>
    <row r="360" spans="2:42" x14ac:dyDescent="0.2">
      <c r="B360"/>
      <c r="C360" s="758"/>
      <c r="D360" s="598">
        <f t="shared" si="140"/>
        <v>30081706</v>
      </c>
      <c r="E360" s="597">
        <f t="shared" si="141"/>
        <v>13120099</v>
      </c>
      <c r="F360" s="233" t="s">
        <v>741</v>
      </c>
      <c r="G360" s="391">
        <v>2</v>
      </c>
      <c r="H360" s="241">
        <f t="shared" si="142"/>
        <v>350</v>
      </c>
      <c r="I360" s="242">
        <f t="shared" si="143"/>
        <v>700</v>
      </c>
      <c r="J360" s="565"/>
      <c r="AG360" s="641">
        <f t="shared" si="122"/>
        <v>30081706</v>
      </c>
      <c r="AH360" s="641">
        <f t="shared" si="123"/>
        <v>13120099</v>
      </c>
      <c r="AI360" s="641" t="str">
        <f t="shared" si="124"/>
        <v>Validation Scanner - Matrix 300N Bracket (Pallet)</v>
      </c>
      <c r="AJ360" s="641" t="s">
        <v>910</v>
      </c>
      <c r="AK360" s="931" t="s">
        <v>990</v>
      </c>
      <c r="AL360" s="641">
        <f t="shared" si="128"/>
        <v>700</v>
      </c>
      <c r="AM360" s="936">
        <f t="shared" si="129"/>
        <v>700</v>
      </c>
      <c r="AN360" s="641">
        <f t="shared" si="125"/>
        <v>2</v>
      </c>
      <c r="AO360" s="641" t="str">
        <f t="shared" si="126"/>
        <v>Show</v>
      </c>
      <c r="AP360" s="929" t="str">
        <f t="shared" si="127"/>
        <v>Datacapture Assembly</v>
      </c>
    </row>
    <row r="361" spans="2:42" x14ac:dyDescent="0.2">
      <c r="B361"/>
      <c r="C361" s="758"/>
      <c r="D361" s="598">
        <f t="shared" si="140"/>
        <v>30081706</v>
      </c>
      <c r="E361" s="597">
        <f t="shared" si="141"/>
        <v>13120099</v>
      </c>
      <c r="F361" s="234" t="s">
        <v>742</v>
      </c>
      <c r="G361" s="391"/>
      <c r="H361" s="241" t="str">
        <f t="shared" si="142"/>
        <v/>
      </c>
      <c r="I361" s="242" t="str">
        <f t="shared" si="143"/>
        <v/>
      </c>
      <c r="J361" s="565"/>
      <c r="AG361" s="641">
        <f t="shared" si="122"/>
        <v>30081706</v>
      </c>
      <c r="AH361" s="641">
        <f t="shared" si="123"/>
        <v>13120099</v>
      </c>
      <c r="AI361" s="641" t="str">
        <f t="shared" si="124"/>
        <v>Validation Scanner - Matrix 300N Bracket (Carton)</v>
      </c>
      <c r="AJ361" s="641" t="s">
        <v>910</v>
      </c>
      <c r="AK361" s="931" t="s">
        <v>990</v>
      </c>
      <c r="AL361" s="641" t="str">
        <f t="shared" si="128"/>
        <v/>
      </c>
      <c r="AM361" s="936" t="str">
        <f t="shared" si="129"/>
        <v/>
      </c>
      <c r="AN361" s="641">
        <f t="shared" si="125"/>
        <v>0</v>
      </c>
      <c r="AO361" s="641" t="str">
        <f t="shared" si="126"/>
        <v/>
      </c>
      <c r="AP361" s="929" t="str">
        <f t="shared" si="127"/>
        <v>Datacapture Assembly</v>
      </c>
    </row>
    <row r="362" spans="2:42" x14ac:dyDescent="0.2">
      <c r="B362"/>
      <c r="C362" s="758"/>
      <c r="D362" s="598" t="str">
        <f t="shared" si="140"/>
        <v>93A051391</v>
      </c>
      <c r="E362" s="597">
        <f t="shared" si="141"/>
        <v>10020151</v>
      </c>
      <c r="F362" s="250" t="s">
        <v>1322</v>
      </c>
      <c r="G362" s="391">
        <f>SUM(G358:G359)</f>
        <v>2</v>
      </c>
      <c r="H362" s="241">
        <f t="shared" si="142"/>
        <v>317</v>
      </c>
      <c r="I362" s="242">
        <f t="shared" si="143"/>
        <v>634</v>
      </c>
      <c r="J362" s="565"/>
      <c r="AG362" s="641" t="str">
        <f t="shared" si="122"/>
        <v>93A051391</v>
      </c>
      <c r="AH362" s="641">
        <f t="shared" si="123"/>
        <v>10020151</v>
      </c>
      <c r="AI362" s="641" t="str">
        <f t="shared" si="124"/>
        <v>CAB-ETH-M05 M12-IP67 ETH 10M </v>
      </c>
      <c r="AJ362" s="641" t="s">
        <v>910</v>
      </c>
      <c r="AK362" s="931" t="s">
        <v>990</v>
      </c>
      <c r="AL362" s="641">
        <f t="shared" si="128"/>
        <v>634</v>
      </c>
      <c r="AM362" s="936">
        <f t="shared" si="129"/>
        <v>634</v>
      </c>
      <c r="AN362" s="641">
        <f t="shared" si="125"/>
        <v>2</v>
      </c>
      <c r="AO362" s="641" t="str">
        <f t="shared" si="126"/>
        <v>Show</v>
      </c>
      <c r="AP362" s="929" t="str">
        <f t="shared" si="127"/>
        <v>Datacapture Assembly</v>
      </c>
    </row>
    <row r="363" spans="2:42" x14ac:dyDescent="0.2">
      <c r="B363"/>
      <c r="C363" s="758"/>
      <c r="D363" s="598">
        <f t="shared" si="140"/>
        <v>2070427</v>
      </c>
      <c r="E363" s="597">
        <f t="shared" si="141"/>
        <v>11060176</v>
      </c>
      <c r="F363" s="234" t="s">
        <v>1324</v>
      </c>
      <c r="G363" s="391">
        <f>SUM(G358:G359)</f>
        <v>2</v>
      </c>
      <c r="H363" s="241">
        <f t="shared" si="142"/>
        <v>317</v>
      </c>
      <c r="I363" s="242">
        <f t="shared" si="143"/>
        <v>634</v>
      </c>
      <c r="J363" s="565"/>
      <c r="AG363" s="641">
        <f t="shared" si="122"/>
        <v>2070427</v>
      </c>
      <c r="AH363" s="641">
        <f t="shared" si="123"/>
        <v>11060176</v>
      </c>
      <c r="AI363" s="641" t="str">
        <f t="shared" si="124"/>
        <v>CAB-GD05 M12 PWR I/O F/L 10M </v>
      </c>
      <c r="AJ363" s="641" t="s">
        <v>910</v>
      </c>
      <c r="AK363" s="931" t="s">
        <v>990</v>
      </c>
      <c r="AL363" s="641">
        <f t="shared" si="128"/>
        <v>634</v>
      </c>
      <c r="AM363" s="936">
        <f t="shared" si="129"/>
        <v>634</v>
      </c>
      <c r="AN363" s="641">
        <f t="shared" si="125"/>
        <v>2</v>
      </c>
      <c r="AO363" s="641" t="str">
        <f t="shared" si="126"/>
        <v>Show</v>
      </c>
      <c r="AP363" s="929" t="str">
        <f t="shared" si="127"/>
        <v>Datacapture Assembly</v>
      </c>
    </row>
    <row r="364" spans="2:42" ht="7.15" customHeight="1" x14ac:dyDescent="0.2">
      <c r="B364"/>
      <c r="C364" s="758"/>
      <c r="D364" s="598"/>
      <c r="E364" s="597"/>
      <c r="F364" s="234"/>
      <c r="G364" s="391"/>
      <c r="H364" s="241"/>
      <c r="I364" s="242"/>
      <c r="J364" s="565"/>
      <c r="AM364" s="936"/>
      <c r="AP364" s="929" t="str">
        <f t="shared" si="127"/>
        <v/>
      </c>
    </row>
    <row r="365" spans="2:42" x14ac:dyDescent="0.2">
      <c r="B365" s="93"/>
      <c r="C365" s="758"/>
      <c r="D365" s="366">
        <f>VLOOKUP($F365,$F$505:$I$935,3,FALSE)</f>
        <v>6033180</v>
      </c>
      <c r="E365" s="9">
        <f>VLOOKUP($F365,$F$505:$I$935,2,FALSE)</f>
        <v>11060156</v>
      </c>
      <c r="F365" s="129" t="s">
        <v>516</v>
      </c>
      <c r="G365" s="295"/>
      <c r="H365" s="417" t="str">
        <f>IF(ISERROR(IF(G365&gt;=1,VLOOKUP(F365,F$504:I$935,4,FALSE),"")),"",IF(G365&gt;=1,VLOOKUP(F365,F$504:I$935,4,FALSE),""))</f>
        <v/>
      </c>
      <c r="I365" s="73" t="str">
        <f t="shared" si="143"/>
        <v/>
      </c>
      <c r="J365" s="565"/>
      <c r="K365" s="1001"/>
      <c r="L365" s="937" t="s">
        <v>107</v>
      </c>
      <c r="M365" s="937"/>
      <c r="N365" s="937" t="s">
        <v>516</v>
      </c>
      <c r="O365" s="937"/>
      <c r="P365" s="934"/>
      <c r="Q365" s="937"/>
      <c r="S365" s="641" t="s">
        <v>108</v>
      </c>
      <c r="U365" s="641" t="s">
        <v>517</v>
      </c>
      <c r="AG365" s="641">
        <f t="shared" si="122"/>
        <v>6033180</v>
      </c>
      <c r="AH365" s="641">
        <f t="shared" si="123"/>
        <v>11060156</v>
      </c>
      <c r="AI365" s="641" t="str">
        <f t="shared" si="124"/>
        <v xml:space="preserve">Reflective Sensor WL8-P2131 </v>
      </c>
      <c r="AJ365" s="641" t="s">
        <v>954</v>
      </c>
      <c r="AK365" s="931" t="s">
        <v>990</v>
      </c>
      <c r="AL365" s="935" t="str">
        <f t="shared" si="128"/>
        <v/>
      </c>
      <c r="AM365" s="936" t="str">
        <f>AL365</f>
        <v/>
      </c>
      <c r="AN365" s="641">
        <f t="shared" si="125"/>
        <v>0</v>
      </c>
      <c r="AO365" s="641" t="str">
        <f t="shared" si="126"/>
        <v/>
      </c>
      <c r="AP365" s="929" t="str">
        <f t="shared" si="127"/>
        <v>Datacapture Assembly</v>
      </c>
    </row>
    <row r="366" spans="2:42" x14ac:dyDescent="0.2">
      <c r="B366" s="761" t="str">
        <f>F365&amp;F366</f>
        <v>Reflective Sensor WL8-P2131 1 x M8 3PIN 5M CABLE</v>
      </c>
      <c r="C366" s="758"/>
      <c r="D366" s="366">
        <f>VLOOKUP($F366,$F$505:$I$935,3,FALSE)</f>
        <v>6025889</v>
      </c>
      <c r="E366" s="9" t="str">
        <f>VLOOKUP($F366,$F$505:$I$935,2,FALSE)</f>
        <v>11020007</v>
      </c>
      <c r="F366" s="87" t="str">
        <f>HLOOKUP($F$184,$N$184:$U$187,2,FALSE)</f>
        <v>1 x M8 3PIN 5M CABLE</v>
      </c>
      <c r="G366" s="295">
        <f>G365*(VLOOKUP($B366,$L$185:$O$211,4,FALSE))</f>
        <v>0</v>
      </c>
      <c r="H366" s="417" t="str">
        <f>IF(G366&gt;=1,VLOOKUP(F366,F$504:I$935,4,FALSE),"")</f>
        <v/>
      </c>
      <c r="I366" s="73" t="str">
        <f t="shared" si="143"/>
        <v/>
      </c>
      <c r="J366" s="565"/>
      <c r="K366" s="1001"/>
      <c r="L366" s="937" t="str">
        <f>M366&amp;N366</f>
        <v>Reflective Sensor WL8-P2131 1 x M8 3PIN 5M CABLE</v>
      </c>
      <c r="M366" s="937" t="s">
        <v>516</v>
      </c>
      <c r="N366" s="937" t="s">
        <v>105</v>
      </c>
      <c r="O366" s="937">
        <v>1</v>
      </c>
      <c r="P366" s="934"/>
      <c r="Q366" s="937"/>
      <c r="S366" s="641" t="str">
        <f>T366&amp;U366</f>
        <v>Proximity Sensor WTB8-P2131  1 x M8 3PIN 5M CABLE</v>
      </c>
      <c r="T366" s="641" t="s">
        <v>517</v>
      </c>
      <c r="U366" s="641" t="s">
        <v>105</v>
      </c>
      <c r="V366" s="641">
        <v>1</v>
      </c>
      <c r="AG366" s="641">
        <f t="shared" si="122"/>
        <v>6025889</v>
      </c>
      <c r="AH366" s="641" t="str">
        <f t="shared" si="123"/>
        <v>11020007</v>
      </c>
      <c r="AI366" s="641" t="str">
        <f t="shared" si="124"/>
        <v>1 x M8 3PIN 5M CABLE</v>
      </c>
      <c r="AJ366" s="641" t="s">
        <v>954</v>
      </c>
      <c r="AK366" s="931" t="s">
        <v>990</v>
      </c>
      <c r="AL366" s="935" t="str">
        <f t="shared" si="128"/>
        <v/>
      </c>
      <c r="AM366" s="936" t="str">
        <f>AL366</f>
        <v/>
      </c>
      <c r="AN366" s="641">
        <f t="shared" si="125"/>
        <v>0</v>
      </c>
      <c r="AO366" s="641" t="str">
        <f t="shared" si="126"/>
        <v/>
      </c>
      <c r="AP366" s="929" t="str">
        <f t="shared" si="127"/>
        <v>Datacapture Assembly</v>
      </c>
    </row>
    <row r="367" spans="2:42" x14ac:dyDescent="0.2">
      <c r="B367" s="761" t="str">
        <f>F365&amp;F367</f>
        <v>Reflective Sensor WL8-P2131 BRACKET PE SENSOR ASSY</v>
      </c>
      <c r="C367" s="758"/>
      <c r="D367" s="368" t="str">
        <f>VLOOKUP($F367,$F$505:$I$935,3,FALSE)</f>
        <v>13120085 KIT</v>
      </c>
      <c r="E367" s="26">
        <f>VLOOKUP($F367,$F$505:$I$935,2,FALSE)</f>
        <v>13120085</v>
      </c>
      <c r="F367" s="87" t="str">
        <f>HLOOKUP($F$184,$N$184:$U$187,3,FALSE)</f>
        <v>BRACKET PE SENSOR ASSY</v>
      </c>
      <c r="G367" s="295">
        <f>G366*(VLOOKUP($B367,$L$185:$O$211,4,FALSE))</f>
        <v>0</v>
      </c>
      <c r="H367" s="418" t="str">
        <f>IF(G367&gt;=0.1,VLOOKUP(F367,F$504:I$935,4,FALSE),"")</f>
        <v/>
      </c>
      <c r="I367" s="73" t="str">
        <f t="shared" si="143"/>
        <v/>
      </c>
      <c r="J367" s="565"/>
      <c r="K367" s="1001"/>
      <c r="L367" s="937" t="str">
        <f>M367&amp;N367</f>
        <v>Reflective Sensor WL8-P2131 BRACKET PE SENSOR ASSY</v>
      </c>
      <c r="M367" s="937" t="s">
        <v>516</v>
      </c>
      <c r="N367" s="937" t="s">
        <v>551</v>
      </c>
      <c r="O367" s="937">
        <v>1</v>
      </c>
      <c r="P367" s="934"/>
      <c r="Q367" s="937"/>
      <c r="S367" s="641" t="str">
        <f>T367&amp;U367</f>
        <v>Proximity Sensor WTB8-P2131  BRACKET PE SENSOR ASSY</v>
      </c>
      <c r="T367" s="641" t="s">
        <v>517</v>
      </c>
      <c r="U367" s="937" t="s">
        <v>551</v>
      </c>
      <c r="V367" s="641">
        <v>1</v>
      </c>
      <c r="AG367" s="641" t="str">
        <f t="shared" si="122"/>
        <v>13120085 KIT</v>
      </c>
      <c r="AH367" s="641">
        <f t="shared" si="123"/>
        <v>13120085</v>
      </c>
      <c r="AI367" s="641" t="str">
        <f t="shared" si="124"/>
        <v>BRACKET PE SENSOR ASSY</v>
      </c>
      <c r="AJ367" s="641" t="s">
        <v>897</v>
      </c>
      <c r="AK367" s="931" t="s">
        <v>990</v>
      </c>
      <c r="AL367" s="935" t="str">
        <f t="shared" si="128"/>
        <v/>
      </c>
      <c r="AM367" s="936" t="str">
        <f>AL367</f>
        <v/>
      </c>
      <c r="AN367" s="641">
        <f t="shared" si="125"/>
        <v>0</v>
      </c>
      <c r="AO367" s="641" t="str">
        <f t="shared" si="126"/>
        <v/>
      </c>
      <c r="AP367" s="929" t="str">
        <f t="shared" si="127"/>
        <v>Datacapture Assembly</v>
      </c>
    </row>
    <row r="368" spans="2:42" x14ac:dyDescent="0.2">
      <c r="B368" s="761" t="str">
        <f>F365&amp;F368</f>
        <v>Reflective Sensor WL8-P2131 BRACKET PE REFLECTOR ASSY</v>
      </c>
      <c r="C368" s="758"/>
      <c r="D368" s="366" t="str">
        <f>VLOOKUP($F368,$F$505:$I$935,3,FALSE)</f>
        <v>13120086 KIT</v>
      </c>
      <c r="E368" s="9">
        <f>VLOOKUP($F368,$F$505:$I$935,2,FALSE)</f>
        <v>13120086</v>
      </c>
      <c r="F368" s="87" t="str">
        <f>HLOOKUP($F$184,$N$184:$U$187,4,FALSE)</f>
        <v>BRACKET PE REFLECTOR ASSY</v>
      </c>
      <c r="G368" s="295">
        <f>IF(F368=0,"",G366*(VLOOKUP($B368,$L$185:$O$211,4,FALSE)))</f>
        <v>0</v>
      </c>
      <c r="H368" s="417" t="str">
        <f>IF(G368&gt;=0.1,VLOOKUP(F368,F$504:I$935,4,FALSE),"")</f>
        <v/>
      </c>
      <c r="I368" s="73" t="str">
        <f t="shared" si="143"/>
        <v/>
      </c>
      <c r="J368" s="565"/>
      <c r="K368" s="1001"/>
      <c r="L368" s="937" t="str">
        <f>M368&amp;N368</f>
        <v>Reflective Sensor WL8-P2131 BRACKET PE REFLECTOR ASSY</v>
      </c>
      <c r="M368" s="937" t="s">
        <v>516</v>
      </c>
      <c r="N368" s="641" t="s">
        <v>552</v>
      </c>
      <c r="O368" s="937">
        <v>1</v>
      </c>
      <c r="P368" s="934"/>
      <c r="Q368" s="937"/>
      <c r="S368" s="641" t="str">
        <f>T368&amp;U368</f>
        <v>Proximity Sensor WTB8-P2131  BRACKET PE REFLECTOR ASSY</v>
      </c>
      <c r="T368" s="641" t="s">
        <v>517</v>
      </c>
      <c r="U368" s="641" t="s">
        <v>552</v>
      </c>
      <c r="V368" s="641">
        <v>1</v>
      </c>
      <c r="AG368" s="641" t="str">
        <f t="shared" si="122"/>
        <v>13120086 KIT</v>
      </c>
      <c r="AH368" s="641">
        <f t="shared" si="123"/>
        <v>13120086</v>
      </c>
      <c r="AI368" s="641" t="str">
        <f t="shared" si="124"/>
        <v>BRACKET PE REFLECTOR ASSY</v>
      </c>
      <c r="AJ368" s="641" t="s">
        <v>897</v>
      </c>
      <c r="AK368" s="931" t="s">
        <v>990</v>
      </c>
      <c r="AL368" s="935" t="str">
        <f t="shared" si="128"/>
        <v/>
      </c>
      <c r="AM368" s="936" t="str">
        <f>AL368</f>
        <v/>
      </c>
      <c r="AN368" s="641">
        <f t="shared" si="125"/>
        <v>0</v>
      </c>
      <c r="AO368" s="641" t="str">
        <f t="shared" si="126"/>
        <v/>
      </c>
      <c r="AP368" s="929" t="str">
        <f t="shared" si="127"/>
        <v>Datacapture Assembly</v>
      </c>
    </row>
    <row r="369" spans="2:42" ht="7.15" customHeight="1" x14ac:dyDescent="0.2">
      <c r="B369" s="760"/>
      <c r="C369" s="758"/>
      <c r="D369" s="598"/>
      <c r="E369" s="597"/>
      <c r="F369" s="234"/>
      <c r="G369" s="391"/>
      <c r="H369" s="241" t="str">
        <f>IF(G369&gt;=0.1,VLOOKUP(F369,F$504:I$935,4,FALSE),"")</f>
        <v/>
      </c>
      <c r="I369" s="242" t="str">
        <f t="shared" si="143"/>
        <v/>
      </c>
      <c r="J369" s="565"/>
      <c r="AG369" s="641" t="str">
        <f t="shared" si="122"/>
        <v/>
      </c>
      <c r="AH369" s="641" t="str">
        <f t="shared" si="123"/>
        <v/>
      </c>
      <c r="AI369" s="641" t="str">
        <f t="shared" si="124"/>
        <v/>
      </c>
      <c r="AJ369" s="641" t="e">
        <v>#N/A</v>
      </c>
      <c r="AK369" s="931" t="e">
        <f>VLOOKUP(E369,$G$505:$N$891,8,FALSE)</f>
        <v>#N/A</v>
      </c>
      <c r="AL369" s="641" t="str">
        <f t="shared" si="128"/>
        <v/>
      </c>
      <c r="AM369" s="936" t="str">
        <f t="shared" si="129"/>
        <v/>
      </c>
      <c r="AN369" s="641">
        <f t="shared" si="125"/>
        <v>0</v>
      </c>
      <c r="AO369" s="641" t="str">
        <f t="shared" si="126"/>
        <v/>
      </c>
      <c r="AP369" s="929" t="e">
        <f t="shared" si="127"/>
        <v>#N/A</v>
      </c>
    </row>
    <row r="370" spans="2:42" x14ac:dyDescent="0.2">
      <c r="B370"/>
      <c r="C370" s="758"/>
      <c r="D370" s="600">
        <f>VLOOKUP($F370,$F$505:$I$935,3,FALSE)</f>
        <v>0</v>
      </c>
      <c r="E370" s="597">
        <f>VLOOKUP($F370,$F$505:$I$935,2,FALSE)</f>
        <v>10030004</v>
      </c>
      <c r="F370" s="234" t="s">
        <v>745</v>
      </c>
      <c r="G370" s="391"/>
      <c r="H370" s="241" t="str">
        <f>IF(G370&gt;=0.1,VLOOKUP(F370,F$504:I$935,4,FALSE),"")</f>
        <v/>
      </c>
      <c r="I370" s="242" t="str">
        <f t="shared" si="143"/>
        <v/>
      </c>
      <c r="J370" s="565"/>
      <c r="AG370" s="641">
        <f t="shared" si="122"/>
        <v>0</v>
      </c>
      <c r="AH370" s="641">
        <f t="shared" si="123"/>
        <v>10030004</v>
      </c>
      <c r="AI370" s="641" t="str">
        <f t="shared" si="124"/>
        <v>Induct Scanner DS5100 Kit (inc CBX and cables)</v>
      </c>
      <c r="AJ370" s="641" t="s">
        <v>910</v>
      </c>
      <c r="AK370" s="931" t="s">
        <v>990</v>
      </c>
      <c r="AL370" s="641" t="str">
        <f t="shared" si="128"/>
        <v/>
      </c>
      <c r="AM370" s="936" t="str">
        <f t="shared" si="129"/>
        <v/>
      </c>
      <c r="AN370" s="641">
        <f t="shared" si="125"/>
        <v>0</v>
      </c>
      <c r="AO370" s="641" t="str">
        <f t="shared" si="126"/>
        <v/>
      </c>
      <c r="AP370" s="929" t="str">
        <f t="shared" si="127"/>
        <v>Datacapture Assembly</v>
      </c>
    </row>
    <row r="371" spans="2:42" x14ac:dyDescent="0.2">
      <c r="B371"/>
      <c r="C371" s="758"/>
      <c r="D371" s="600" t="str">
        <f>VLOOKUP($F371,$F$505:$I$935,3,FALSE)</f>
        <v>MCA-1101006</v>
      </c>
      <c r="E371" s="597">
        <f>VLOOKUP($F371,$F$505:$I$935,2,FALSE)</f>
        <v>13090050</v>
      </c>
      <c r="F371" s="250" t="s">
        <v>1287</v>
      </c>
      <c r="G371" s="391">
        <f>G370</f>
        <v>0</v>
      </c>
      <c r="H371" s="241" t="str">
        <f>IF(G371&gt;=0.1,VLOOKUP(F371,F$504:I$935,4,FALSE),"")</f>
        <v/>
      </c>
      <c r="I371" s="242" t="str">
        <f t="shared" si="143"/>
        <v/>
      </c>
      <c r="J371" s="565"/>
      <c r="AG371" s="641" t="str">
        <f t="shared" si="122"/>
        <v>MCA-1101006</v>
      </c>
      <c r="AH371" s="641">
        <f t="shared" si="123"/>
        <v>13090050</v>
      </c>
      <c r="AI371" s="641" t="str">
        <f t="shared" si="124"/>
        <v>Induct Scanner Pole (Oscillating Scanners)</v>
      </c>
      <c r="AJ371" s="641" t="s">
        <v>910</v>
      </c>
      <c r="AK371" s="931" t="s">
        <v>990</v>
      </c>
      <c r="AL371" s="641" t="str">
        <f t="shared" si="128"/>
        <v/>
      </c>
      <c r="AM371" s="936" t="str">
        <f t="shared" si="129"/>
        <v/>
      </c>
      <c r="AN371" s="641">
        <f t="shared" si="125"/>
        <v>0</v>
      </c>
      <c r="AO371" s="641" t="str">
        <f t="shared" si="126"/>
        <v/>
      </c>
      <c r="AP371" s="929" t="str">
        <f t="shared" si="127"/>
        <v>Datacapture Assembly</v>
      </c>
    </row>
    <row r="372" spans="2:42" x14ac:dyDescent="0.2">
      <c r="B372"/>
      <c r="C372" s="244"/>
      <c r="D372" s="297"/>
      <c r="E372" s="245"/>
      <c r="F372" s="246"/>
      <c r="G372" s="247"/>
      <c r="H372" s="248"/>
      <c r="I372" s="249"/>
      <c r="J372" s="565"/>
      <c r="AG372" s="641" t="str">
        <f t="shared" si="122"/>
        <v/>
      </c>
      <c r="AH372" s="641" t="str">
        <f t="shared" si="123"/>
        <v/>
      </c>
      <c r="AI372" s="641" t="str">
        <f t="shared" si="124"/>
        <v/>
      </c>
      <c r="AL372" s="641" t="str">
        <f t="shared" si="128"/>
        <v/>
      </c>
      <c r="AM372" s="936" t="str">
        <f t="shared" si="129"/>
        <v/>
      </c>
      <c r="AN372" s="641">
        <f t="shared" si="125"/>
        <v>0</v>
      </c>
      <c r="AO372" s="641" t="str">
        <f t="shared" si="126"/>
        <v/>
      </c>
      <c r="AP372" s="929" t="str">
        <f t="shared" si="127"/>
        <v/>
      </c>
    </row>
    <row r="373" spans="2:42" ht="17.100000000000001" customHeight="1" x14ac:dyDescent="0.2">
      <c r="B373"/>
      <c r="C373" s="243" t="s">
        <v>825</v>
      </c>
      <c r="D373" s="363"/>
      <c r="E373" s="227"/>
      <c r="F373" s="227"/>
      <c r="G373" s="228"/>
      <c r="H373" s="237"/>
      <c r="I373" s="238"/>
      <c r="J373" s="565"/>
      <c r="AG373" s="641" t="str">
        <f t="shared" si="122"/>
        <v/>
      </c>
      <c r="AH373" s="641" t="str">
        <f t="shared" si="123"/>
        <v/>
      </c>
      <c r="AI373" s="641" t="str">
        <f t="shared" si="124"/>
        <v/>
      </c>
      <c r="AL373" s="641" t="str">
        <f t="shared" si="128"/>
        <v/>
      </c>
      <c r="AM373" s="936" t="str">
        <f t="shared" si="129"/>
        <v/>
      </c>
      <c r="AN373" s="641">
        <f t="shared" si="125"/>
        <v>0</v>
      </c>
      <c r="AO373" s="641" t="str">
        <f t="shared" si="126"/>
        <v/>
      </c>
      <c r="AP373" s="929" t="str">
        <f t="shared" si="127"/>
        <v/>
      </c>
    </row>
    <row r="374" spans="2:42" x14ac:dyDescent="0.2">
      <c r="B374"/>
      <c r="C374" s="543"/>
      <c r="D374" s="598">
        <f t="shared" ref="D374:D380" si="144">VLOOKUP($F374,$F$505:$I$935,3,FALSE)</f>
        <v>12990013</v>
      </c>
      <c r="E374" s="597">
        <f t="shared" ref="E374:E380" si="145">VLOOKUP($F374,$F$505:$I$935,2,FALSE)</f>
        <v>12990013</v>
      </c>
      <c r="F374" s="250" t="s">
        <v>1372</v>
      </c>
      <c r="G374" s="391"/>
      <c r="H374" s="241" t="str">
        <f t="shared" ref="H374:H382" si="146">IF(G374&gt;=0.1,VLOOKUP(F374,F$504:I$935,4,FALSE),"")</f>
        <v/>
      </c>
      <c r="I374" s="242" t="str">
        <f t="shared" ref="I374:I380" si="147">IF(ISERROR(H374*G374),"",H374*G374)</f>
        <v/>
      </c>
      <c r="J374" s="565"/>
      <c r="AG374" s="641">
        <f t="shared" si="122"/>
        <v>12990013</v>
      </c>
      <c r="AH374" s="641">
        <f t="shared" si="123"/>
        <v>12990013</v>
      </c>
      <c r="AI374" s="641" t="str">
        <f t="shared" si="124"/>
        <v>Mini CIM V2</v>
      </c>
      <c r="AJ374" s="641" t="s">
        <v>897</v>
      </c>
      <c r="AK374" s="931" t="s">
        <v>990</v>
      </c>
      <c r="AL374" s="641" t="str">
        <f t="shared" si="128"/>
        <v/>
      </c>
      <c r="AM374" s="936" t="str">
        <f t="shared" si="129"/>
        <v/>
      </c>
      <c r="AN374" s="641">
        <f t="shared" si="125"/>
        <v>0</v>
      </c>
      <c r="AO374" s="641" t="str">
        <f t="shared" si="126"/>
        <v/>
      </c>
      <c r="AP374" s="929" t="str">
        <f t="shared" si="127"/>
        <v>Datacapture Assembly</v>
      </c>
    </row>
    <row r="375" spans="2:42" x14ac:dyDescent="0.2">
      <c r="B375"/>
      <c r="C375" s="543"/>
      <c r="D375" s="598">
        <f t="shared" si="144"/>
        <v>13080198</v>
      </c>
      <c r="E375" s="597">
        <f t="shared" si="145"/>
        <v>13080198</v>
      </c>
      <c r="F375" s="250" t="s">
        <v>1373</v>
      </c>
      <c r="G375" s="391"/>
      <c r="H375" s="241" t="str">
        <f t="shared" si="146"/>
        <v/>
      </c>
      <c r="I375" s="242" t="str">
        <f t="shared" si="147"/>
        <v/>
      </c>
      <c r="J375" s="565"/>
      <c r="AG375" s="641">
        <f t="shared" si="122"/>
        <v>13080198</v>
      </c>
      <c r="AH375" s="641">
        <f t="shared" si="123"/>
        <v>13080198</v>
      </c>
      <c r="AI375" s="641" t="str">
        <f t="shared" si="124"/>
        <v>CIM V7 Carton &amp; Pallet</v>
      </c>
      <c r="AJ375" s="641" t="s">
        <v>897</v>
      </c>
      <c r="AK375" s="931" t="s">
        <v>990</v>
      </c>
      <c r="AL375" s="641" t="str">
        <f t="shared" si="128"/>
        <v/>
      </c>
      <c r="AM375" s="936" t="str">
        <f t="shared" si="129"/>
        <v/>
      </c>
      <c r="AN375" s="641">
        <f t="shared" si="125"/>
        <v>0</v>
      </c>
      <c r="AO375" s="641" t="str">
        <f t="shared" si="126"/>
        <v/>
      </c>
      <c r="AP375" s="929" t="str">
        <f t="shared" si="127"/>
        <v>Datacapture Assembly</v>
      </c>
    </row>
    <row r="376" spans="2:42" x14ac:dyDescent="0.2">
      <c r="B376"/>
      <c r="C376" s="543"/>
      <c r="D376" s="598" t="str">
        <f t="shared" si="144"/>
        <v>LCE-302-BYG</v>
      </c>
      <c r="E376" s="597">
        <f t="shared" si="145"/>
        <v>13080094</v>
      </c>
      <c r="F376" s="234" t="s">
        <v>1366</v>
      </c>
      <c r="G376" s="391">
        <f>SUM(G374:G375)</f>
        <v>0</v>
      </c>
      <c r="H376" s="241" t="str">
        <f t="shared" si="146"/>
        <v/>
      </c>
      <c r="I376" s="242" t="str">
        <f t="shared" ref="I376" si="148">IF(ISERROR(H376*G376),"",H376*G376)</f>
        <v/>
      </c>
      <c r="J376" s="565"/>
      <c r="AG376" s="641" t="str">
        <f t="shared" ref="AG376" si="149">IF(D376="","",D376)</f>
        <v>LCE-302-BYG</v>
      </c>
      <c r="AH376" s="641">
        <f t="shared" ref="AH376" si="150">IF(E376="","",E376)</f>
        <v>13080094</v>
      </c>
      <c r="AI376" s="641" t="str">
        <f t="shared" ref="AI376" si="151">IF(F376="","",F376)</f>
        <v>Beacon B/A/G</v>
      </c>
      <c r="AJ376" s="641" t="s">
        <v>897</v>
      </c>
      <c r="AK376" s="931" t="s">
        <v>990</v>
      </c>
      <c r="AL376" s="641" t="str">
        <f t="shared" ref="AL376" si="152">IF(G376&gt;0,I376,"")</f>
        <v/>
      </c>
      <c r="AM376" s="936" t="str">
        <f t="shared" ref="AM376" si="153">AL376</f>
        <v/>
      </c>
      <c r="AN376" s="641">
        <f t="shared" ref="AN376" si="154">IF(G376="",0,G376)</f>
        <v>0</v>
      </c>
      <c r="AO376" s="641" t="str">
        <f t="shared" ref="AO376" si="155">IF(AN376&gt;0,"Show", "")</f>
        <v/>
      </c>
      <c r="AP376" s="929" t="str">
        <f t="shared" ref="AP376" si="156">IF(AK376=0,"", AK376)</f>
        <v>Datacapture Assembly</v>
      </c>
    </row>
    <row r="377" spans="2:42" x14ac:dyDescent="0.2">
      <c r="B377"/>
      <c r="C377" s="543"/>
      <c r="D377" s="598" t="str">
        <f t="shared" si="144"/>
        <v>MCA-1006014-0</v>
      </c>
      <c r="E377" s="597" t="str">
        <f t="shared" si="145"/>
        <v>13090020</v>
      </c>
      <c r="F377" s="250" t="s">
        <v>807</v>
      </c>
      <c r="G377" s="391">
        <v>1</v>
      </c>
      <c r="H377" s="241">
        <f t="shared" si="146"/>
        <v>1500</v>
      </c>
      <c r="I377" s="242">
        <f t="shared" si="147"/>
        <v>1500</v>
      </c>
      <c r="J377" s="565"/>
      <c r="AG377" s="641" t="str">
        <f t="shared" si="122"/>
        <v>MCA-1006014-0</v>
      </c>
      <c r="AH377" s="641" t="str">
        <f t="shared" si="123"/>
        <v>13090020</v>
      </c>
      <c r="AI377" s="641" t="str">
        <f t="shared" si="124"/>
        <v>STAND - H W/TABEL FEET</v>
      </c>
      <c r="AJ377" s="641" t="s">
        <v>897</v>
      </c>
      <c r="AK377" s="931" t="s">
        <v>991</v>
      </c>
      <c r="AL377" s="641">
        <f t="shared" si="128"/>
        <v>1500</v>
      </c>
      <c r="AM377" s="936">
        <f t="shared" si="129"/>
        <v>1500</v>
      </c>
      <c r="AN377" s="641">
        <f t="shared" si="125"/>
        <v>1</v>
      </c>
      <c r="AO377" s="641" t="str">
        <f t="shared" si="126"/>
        <v>Show</v>
      </c>
      <c r="AP377" s="929" t="str">
        <f t="shared" si="127"/>
        <v>Engineering Assembly</v>
      </c>
    </row>
    <row r="378" spans="2:42" x14ac:dyDescent="0.2">
      <c r="B378"/>
      <c r="C378" s="543"/>
      <c r="D378" s="598" t="str">
        <f t="shared" si="144"/>
        <v>GM4130-BK-433K2</v>
      </c>
      <c r="E378" s="597" t="str">
        <f t="shared" si="145"/>
        <v>10040052</v>
      </c>
      <c r="F378" s="250" t="s">
        <v>808</v>
      </c>
      <c r="G378" s="391">
        <f>SUM($G$374:$G$375)</f>
        <v>0</v>
      </c>
      <c r="H378" s="241" t="str">
        <f t="shared" si="146"/>
        <v/>
      </c>
      <c r="I378" s="242" t="str">
        <f t="shared" si="147"/>
        <v/>
      </c>
      <c r="J378" s="565"/>
      <c r="AG378" s="641" t="str">
        <f t="shared" si="122"/>
        <v>GM4130-BK-433K2</v>
      </c>
      <c r="AH378" s="641" t="str">
        <f t="shared" si="123"/>
        <v>10040052</v>
      </c>
      <c r="AI378" s="641" t="str">
        <f t="shared" si="124"/>
        <v xml:space="preserve">CORDLESS HAND SCNR </v>
      </c>
      <c r="AJ378" s="641" t="s">
        <v>910</v>
      </c>
      <c r="AK378" s="931" t="s">
        <v>990</v>
      </c>
      <c r="AL378" s="641" t="str">
        <f t="shared" si="128"/>
        <v/>
      </c>
      <c r="AM378" s="936" t="str">
        <f t="shared" si="129"/>
        <v/>
      </c>
      <c r="AN378" s="641">
        <f t="shared" si="125"/>
        <v>0</v>
      </c>
      <c r="AO378" s="641" t="str">
        <f t="shared" si="126"/>
        <v/>
      </c>
      <c r="AP378" s="929" t="str">
        <f t="shared" si="127"/>
        <v>Datacapture Assembly</v>
      </c>
    </row>
    <row r="379" spans="2:42" x14ac:dyDescent="0.2">
      <c r="B379"/>
      <c r="C379" s="543"/>
      <c r="D379" s="598" t="str">
        <f t="shared" si="144"/>
        <v>KD2004N00Y07</v>
      </c>
      <c r="E379" s="597" t="str">
        <f t="shared" si="145"/>
        <v>07010077</v>
      </c>
      <c r="F379" s="250" t="s">
        <v>809</v>
      </c>
      <c r="G379" s="391"/>
      <c r="H379" s="241" t="str">
        <f t="shared" si="146"/>
        <v/>
      </c>
      <c r="I379" s="242" t="str">
        <f t="shared" si="147"/>
        <v/>
      </c>
      <c r="J379" s="565"/>
      <c r="AG379" s="641" t="str">
        <f t="shared" si="122"/>
        <v>KD2004N00Y07</v>
      </c>
      <c r="AH379" s="641" t="str">
        <f t="shared" si="123"/>
        <v>07010077</v>
      </c>
      <c r="AI379" s="641" t="str">
        <f t="shared" si="124"/>
        <v xml:space="preserve">SAP - Datamax DMX M4206 TT </v>
      </c>
      <c r="AJ379" s="641" t="s">
        <v>959</v>
      </c>
      <c r="AK379" s="931" t="s">
        <v>992</v>
      </c>
      <c r="AL379" s="641" t="str">
        <f t="shared" si="128"/>
        <v/>
      </c>
      <c r="AM379" s="936" t="str">
        <f t="shared" si="129"/>
        <v/>
      </c>
      <c r="AN379" s="641">
        <f t="shared" si="125"/>
        <v>0</v>
      </c>
      <c r="AO379" s="641" t="str">
        <f t="shared" si="126"/>
        <v/>
      </c>
      <c r="AP379" s="929" t="str">
        <f t="shared" si="127"/>
        <v>Assy Datamax</v>
      </c>
    </row>
    <row r="380" spans="2:42" x14ac:dyDescent="0.2">
      <c r="B380"/>
      <c r="C380" s="543"/>
      <c r="D380" s="598">
        <f t="shared" si="144"/>
        <v>0</v>
      </c>
      <c r="E380" s="597" t="str">
        <f t="shared" si="145"/>
        <v>12080010</v>
      </c>
      <c r="F380" s="250" t="s">
        <v>1009</v>
      </c>
      <c r="G380" s="391">
        <f>G379</f>
        <v>0</v>
      </c>
      <c r="H380" s="241" t="str">
        <f t="shared" si="146"/>
        <v/>
      </c>
      <c r="I380" s="242" t="str">
        <f t="shared" si="147"/>
        <v/>
      </c>
      <c r="J380" s="565"/>
      <c r="AG380" s="641">
        <f t="shared" si="122"/>
        <v>0</v>
      </c>
      <c r="AH380" s="641" t="str">
        <f t="shared" si="123"/>
        <v>12080010</v>
      </c>
      <c r="AI380" s="641" t="str">
        <f t="shared" si="124"/>
        <v>Driver Licence Software</v>
      </c>
      <c r="AJ380" s="641" t="s">
        <v>958</v>
      </c>
      <c r="AK380" s="931" t="s">
        <v>989</v>
      </c>
      <c r="AL380" s="641" t="str">
        <f t="shared" si="128"/>
        <v/>
      </c>
      <c r="AM380" s="936" t="str">
        <f t="shared" si="129"/>
        <v/>
      </c>
      <c r="AN380" s="641">
        <f t="shared" si="125"/>
        <v>0</v>
      </c>
      <c r="AO380" s="641" t="str">
        <f t="shared" si="126"/>
        <v/>
      </c>
      <c r="AP380" s="929" t="str">
        <f t="shared" si="127"/>
        <v>IDSnet Enterprise</v>
      </c>
    </row>
    <row r="381" spans="2:42" hidden="1" x14ac:dyDescent="0.2">
      <c r="B381"/>
      <c r="C381" s="544"/>
      <c r="D381" s="600"/>
      <c r="E381" s="597"/>
      <c r="F381" s="234"/>
      <c r="G381" s="391"/>
      <c r="H381" s="241" t="str">
        <f t="shared" si="146"/>
        <v/>
      </c>
      <c r="I381" s="242" t="str">
        <f>IF(ISERROR(H381*G381),"",H381*G381)</f>
        <v/>
      </c>
      <c r="J381" s="565"/>
      <c r="AG381" s="641" t="str">
        <f t="shared" si="122"/>
        <v/>
      </c>
      <c r="AH381" s="641" t="str">
        <f t="shared" si="123"/>
        <v/>
      </c>
      <c r="AI381" s="641" t="str">
        <f t="shared" si="124"/>
        <v/>
      </c>
      <c r="AL381" s="641" t="str">
        <f t="shared" si="128"/>
        <v/>
      </c>
      <c r="AN381" s="641">
        <f t="shared" si="125"/>
        <v>0</v>
      </c>
      <c r="AO381" s="641" t="str">
        <f t="shared" si="126"/>
        <v/>
      </c>
      <c r="AP381" s="929" t="str">
        <f t="shared" si="127"/>
        <v/>
      </c>
    </row>
    <row r="382" spans="2:42" ht="13.5" thickBot="1" x14ac:dyDescent="0.25">
      <c r="B382"/>
      <c r="C382" s="220"/>
      <c r="D382" s="601"/>
      <c r="E382" s="602"/>
      <c r="F382" s="235"/>
      <c r="G382" s="68"/>
      <c r="H382" s="239" t="str">
        <f t="shared" si="146"/>
        <v/>
      </c>
      <c r="I382" s="240" t="str">
        <f>IF(ISERROR(H382*G382),"",H382*G382)</f>
        <v/>
      </c>
      <c r="J382" s="565"/>
      <c r="AG382" s="641" t="str">
        <f t="shared" si="122"/>
        <v/>
      </c>
      <c r="AH382" s="641" t="str">
        <f t="shared" si="123"/>
        <v/>
      </c>
      <c r="AI382" s="641" t="str">
        <f t="shared" si="124"/>
        <v/>
      </c>
      <c r="AL382" s="641" t="str">
        <f t="shared" si="128"/>
        <v/>
      </c>
      <c r="AN382" s="641">
        <f t="shared" si="125"/>
        <v>0</v>
      </c>
      <c r="AO382" s="641" t="str">
        <f t="shared" si="126"/>
        <v/>
      </c>
      <c r="AP382" s="929" t="str">
        <f t="shared" si="127"/>
        <v/>
      </c>
    </row>
    <row r="383" spans="2:42" ht="13.5" thickBot="1" x14ac:dyDescent="0.25">
      <c r="B383"/>
      <c r="C383" s="1"/>
      <c r="D383" s="1"/>
      <c r="E383" s="1"/>
      <c r="F383"/>
      <c r="G383" s="2"/>
      <c r="H383" s="21" t="s">
        <v>11</v>
      </c>
      <c r="I383" s="120">
        <f>SUM(I315:I382)</f>
        <v>61832</v>
      </c>
      <c r="J383" s="565"/>
      <c r="AG383" s="641" t="str">
        <f t="shared" si="122"/>
        <v/>
      </c>
      <c r="AH383" s="641" t="str">
        <f t="shared" si="123"/>
        <v/>
      </c>
      <c r="AI383" s="641" t="str">
        <f t="shared" si="124"/>
        <v/>
      </c>
      <c r="AL383" s="641" t="str">
        <f t="shared" si="128"/>
        <v/>
      </c>
      <c r="AN383" s="641">
        <f t="shared" si="125"/>
        <v>0</v>
      </c>
      <c r="AO383" s="641" t="str">
        <f t="shared" si="126"/>
        <v/>
      </c>
      <c r="AP383" s="929" t="str">
        <f t="shared" si="127"/>
        <v/>
      </c>
    </row>
    <row r="384" spans="2:42" x14ac:dyDescent="0.2">
      <c r="B384"/>
      <c r="C384" s="1"/>
      <c r="D384" s="1"/>
      <c r="E384" s="1"/>
      <c r="F384"/>
      <c r="G384" s="2"/>
      <c r="H384" s="112"/>
      <c r="I384" s="113"/>
      <c r="J384" s="565"/>
      <c r="AG384" s="641" t="str">
        <f t="shared" si="122"/>
        <v/>
      </c>
      <c r="AH384" s="641" t="str">
        <f t="shared" si="123"/>
        <v/>
      </c>
      <c r="AI384" s="641" t="str">
        <f t="shared" si="124"/>
        <v/>
      </c>
      <c r="AL384" s="641" t="str">
        <f t="shared" si="128"/>
        <v/>
      </c>
      <c r="AN384" s="641">
        <f t="shared" si="125"/>
        <v>0</v>
      </c>
      <c r="AO384" s="641" t="str">
        <f t="shared" si="126"/>
        <v/>
      </c>
      <c r="AP384" s="929" t="str">
        <f t="shared" si="127"/>
        <v/>
      </c>
    </row>
    <row r="385" spans="2:42" ht="13.5" thickBot="1" x14ac:dyDescent="0.25">
      <c r="B385"/>
      <c r="C385" s="1"/>
      <c r="D385" s="1"/>
      <c r="E385" s="1"/>
      <c r="F385"/>
      <c r="G385" s="2"/>
      <c r="H385" s="112"/>
      <c r="I385" s="113"/>
      <c r="J385" s="565"/>
      <c r="AG385" s="641" t="str">
        <f t="shared" si="122"/>
        <v/>
      </c>
      <c r="AH385" s="641" t="str">
        <f t="shared" si="123"/>
        <v/>
      </c>
      <c r="AI385" s="641" t="str">
        <f t="shared" si="124"/>
        <v/>
      </c>
      <c r="AL385" s="641" t="str">
        <f t="shared" si="128"/>
        <v/>
      </c>
      <c r="AN385" s="641">
        <f t="shared" si="125"/>
        <v>0</v>
      </c>
      <c r="AO385" s="641" t="str">
        <f t="shared" si="126"/>
        <v/>
      </c>
      <c r="AP385" s="929" t="str">
        <f t="shared" si="127"/>
        <v/>
      </c>
    </row>
    <row r="386" spans="2:42" ht="18.600000000000001" customHeight="1" thickBot="1" x14ac:dyDescent="0.3">
      <c r="B386"/>
      <c r="C386" s="356" t="s">
        <v>71</v>
      </c>
      <c r="D386" s="360"/>
      <c r="E386" s="28"/>
      <c r="F386" s="35"/>
      <c r="G386" s="30"/>
      <c r="H386" s="29"/>
      <c r="I386" s="31"/>
      <c r="J386" s="565"/>
      <c r="AG386" s="641" t="str">
        <f t="shared" si="122"/>
        <v/>
      </c>
      <c r="AH386" s="641" t="str">
        <f t="shared" si="123"/>
        <v/>
      </c>
      <c r="AI386" s="641" t="str">
        <f t="shared" si="124"/>
        <v/>
      </c>
      <c r="AL386" s="641" t="str">
        <f t="shared" si="128"/>
        <v/>
      </c>
      <c r="AN386" s="641">
        <f t="shared" si="125"/>
        <v>0</v>
      </c>
      <c r="AO386" s="641" t="str">
        <f t="shared" si="126"/>
        <v/>
      </c>
      <c r="AP386" s="929" t="str">
        <f t="shared" si="127"/>
        <v/>
      </c>
    </row>
    <row r="387" spans="2:42" ht="4.5" customHeight="1" thickBot="1" x14ac:dyDescent="0.25">
      <c r="B387"/>
      <c r="C387"/>
      <c r="D387"/>
      <c r="E387"/>
      <c r="F387"/>
      <c r="G387"/>
      <c r="H387"/>
      <c r="I387"/>
      <c r="J387" s="565"/>
      <c r="L387" s="643"/>
      <c r="M387" s="643"/>
      <c r="AG387" s="641" t="str">
        <f t="shared" si="122"/>
        <v/>
      </c>
      <c r="AH387" s="641" t="str">
        <f t="shared" si="123"/>
        <v/>
      </c>
      <c r="AI387" s="641" t="str">
        <f t="shared" si="124"/>
        <v/>
      </c>
      <c r="AL387" s="641" t="str">
        <f t="shared" si="128"/>
        <v/>
      </c>
      <c r="AN387" s="641">
        <f t="shared" si="125"/>
        <v>0</v>
      </c>
      <c r="AO387" s="641" t="str">
        <f t="shared" si="126"/>
        <v/>
      </c>
      <c r="AP387" s="929" t="str">
        <f t="shared" si="127"/>
        <v/>
      </c>
    </row>
    <row r="388" spans="2:42" ht="15.75" customHeight="1" thickBot="1" x14ac:dyDescent="0.25">
      <c r="B388"/>
      <c r="C388" s="575"/>
      <c r="D388" s="576" t="s">
        <v>1047</v>
      </c>
      <c r="E388" s="775" t="s">
        <v>838</v>
      </c>
      <c r="F388" s="577" t="s">
        <v>960</v>
      </c>
      <c r="G388" s="578" t="s">
        <v>343</v>
      </c>
      <c r="H388" s="579" t="s">
        <v>961</v>
      </c>
      <c r="I388" s="580" t="s">
        <v>8</v>
      </c>
      <c r="J388" s="565"/>
      <c r="AP388" s="929" t="str">
        <f t="shared" si="127"/>
        <v/>
      </c>
    </row>
    <row r="389" spans="2:42" ht="13.5" thickTop="1" x14ac:dyDescent="0.2">
      <c r="B389"/>
      <c r="C389" s="604" t="str">
        <f>IF(AND(F389&lt;&gt;"", E389=""), "Error: Please select PG","")</f>
        <v/>
      </c>
      <c r="D389" s="650"/>
      <c r="E389" s="581" t="s">
        <v>991</v>
      </c>
      <c r="F389" s="503" t="s">
        <v>1456</v>
      </c>
      <c r="G389" s="132">
        <v>1</v>
      </c>
      <c r="H389" s="571">
        <v>7000</v>
      </c>
      <c r="I389" s="574">
        <f t="shared" ref="I389:I401" si="157">IF(ISERROR(H389*G389),"",H389*G389)</f>
        <v>7000</v>
      </c>
      <c r="J389" s="565"/>
      <c r="AH389" s="641" t="str">
        <f>IF(D389="","",D389)</f>
        <v/>
      </c>
      <c r="AI389" s="641" t="str">
        <f t="shared" si="124"/>
        <v xml:space="preserve">CPM </v>
      </c>
      <c r="AK389" s="931" t="str">
        <f>E389</f>
        <v>Engineering Assembly</v>
      </c>
      <c r="AL389" s="641">
        <f t="shared" si="128"/>
        <v>7000</v>
      </c>
      <c r="AM389" s="641">
        <f>AL389</f>
        <v>7000</v>
      </c>
      <c r="AN389" s="641">
        <f t="shared" si="125"/>
        <v>1</v>
      </c>
      <c r="AO389" s="641" t="str">
        <f t="shared" si="126"/>
        <v>Show</v>
      </c>
      <c r="AP389" s="929" t="str">
        <f t="shared" si="127"/>
        <v>Engineering Assembly</v>
      </c>
    </row>
    <row r="390" spans="2:42" x14ac:dyDescent="0.2">
      <c r="B390"/>
      <c r="C390" s="604" t="str">
        <f t="shared" ref="C390:C406" si="158">IF(AND(F390&lt;&gt;"", E390=""), "Error: Please select PG","")</f>
        <v/>
      </c>
      <c r="D390" s="378"/>
      <c r="E390" s="581" t="s">
        <v>989</v>
      </c>
      <c r="F390" s="503" t="s">
        <v>1457</v>
      </c>
      <c r="G390" s="132">
        <v>1</v>
      </c>
      <c r="H390" s="571">
        <v>2000</v>
      </c>
      <c r="I390" s="24">
        <f t="shared" si="157"/>
        <v>2000</v>
      </c>
      <c r="J390" s="565"/>
      <c r="AH390" s="641" t="str">
        <f t="shared" ref="AH390:AH407" si="159">IF(D390="","",D390)</f>
        <v/>
      </c>
      <c r="AI390" s="641" t="str">
        <f t="shared" si="124"/>
        <v xml:space="preserve">iDSnet </v>
      </c>
      <c r="AK390" s="931" t="str">
        <f t="shared" ref="AK390:AK407" si="160">E390</f>
        <v>IDSnet Enterprise</v>
      </c>
      <c r="AL390" s="641">
        <f t="shared" si="128"/>
        <v>2000</v>
      </c>
      <c r="AM390" s="641">
        <f t="shared" ref="AM390:AM407" si="161">AL390</f>
        <v>2000</v>
      </c>
      <c r="AN390" s="641">
        <f t="shared" si="125"/>
        <v>1</v>
      </c>
      <c r="AO390" s="641" t="str">
        <f t="shared" si="126"/>
        <v>Show</v>
      </c>
      <c r="AP390" s="929" t="str">
        <f t="shared" si="127"/>
        <v>IDSnet Enterprise</v>
      </c>
    </row>
    <row r="391" spans="2:42" x14ac:dyDescent="0.2">
      <c r="B391"/>
      <c r="C391" s="604" t="str">
        <f t="shared" si="158"/>
        <v/>
      </c>
      <c r="D391" s="378"/>
      <c r="E391" s="581" t="s">
        <v>990</v>
      </c>
      <c r="F391" s="503" t="s">
        <v>1458</v>
      </c>
      <c r="G391" s="132">
        <v>1</v>
      </c>
      <c r="H391" s="571">
        <v>1500</v>
      </c>
      <c r="I391" s="24">
        <f t="shared" si="157"/>
        <v>1500</v>
      </c>
      <c r="J391" s="565"/>
      <c r="AH391" s="641" t="str">
        <f t="shared" si="159"/>
        <v/>
      </c>
      <c r="AI391" s="641" t="str">
        <f t="shared" si="124"/>
        <v>PM9500 - p/n 10040158, 10040159, - DL p/n 15N120150N</v>
      </c>
      <c r="AK391" s="931" t="str">
        <f t="shared" si="160"/>
        <v>Datacapture Assembly</v>
      </c>
      <c r="AL391" s="641">
        <f t="shared" si="128"/>
        <v>1500</v>
      </c>
      <c r="AM391" s="641">
        <f t="shared" si="161"/>
        <v>1500</v>
      </c>
      <c r="AN391" s="641">
        <f t="shared" si="125"/>
        <v>1</v>
      </c>
      <c r="AO391" s="641" t="str">
        <f t="shared" si="126"/>
        <v>Show</v>
      </c>
      <c r="AP391" s="929" t="str">
        <f t="shared" si="127"/>
        <v>Datacapture Assembly</v>
      </c>
    </row>
    <row r="392" spans="2:42" x14ac:dyDescent="0.2">
      <c r="B392"/>
      <c r="C392" s="604" t="str">
        <f t="shared" si="158"/>
        <v/>
      </c>
      <c r="D392" s="378"/>
      <c r="E392" s="581" t="s">
        <v>989</v>
      </c>
      <c r="F392" s="503" t="s">
        <v>1459</v>
      </c>
      <c r="G392" s="132">
        <v>1</v>
      </c>
      <c r="H392" s="571">
        <v>450</v>
      </c>
      <c r="I392" s="24">
        <f t="shared" si="157"/>
        <v>450</v>
      </c>
      <c r="J392" s="565"/>
      <c r="AH392" s="641" t="str">
        <f t="shared" si="159"/>
        <v/>
      </c>
      <c r="AI392" s="641" t="str">
        <f t="shared" si="124"/>
        <v>iDSnet for PM9500</v>
      </c>
      <c r="AK392" s="931" t="str">
        <f t="shared" si="160"/>
        <v>IDSnet Enterprise</v>
      </c>
      <c r="AL392" s="641">
        <f t="shared" si="128"/>
        <v>450</v>
      </c>
      <c r="AM392" s="641">
        <f t="shared" si="161"/>
        <v>450</v>
      </c>
      <c r="AN392" s="641">
        <f t="shared" si="125"/>
        <v>1</v>
      </c>
      <c r="AO392" s="641" t="str">
        <f t="shared" si="126"/>
        <v>Show</v>
      </c>
      <c r="AP392" s="929" t="str">
        <f t="shared" ref="AP392:AP407" si="162">IF(AK392=0,"", AK392)</f>
        <v>IDSnet Enterprise</v>
      </c>
    </row>
    <row r="393" spans="2:42" x14ac:dyDescent="0.2">
      <c r="B393"/>
      <c r="C393" s="604" t="str">
        <f t="shared" si="158"/>
        <v/>
      </c>
      <c r="D393" s="378">
        <v>12080009</v>
      </c>
      <c r="E393" s="581" t="s">
        <v>989</v>
      </c>
      <c r="F393" s="503" t="s">
        <v>128</v>
      </c>
      <c r="G393" s="132"/>
      <c r="H393" s="571">
        <v>11000</v>
      </c>
      <c r="I393" s="24">
        <f t="shared" si="157"/>
        <v>0</v>
      </c>
      <c r="J393" s="565"/>
      <c r="AH393" s="641">
        <f t="shared" si="159"/>
        <v>12080009</v>
      </c>
      <c r="AI393" s="641" t="str">
        <f t="shared" ref="AI393:AI407" si="163">IF(F393="","",F393)</f>
        <v>Drivers</v>
      </c>
      <c r="AK393" s="931" t="str">
        <f t="shared" si="160"/>
        <v>IDSnet Enterprise</v>
      </c>
      <c r="AL393" s="641" t="str">
        <f t="shared" si="128"/>
        <v/>
      </c>
      <c r="AM393" s="641" t="str">
        <f t="shared" si="161"/>
        <v/>
      </c>
      <c r="AN393" s="641">
        <f t="shared" ref="AN393:AN407" si="164">IF(G393="",0,G393)</f>
        <v>0</v>
      </c>
      <c r="AO393" s="641" t="str">
        <f t="shared" ref="AO393:AO407" si="165">IF(AN393&gt;0,"Show", "")</f>
        <v/>
      </c>
      <c r="AP393" s="929" t="str">
        <f t="shared" si="162"/>
        <v>IDSnet Enterprise</v>
      </c>
    </row>
    <row r="394" spans="2:42" x14ac:dyDescent="0.2">
      <c r="B394"/>
      <c r="C394" s="604" t="str">
        <f t="shared" si="158"/>
        <v/>
      </c>
      <c r="D394" s="378">
        <v>7010077</v>
      </c>
      <c r="E394" s="581" t="s">
        <v>992</v>
      </c>
      <c r="F394" s="503" t="s">
        <v>1460</v>
      </c>
      <c r="G394" s="132">
        <v>2</v>
      </c>
      <c r="H394" s="571">
        <v>1200</v>
      </c>
      <c r="I394" s="24">
        <f t="shared" si="157"/>
        <v>2400</v>
      </c>
      <c r="J394" s="565"/>
      <c r="AH394" s="641">
        <f t="shared" si="159"/>
        <v>7010077</v>
      </c>
      <c r="AI394" s="641" t="str">
        <f t="shared" si="163"/>
        <v>M4206</v>
      </c>
      <c r="AK394" s="931" t="str">
        <f t="shared" si="160"/>
        <v>Assy Datamax</v>
      </c>
      <c r="AL394" s="641">
        <f t="shared" si="128"/>
        <v>2400</v>
      </c>
      <c r="AM394" s="641">
        <f t="shared" si="161"/>
        <v>2400</v>
      </c>
      <c r="AN394" s="641">
        <f t="shared" si="164"/>
        <v>2</v>
      </c>
      <c r="AO394" s="641" t="str">
        <f t="shared" si="165"/>
        <v>Show</v>
      </c>
      <c r="AP394" s="929" t="str">
        <f t="shared" si="162"/>
        <v>Assy Datamax</v>
      </c>
    </row>
    <row r="395" spans="2:42" x14ac:dyDescent="0.2">
      <c r="B395"/>
      <c r="C395" s="604" t="str">
        <f t="shared" si="158"/>
        <v>Error: Please select PG</v>
      </c>
      <c r="D395" s="378"/>
      <c r="E395" s="581"/>
      <c r="F395" s="503" t="s">
        <v>1479</v>
      </c>
      <c r="G395" s="132">
        <v>3</v>
      </c>
      <c r="H395" s="571"/>
      <c r="I395" s="24">
        <f t="shared" si="157"/>
        <v>0</v>
      </c>
      <c r="J395" s="565"/>
      <c r="AH395" s="641" t="str">
        <f t="shared" si="159"/>
        <v/>
      </c>
      <c r="AI395" s="641" t="str">
        <f t="shared" si="163"/>
        <v>height extention base custom - Rakesh to supply quote</v>
      </c>
      <c r="AK395" s="931">
        <f t="shared" si="160"/>
        <v>0</v>
      </c>
      <c r="AL395" s="641">
        <f t="shared" si="128"/>
        <v>0</v>
      </c>
      <c r="AM395" s="641">
        <f t="shared" si="161"/>
        <v>0</v>
      </c>
      <c r="AN395" s="641">
        <f t="shared" si="164"/>
        <v>3</v>
      </c>
      <c r="AO395" s="641" t="str">
        <f t="shared" si="165"/>
        <v>Show</v>
      </c>
      <c r="AP395" s="929" t="str">
        <f t="shared" si="162"/>
        <v/>
      </c>
    </row>
    <row r="396" spans="2:42" x14ac:dyDescent="0.2">
      <c r="B396"/>
      <c r="C396" s="604" t="str">
        <f t="shared" si="158"/>
        <v/>
      </c>
      <c r="D396" s="378"/>
      <c r="E396" s="581"/>
      <c r="F396" s="393"/>
      <c r="G396" s="132"/>
      <c r="H396" s="571"/>
      <c r="I396" s="24">
        <f t="shared" si="157"/>
        <v>0</v>
      </c>
      <c r="J396" s="565"/>
      <c r="AH396" s="641" t="str">
        <f t="shared" si="159"/>
        <v/>
      </c>
      <c r="AI396" s="641" t="str">
        <f t="shared" si="163"/>
        <v/>
      </c>
      <c r="AK396" s="931">
        <f t="shared" si="160"/>
        <v>0</v>
      </c>
      <c r="AL396" s="641" t="str">
        <f t="shared" si="128"/>
        <v/>
      </c>
      <c r="AM396" s="641" t="str">
        <f t="shared" si="161"/>
        <v/>
      </c>
      <c r="AN396" s="641">
        <f t="shared" si="164"/>
        <v>0</v>
      </c>
      <c r="AO396" s="641" t="str">
        <f t="shared" si="165"/>
        <v/>
      </c>
      <c r="AP396" s="929" t="str">
        <f t="shared" si="162"/>
        <v/>
      </c>
    </row>
    <row r="397" spans="2:42" x14ac:dyDescent="0.2">
      <c r="B397"/>
      <c r="C397" s="604" t="str">
        <f t="shared" si="158"/>
        <v>Error: Please select PG</v>
      </c>
      <c r="D397" s="378"/>
      <c r="E397" s="581"/>
      <c r="F397" s="503" t="s">
        <v>1461</v>
      </c>
      <c r="G397" s="132">
        <v>3</v>
      </c>
      <c r="H397" s="571">
        <v>10745</v>
      </c>
      <c r="I397" s="24">
        <f t="shared" si="157"/>
        <v>32235</v>
      </c>
      <c r="J397" s="565"/>
      <c r="AH397" s="641" t="str">
        <f t="shared" si="159"/>
        <v/>
      </c>
      <c r="AI397" s="641" t="str">
        <f t="shared" si="163"/>
        <v>inkjet</v>
      </c>
      <c r="AK397" s="931">
        <f t="shared" si="160"/>
        <v>0</v>
      </c>
      <c r="AL397" s="641">
        <f t="shared" si="128"/>
        <v>32235</v>
      </c>
      <c r="AM397" s="641">
        <f t="shared" si="161"/>
        <v>32235</v>
      </c>
      <c r="AN397" s="641">
        <f t="shared" si="164"/>
        <v>3</v>
      </c>
      <c r="AO397" s="641" t="str">
        <f t="shared" si="165"/>
        <v>Show</v>
      </c>
      <c r="AP397" s="929" t="str">
        <f t="shared" si="162"/>
        <v/>
      </c>
    </row>
    <row r="398" spans="2:42" x14ac:dyDescent="0.2">
      <c r="B398"/>
      <c r="C398" s="604" t="str">
        <f t="shared" si="158"/>
        <v>Error: Please select PG</v>
      </c>
      <c r="D398" s="378"/>
      <c r="E398" s="581"/>
      <c r="F398" s="503" t="s">
        <v>1462</v>
      </c>
      <c r="G398" s="132">
        <v>1</v>
      </c>
      <c r="H398" s="571">
        <v>54417</v>
      </c>
      <c r="I398" s="24">
        <f t="shared" si="157"/>
        <v>54417</v>
      </c>
      <c r="J398" s="565"/>
      <c r="AH398" s="641" t="str">
        <f t="shared" si="159"/>
        <v/>
      </c>
      <c r="AI398" s="641" t="str">
        <f t="shared" si="163"/>
        <v>laser</v>
      </c>
      <c r="AK398" s="931">
        <f t="shared" si="160"/>
        <v>0</v>
      </c>
      <c r="AL398" s="641">
        <f t="shared" si="128"/>
        <v>54417</v>
      </c>
      <c r="AM398" s="641">
        <f t="shared" si="161"/>
        <v>54417</v>
      </c>
      <c r="AN398" s="641">
        <f t="shared" si="164"/>
        <v>1</v>
      </c>
      <c r="AO398" s="641" t="str">
        <f t="shared" si="165"/>
        <v>Show</v>
      </c>
      <c r="AP398" s="929" t="str">
        <f t="shared" si="162"/>
        <v/>
      </c>
    </row>
    <row r="399" spans="2:42" x14ac:dyDescent="0.2">
      <c r="B399"/>
      <c r="C399" s="604" t="str">
        <f t="shared" si="158"/>
        <v/>
      </c>
      <c r="D399" s="378"/>
      <c r="E399" s="581"/>
      <c r="F399" s="393"/>
      <c r="G399" s="132">
        <v>1</v>
      </c>
      <c r="H399" s="571">
        <v>4504</v>
      </c>
      <c r="I399" s="24">
        <f t="shared" si="157"/>
        <v>4504</v>
      </c>
      <c r="J399" s="565"/>
      <c r="AH399" s="641" t="str">
        <f t="shared" si="159"/>
        <v/>
      </c>
      <c r="AI399" s="641" t="str">
        <f t="shared" si="163"/>
        <v/>
      </c>
      <c r="AK399" s="931">
        <f t="shared" si="160"/>
        <v>0</v>
      </c>
      <c r="AL399" s="641">
        <f t="shared" si="128"/>
        <v>4504</v>
      </c>
      <c r="AM399" s="641">
        <f t="shared" si="161"/>
        <v>4504</v>
      </c>
      <c r="AN399" s="641">
        <f t="shared" si="164"/>
        <v>1</v>
      </c>
      <c r="AO399" s="641" t="str">
        <f t="shared" si="165"/>
        <v>Show</v>
      </c>
      <c r="AP399" s="929" t="str">
        <f t="shared" si="162"/>
        <v/>
      </c>
    </row>
    <row r="400" spans="2:42" x14ac:dyDescent="0.2">
      <c r="B400"/>
      <c r="C400" s="604" t="str">
        <f t="shared" si="158"/>
        <v/>
      </c>
      <c r="D400" s="378"/>
      <c r="E400" s="581"/>
      <c r="F400" s="393"/>
      <c r="G400" s="132">
        <v>1</v>
      </c>
      <c r="H400" s="571">
        <v>14950</v>
      </c>
      <c r="I400" s="24">
        <f t="shared" si="157"/>
        <v>14950</v>
      </c>
      <c r="J400" s="565"/>
      <c r="AH400" s="641" t="str">
        <f t="shared" si="159"/>
        <v/>
      </c>
      <c r="AI400" s="641" t="str">
        <f t="shared" si="163"/>
        <v/>
      </c>
      <c r="AK400" s="931">
        <f t="shared" si="160"/>
        <v>0</v>
      </c>
      <c r="AL400" s="641">
        <f t="shared" si="128"/>
        <v>14950</v>
      </c>
      <c r="AM400" s="641">
        <f t="shared" si="161"/>
        <v>14950</v>
      </c>
      <c r="AN400" s="641">
        <f t="shared" si="164"/>
        <v>1</v>
      </c>
      <c r="AO400" s="641" t="str">
        <f t="shared" si="165"/>
        <v>Show</v>
      </c>
      <c r="AP400" s="929" t="str">
        <f t="shared" si="162"/>
        <v/>
      </c>
    </row>
    <row r="401" spans="2:42" x14ac:dyDescent="0.2">
      <c r="B401"/>
      <c r="C401" s="604" t="str">
        <f t="shared" si="158"/>
        <v>Error: Please select PG</v>
      </c>
      <c r="D401" s="378"/>
      <c r="E401" s="581"/>
      <c r="F401" s="503" t="s">
        <v>1463</v>
      </c>
      <c r="G401" s="132">
        <v>1</v>
      </c>
      <c r="H401" s="571">
        <v>9800</v>
      </c>
      <c r="I401" s="24">
        <f t="shared" si="157"/>
        <v>9800</v>
      </c>
      <c r="J401" s="565"/>
      <c r="AH401" s="641" t="str">
        <f t="shared" si="159"/>
        <v/>
      </c>
      <c r="AI401" s="641" t="str">
        <f t="shared" si="163"/>
        <v>install</v>
      </c>
      <c r="AK401" s="931">
        <f t="shared" si="160"/>
        <v>0</v>
      </c>
      <c r="AL401" s="641">
        <f t="shared" si="128"/>
        <v>9800</v>
      </c>
      <c r="AM401" s="641">
        <f t="shared" si="161"/>
        <v>9800</v>
      </c>
      <c r="AN401" s="641">
        <f t="shared" si="164"/>
        <v>1</v>
      </c>
      <c r="AO401" s="641" t="str">
        <f t="shared" si="165"/>
        <v>Show</v>
      </c>
      <c r="AP401" s="929" t="str">
        <f t="shared" si="162"/>
        <v/>
      </c>
    </row>
    <row r="402" spans="2:42" x14ac:dyDescent="0.2">
      <c r="B402"/>
      <c r="C402" s="604" t="str">
        <f>IF(AND(F402&lt;&gt;"", E402=""), "Error: Please select PG","")</f>
        <v>Error: Please select PG</v>
      </c>
      <c r="D402" s="378"/>
      <c r="E402" s="581"/>
      <c r="F402" s="503" t="s">
        <v>1464</v>
      </c>
      <c r="G402" s="132">
        <v>1</v>
      </c>
      <c r="H402" s="571">
        <v>1000</v>
      </c>
      <c r="I402" s="24">
        <f t="shared" ref="I402:I407" si="166">IF(ISERROR(H402*G402),"",H402*G402)</f>
        <v>1000</v>
      </c>
      <c r="J402" s="565"/>
      <c r="AH402" s="641" t="str">
        <f>IF(D402="","",D402)</f>
        <v/>
      </c>
      <c r="AI402" s="641" t="str">
        <f>IF(F402="","",F402)</f>
        <v>delivery</v>
      </c>
      <c r="AK402" s="931">
        <f>E402</f>
        <v>0</v>
      </c>
      <c r="AL402" s="641">
        <f>IF(G402&gt;0,I402,"")</f>
        <v>1000</v>
      </c>
      <c r="AM402" s="641">
        <f>AL402</f>
        <v>1000</v>
      </c>
      <c r="AN402" s="641">
        <f>IF(G402="",0,G402)</f>
        <v>1</v>
      </c>
      <c r="AO402" s="641" t="str">
        <f>IF(AN402&gt;0,"Show", "")</f>
        <v>Show</v>
      </c>
      <c r="AP402" s="929" t="str">
        <f>IF(AK402=0,"", AK402)</f>
        <v/>
      </c>
    </row>
    <row r="403" spans="2:42" x14ac:dyDescent="0.2">
      <c r="B403"/>
      <c r="C403" s="604" t="str">
        <f>IF(AND(F403&lt;&gt;"", E403=""), "Error: Please select PG","")</f>
        <v/>
      </c>
      <c r="D403" s="378"/>
      <c r="E403" s="581"/>
      <c r="F403" s="393"/>
      <c r="G403" s="132"/>
      <c r="H403" s="571"/>
      <c r="I403" s="24">
        <f t="shared" si="166"/>
        <v>0</v>
      </c>
      <c r="J403" s="565"/>
      <c r="AH403" s="641" t="str">
        <f>IF(D403="","",D403)</f>
        <v/>
      </c>
      <c r="AI403" s="641" t="str">
        <f>IF(F403="","",F403)</f>
        <v/>
      </c>
      <c r="AK403" s="931">
        <f>E403</f>
        <v>0</v>
      </c>
      <c r="AL403" s="641" t="str">
        <f>IF(G403&gt;0,I403,"")</f>
        <v/>
      </c>
      <c r="AM403" s="641" t="str">
        <f>AL403</f>
        <v/>
      </c>
      <c r="AN403" s="641">
        <f>IF(G403="",0,G403)</f>
        <v>0</v>
      </c>
      <c r="AO403" s="641" t="str">
        <f>IF(AN403&gt;0,"Show", "")</f>
        <v/>
      </c>
      <c r="AP403" s="929" t="str">
        <f>IF(AK403=0,"", AK403)</f>
        <v/>
      </c>
    </row>
    <row r="404" spans="2:42" x14ac:dyDescent="0.2">
      <c r="B404"/>
      <c r="C404" s="604" t="str">
        <f>IF(AND(F404&lt;&gt;"", E404=""), "Error: Please select PG","")</f>
        <v/>
      </c>
      <c r="D404" s="378"/>
      <c r="E404" s="581"/>
      <c r="F404" s="393"/>
      <c r="G404" s="132"/>
      <c r="H404" s="571"/>
      <c r="I404" s="24">
        <f t="shared" si="166"/>
        <v>0</v>
      </c>
      <c r="J404" s="565"/>
      <c r="AH404" s="641" t="str">
        <f>IF(D404="","",D404)</f>
        <v/>
      </c>
      <c r="AI404" s="641" t="str">
        <f>IF(F404="","",F404)</f>
        <v/>
      </c>
      <c r="AK404" s="931">
        <f>E404</f>
        <v>0</v>
      </c>
      <c r="AL404" s="641" t="str">
        <f>IF(G404&gt;0,I404,"")</f>
        <v/>
      </c>
      <c r="AM404" s="641" t="str">
        <f>AL404</f>
        <v/>
      </c>
      <c r="AN404" s="641">
        <f>IF(G404="",0,G404)</f>
        <v>0</v>
      </c>
      <c r="AO404" s="641" t="str">
        <f>IF(AN404&gt;0,"Show", "")</f>
        <v/>
      </c>
      <c r="AP404" s="929" t="str">
        <f>IF(AK404=0,"", AK404)</f>
        <v/>
      </c>
    </row>
    <row r="405" spans="2:42" x14ac:dyDescent="0.2">
      <c r="B405"/>
      <c r="C405" s="604" t="str">
        <f t="shared" si="158"/>
        <v/>
      </c>
      <c r="D405" s="378"/>
      <c r="E405" s="581"/>
      <c r="F405" s="393"/>
      <c r="G405" s="132"/>
      <c r="H405" s="571"/>
      <c r="I405" s="24">
        <f t="shared" si="166"/>
        <v>0</v>
      </c>
      <c r="J405" s="565"/>
      <c r="AH405" s="641" t="str">
        <f t="shared" si="159"/>
        <v/>
      </c>
      <c r="AI405" s="641" t="str">
        <f t="shared" si="163"/>
        <v/>
      </c>
      <c r="AK405" s="931">
        <f t="shared" si="160"/>
        <v>0</v>
      </c>
      <c r="AL405" s="641" t="str">
        <f t="shared" si="128"/>
        <v/>
      </c>
      <c r="AM405" s="641" t="str">
        <f t="shared" si="161"/>
        <v/>
      </c>
      <c r="AN405" s="641">
        <f t="shared" si="164"/>
        <v>0</v>
      </c>
      <c r="AO405" s="641" t="str">
        <f t="shared" si="165"/>
        <v/>
      </c>
      <c r="AP405" s="929" t="str">
        <f t="shared" si="162"/>
        <v/>
      </c>
    </row>
    <row r="406" spans="2:42" x14ac:dyDescent="0.2">
      <c r="B406"/>
      <c r="C406" s="604" t="str">
        <f t="shared" si="158"/>
        <v/>
      </c>
      <c r="D406" s="379"/>
      <c r="E406" s="582"/>
      <c r="F406" s="394"/>
      <c r="G406" s="63"/>
      <c r="H406" s="572"/>
      <c r="I406" s="24">
        <f t="shared" si="166"/>
        <v>0</v>
      </c>
      <c r="J406" s="565"/>
      <c r="AH406" s="641" t="str">
        <f t="shared" si="159"/>
        <v/>
      </c>
      <c r="AI406" s="641" t="str">
        <f t="shared" si="163"/>
        <v/>
      </c>
      <c r="AK406" s="931">
        <f t="shared" si="160"/>
        <v>0</v>
      </c>
      <c r="AL406" s="641" t="str">
        <f t="shared" si="128"/>
        <v/>
      </c>
      <c r="AM406" s="641" t="str">
        <f t="shared" si="161"/>
        <v/>
      </c>
      <c r="AN406" s="641">
        <f t="shared" si="164"/>
        <v>0</v>
      </c>
      <c r="AO406" s="641" t="str">
        <f t="shared" si="165"/>
        <v/>
      </c>
      <c r="AP406" s="929" t="str">
        <f t="shared" si="162"/>
        <v/>
      </c>
    </row>
    <row r="407" spans="2:42" ht="13.5" thickBot="1" x14ac:dyDescent="0.25">
      <c r="B407"/>
      <c r="C407" s="605"/>
      <c r="D407" s="380"/>
      <c r="E407" s="583"/>
      <c r="F407" s="395"/>
      <c r="G407" s="68"/>
      <c r="H407" s="573"/>
      <c r="I407" s="4">
        <f t="shared" si="166"/>
        <v>0</v>
      </c>
      <c r="J407" s="565"/>
      <c r="AH407" s="641" t="str">
        <f t="shared" si="159"/>
        <v/>
      </c>
      <c r="AI407" s="641" t="str">
        <f t="shared" si="163"/>
        <v/>
      </c>
      <c r="AK407" s="931">
        <f t="shared" si="160"/>
        <v>0</v>
      </c>
      <c r="AL407" s="641" t="str">
        <f t="shared" si="128"/>
        <v/>
      </c>
      <c r="AM407" s="641" t="str">
        <f t="shared" si="161"/>
        <v/>
      </c>
      <c r="AN407" s="641">
        <f t="shared" si="164"/>
        <v>0</v>
      </c>
      <c r="AO407" s="641" t="str">
        <f t="shared" si="165"/>
        <v/>
      </c>
      <c r="AP407" s="929" t="str">
        <f t="shared" si="162"/>
        <v/>
      </c>
    </row>
    <row r="408" spans="2:42" ht="13.5" thickBot="1" x14ac:dyDescent="0.25">
      <c r="B408"/>
      <c r="C408" s="1"/>
      <c r="D408" s="1"/>
      <c r="E408" s="1"/>
      <c r="F408"/>
      <c r="G408" s="2"/>
      <c r="H408" s="21" t="s">
        <v>11</v>
      </c>
      <c r="I408" s="120">
        <f>SUM(I389:I407)</f>
        <v>130256</v>
      </c>
      <c r="J408" s="565"/>
    </row>
    <row r="409" spans="2:42" ht="13.5" thickBot="1" x14ac:dyDescent="0.25">
      <c r="B409"/>
      <c r="C409" s="1"/>
      <c r="D409" s="1"/>
      <c r="E409" s="1"/>
      <c r="F409"/>
      <c r="G409" s="2"/>
      <c r="H409" s="112"/>
      <c r="I409" s="113"/>
      <c r="J409" s="565"/>
    </row>
    <row r="410" spans="2:42" ht="13.5" hidden="1" thickBot="1" x14ac:dyDescent="0.25">
      <c r="B410"/>
      <c r="C410" s="34"/>
      <c r="D410" s="34"/>
      <c r="E410"/>
      <c r="F410" s="83" t="s">
        <v>43</v>
      </c>
      <c r="G410" s="2"/>
      <c r="H410" s="25" t="s">
        <v>42</v>
      </c>
      <c r="I410" s="82" t="e">
        <f>#REF!</f>
        <v>#REF!</v>
      </c>
      <c r="J410" s="565"/>
    </row>
    <row r="411" spans="2:42" ht="13.5" hidden="1" thickBot="1" x14ac:dyDescent="0.25">
      <c r="B411"/>
      <c r="C411" s="1"/>
      <c r="D411" s="1"/>
      <c r="E411" s="16"/>
      <c r="F411"/>
      <c r="G411" s="2"/>
      <c r="H411" s="17"/>
      <c r="I411" s="18"/>
      <c r="J411" s="565"/>
    </row>
    <row r="412" spans="2:42" ht="13.5" thickBot="1" x14ac:dyDescent="0.25">
      <c r="B412"/>
      <c r="C412" s="1"/>
      <c r="D412" s="1"/>
      <c r="E412" s="16"/>
      <c r="F412"/>
      <c r="G412" s="2"/>
      <c r="H412" s="25" t="s">
        <v>10</v>
      </c>
      <c r="I412" s="119">
        <f>ROUND(SUM(I408,I383,I310,I300,I179,I278),0)</f>
        <v>363232</v>
      </c>
      <c r="J412" s="565"/>
    </row>
    <row r="413" spans="2:42" ht="13.5" thickBot="1" x14ac:dyDescent="0.25">
      <c r="B413"/>
      <c r="C413" s="1"/>
      <c r="D413" s="1"/>
      <c r="E413" s="16"/>
      <c r="F413" s="38"/>
      <c r="G413" s="2"/>
      <c r="H413" s="2"/>
      <c r="I413" s="2"/>
      <c r="J413" s="566"/>
    </row>
    <row r="414" spans="2:42" ht="16.5" thickBot="1" x14ac:dyDescent="0.3">
      <c r="B414"/>
      <c r="C414" s="1"/>
      <c r="D414" s="422"/>
      <c r="E414" s="131"/>
      <c r="F414" s="38"/>
      <c r="G414" s="2"/>
      <c r="H414" s="69" t="s">
        <v>18</v>
      </c>
      <c r="I414" s="70">
        <v>0.2</v>
      </c>
      <c r="J414" s="566"/>
    </row>
    <row r="415" spans="2:42" ht="13.5" thickBot="1" x14ac:dyDescent="0.25">
      <c r="B415"/>
      <c r="C415" s="1"/>
      <c r="D415" s="422"/>
      <c r="E415" s="422"/>
      <c r="F415" s="38"/>
      <c r="G415" s="2"/>
      <c r="H415" s="2"/>
      <c r="I415" s="2"/>
      <c r="J415" s="566"/>
    </row>
    <row r="416" spans="2:42" ht="13.5" thickBot="1" x14ac:dyDescent="0.25">
      <c r="B416"/>
      <c r="C416" s="1"/>
      <c r="D416" s="422"/>
      <c r="E416" s="422"/>
      <c r="F416"/>
      <c r="G416"/>
      <c r="H416" s="33" t="s">
        <v>10</v>
      </c>
      <c r="I416" s="119">
        <f>ROUND(SUM(I25:I178)*(1-I414)+SUM(I408,I383,I310,I300,I278,),0)</f>
        <v>330505</v>
      </c>
      <c r="J416" s="566"/>
    </row>
    <row r="417" spans="2:10" x14ac:dyDescent="0.2">
      <c r="B417"/>
      <c r="C417" s="1"/>
      <c r="D417" s="422"/>
      <c r="E417" s="422"/>
      <c r="F417"/>
      <c r="G417" s="2"/>
      <c r="H417"/>
      <c r="I417"/>
      <c r="J417" s="565"/>
    </row>
    <row r="418" spans="2:10" ht="13.5" hidden="1" thickBot="1" x14ac:dyDescent="0.25">
      <c r="B418"/>
      <c r="C418" s="276"/>
      <c r="D418" s="1074" t="s">
        <v>16</v>
      </c>
      <c r="E418" s="1075"/>
      <c r="F418" s="1075"/>
      <c r="G418" s="1075"/>
      <c r="H418" s="1075"/>
      <c r="I418" s="1076"/>
      <c r="J418" s="565"/>
    </row>
    <row r="419" spans="2:10" hidden="1" x14ac:dyDescent="0.2">
      <c r="B419"/>
      <c r="C419" s="276"/>
      <c r="D419" s="610"/>
      <c r="E419" s="610"/>
      <c r="F419" s="610"/>
      <c r="G419" s="610"/>
      <c r="H419" s="610"/>
      <c r="I419" s="610"/>
      <c r="J419" s="565"/>
    </row>
    <row r="420" spans="2:10" hidden="1" x14ac:dyDescent="0.2">
      <c r="B420"/>
      <c r="C420" s="463" t="s">
        <v>73</v>
      </c>
      <c r="D420" s="463">
        <f>(SUM(I25:I178))</f>
        <v>163636</v>
      </c>
      <c r="E420" s="430"/>
      <c r="F420" s="276"/>
      <c r="G420" s="431"/>
      <c r="H420" s="276"/>
      <c r="I420" s="276"/>
      <c r="J420" s="565"/>
    </row>
    <row r="421" spans="2:10" hidden="1" x14ac:dyDescent="0.2">
      <c r="B421"/>
      <c r="C421" s="613" t="s">
        <v>966</v>
      </c>
      <c r="D421" s="463">
        <f>SUM(I408,I383,I310,I300,I278,)</f>
        <v>199596</v>
      </c>
      <c r="E421" s="422"/>
      <c r="F421" s="564"/>
      <c r="G421" s="606"/>
      <c r="H421" s="564"/>
      <c r="I421" s="564"/>
      <c r="J421" s="565"/>
    </row>
    <row r="422" spans="2:10" hidden="1" x14ac:dyDescent="0.2">
      <c r="B422"/>
      <c r="C422" s="76" t="s">
        <v>967</v>
      </c>
      <c r="D422" s="614">
        <f>SUM(D420:D421)</f>
        <v>363232</v>
      </c>
      <c r="E422" s="564"/>
      <c r="F422" s="564"/>
      <c r="G422" s="564"/>
      <c r="H422" s="564"/>
      <c r="I422" s="564"/>
      <c r="J422" s="565"/>
    </row>
    <row r="423" spans="2:10" hidden="1" x14ac:dyDescent="0.2">
      <c r="B423"/>
      <c r="C423" s="615" t="s">
        <v>968</v>
      </c>
      <c r="D423" s="614">
        <f>I436</f>
        <v>331421</v>
      </c>
      <c r="E423" s="607"/>
      <c r="F423" s="608"/>
      <c r="G423" s="608"/>
      <c r="H423" s="608"/>
      <c r="I423" s="608"/>
      <c r="J423" s="565"/>
    </row>
    <row r="424" spans="2:10" hidden="1" x14ac:dyDescent="0.2">
      <c r="B424"/>
      <c r="C424" s="615" t="s">
        <v>969</v>
      </c>
      <c r="D424" s="614">
        <f>D423-D421</f>
        <v>131825</v>
      </c>
      <c r="E424" s="607"/>
      <c r="F424" s="608"/>
      <c r="G424" s="608"/>
      <c r="H424" s="608"/>
      <c r="I424" s="608"/>
      <c r="J424" s="565"/>
    </row>
    <row r="425" spans="2:10" ht="13.5" hidden="1" thickBot="1" x14ac:dyDescent="0.25">
      <c r="B425"/>
      <c r="C425" s="616" t="s">
        <v>970</v>
      </c>
      <c r="D425" s="617">
        <f>(D424/D420)-1</f>
        <v>-0.19440098755775015</v>
      </c>
      <c r="E425" s="607"/>
      <c r="F425" s="608"/>
      <c r="G425" s="608"/>
      <c r="H425" s="608"/>
      <c r="I425" s="608"/>
      <c r="J425" s="565"/>
    </row>
    <row r="426" spans="2:10" ht="16.5" hidden="1" thickBot="1" x14ac:dyDescent="0.3">
      <c r="B426"/>
      <c r="C426" s="27"/>
      <c r="D426" s="27" t="s">
        <v>50</v>
      </c>
      <c r="E426" s="28"/>
      <c r="F426" s="29"/>
      <c r="G426" s="30"/>
      <c r="H426" s="29"/>
      <c r="I426" s="31"/>
      <c r="J426" s="565"/>
    </row>
    <row r="427" spans="2:10" ht="7.5" hidden="1" customHeight="1" thickBot="1" x14ac:dyDescent="0.25">
      <c r="B427"/>
      <c r="C427" s="36"/>
      <c r="D427" s="36"/>
      <c r="E427" s="36"/>
      <c r="F427" s="45"/>
      <c r="G427" s="45"/>
      <c r="H427" s="45"/>
      <c r="I427" s="45"/>
      <c r="J427" s="565"/>
    </row>
    <row r="428" spans="2:10" ht="13.5" hidden="1" customHeight="1" x14ac:dyDescent="0.2">
      <c r="B428"/>
      <c r="C428"/>
      <c r="D428" s="1077" t="s">
        <v>52</v>
      </c>
      <c r="E428" s="1078"/>
      <c r="F428" s="1078"/>
      <c r="G428" s="1078"/>
      <c r="H428" s="1078"/>
      <c r="I428" s="1079"/>
      <c r="J428" s="565"/>
    </row>
    <row r="429" spans="2:10" ht="12.75" hidden="1" customHeight="1" x14ac:dyDescent="0.2">
      <c r="B429"/>
      <c r="C429"/>
      <c r="D429" s="1068" t="s">
        <v>16</v>
      </c>
      <c r="E429" s="1069"/>
      <c r="F429" s="1069"/>
      <c r="G429" s="157"/>
      <c r="H429" s="157"/>
      <c r="I429" s="158"/>
      <c r="J429" s="565"/>
    </row>
    <row r="430" spans="2:10" hidden="1" x14ac:dyDescent="0.2">
      <c r="B430"/>
      <c r="C430"/>
      <c r="D430" s="1070"/>
      <c r="E430" s="1071"/>
      <c r="F430" s="1071"/>
      <c r="G430" s="157"/>
      <c r="H430" s="157"/>
      <c r="I430" s="158"/>
      <c r="J430" s="565"/>
    </row>
    <row r="431" spans="2:10" ht="12.75" hidden="1" customHeight="1" x14ac:dyDescent="0.2">
      <c r="B431"/>
      <c r="C431"/>
      <c r="D431" s="1070"/>
      <c r="E431" s="1071"/>
      <c r="F431" s="1071"/>
      <c r="G431" s="157"/>
      <c r="H431" s="157"/>
      <c r="I431" s="158"/>
      <c r="J431" s="565"/>
    </row>
    <row r="432" spans="2:10" hidden="1" x14ac:dyDescent="0.2">
      <c r="B432"/>
      <c r="C432"/>
      <c r="D432" s="1070"/>
      <c r="E432" s="1071"/>
      <c r="F432" s="1071"/>
      <c r="G432" s="157"/>
      <c r="H432" s="157"/>
      <c r="I432" s="158"/>
      <c r="J432" s="565"/>
    </row>
    <row r="433" spans="2:10" hidden="1" x14ac:dyDescent="0.2">
      <c r="B433"/>
      <c r="C433"/>
      <c r="D433" s="1070"/>
      <c r="E433" s="1071"/>
      <c r="F433" s="1071"/>
      <c r="G433" s="157"/>
      <c r="H433" s="157"/>
      <c r="I433" s="158"/>
      <c r="J433" s="565"/>
    </row>
    <row r="434" spans="2:10" ht="13.5" hidden="1" thickBot="1" x14ac:dyDescent="0.25">
      <c r="B434"/>
      <c r="C434"/>
      <c r="D434" s="1072"/>
      <c r="E434" s="1073"/>
      <c r="F434" s="1073"/>
      <c r="G434" s="159"/>
      <c r="H434" s="159"/>
      <c r="I434" s="160"/>
      <c r="J434" s="565"/>
    </row>
    <row r="435" spans="2:10" ht="13.5" thickBot="1" x14ac:dyDescent="0.25">
      <c r="B435"/>
      <c r="C435" s="103"/>
      <c r="D435" s="103"/>
      <c r="E435" s="133"/>
      <c r="F435" s="103"/>
      <c r="G435" s="45"/>
      <c r="H435" s="45"/>
      <c r="I435" s="45"/>
      <c r="J435" s="565"/>
    </row>
    <row r="436" spans="2:10" ht="13.5" thickBot="1" x14ac:dyDescent="0.25">
      <c r="B436"/>
      <c r="C436" s="178"/>
      <c r="D436" s="178" t="s">
        <v>73</v>
      </c>
      <c r="E436" s="460">
        <f>IF(I436="","",IF(I436=0,"",ROUND(F436,5)))</f>
        <v>-0.19439999999999999</v>
      </c>
      <c r="F436" s="461">
        <f>((I436-SUM(I408,I383,I310,I300,I278))/D420)-1</f>
        <v>-0.19440098755775015</v>
      </c>
      <c r="G436" s="170"/>
      <c r="H436" s="104" t="s">
        <v>51</v>
      </c>
      <c r="I436" s="152">
        <v>331421</v>
      </c>
      <c r="J436" s="565"/>
    </row>
    <row r="437" spans="2:10" x14ac:dyDescent="0.2">
      <c r="B437"/>
      <c r="C437" s="178"/>
      <c r="D437" s="178" t="s">
        <v>19</v>
      </c>
      <c r="E437" s="460">
        <f>IF(I436="","",IF(I436=0,"",ROUND(F437,5)))</f>
        <v>-8.7580000000000005E-2</v>
      </c>
      <c r="F437" s="462">
        <f>(I436/I412)-1</f>
        <v>-8.7577636331600761E-2</v>
      </c>
      <c r="G437" s="170"/>
      <c r="H437" s="45"/>
      <c r="I437" s="45"/>
      <c r="J437" s="565"/>
    </row>
    <row r="438" spans="2:10" x14ac:dyDescent="0.2">
      <c r="B438"/>
      <c r="C438" s="179"/>
      <c r="D438" s="864" t="str">
        <f>IFERROR(((IF(I436="","", IF(E436&gt;0%,"Extra Charged", IF(ABS(E436)&lt;=D10,"Tier 1",IF(ABS(E436)&lt;=D9,"Tier 2","No qualification")))))),"No Price Entered")</f>
        <v>No qualification</v>
      </c>
      <c r="E438" s="180" t="str">
        <f>IF(D438="Extra Charged", I436-I412, "")</f>
        <v/>
      </c>
      <c r="F438" s="429"/>
      <c r="G438" s="45"/>
      <c r="H438" s="45"/>
      <c r="I438" s="45"/>
      <c r="J438" s="565"/>
    </row>
    <row r="439" spans="2:10" x14ac:dyDescent="0.2">
      <c r="B439"/>
      <c r="C439" s="179"/>
      <c r="D439" s="179"/>
      <c r="E439" s="180"/>
      <c r="F439" s="429"/>
      <c r="G439" s="45"/>
      <c r="H439" s="45"/>
      <c r="I439" s="45"/>
      <c r="J439" s="565"/>
    </row>
    <row r="440" spans="2:10" x14ac:dyDescent="0.2">
      <c r="B440"/>
      <c r="C440" s="179"/>
      <c r="D440" s="179"/>
      <c r="E440" s="180"/>
      <c r="F440" s="429"/>
      <c r="G440" s="45"/>
      <c r="H440" s="45"/>
      <c r="I440" s="45"/>
      <c r="J440" s="565"/>
    </row>
    <row r="441" spans="2:10" hidden="1" x14ac:dyDescent="0.2">
      <c r="B441"/>
      <c r="C441" s="592" t="s">
        <v>964</v>
      </c>
      <c r="D441" s="593" t="s">
        <v>965</v>
      </c>
      <c r="E441" s="180"/>
      <c r="F441" s="429"/>
      <c r="G441" s="45"/>
      <c r="H441" s="45"/>
      <c r="I441" s="45"/>
      <c r="J441" s="565"/>
    </row>
    <row r="442" spans="2:10" hidden="1" x14ac:dyDescent="0.2">
      <c r="B442"/>
      <c r="C442" s="611" t="s">
        <v>952</v>
      </c>
      <c r="D442" s="612">
        <f t="shared" ref="D442:D450" si="167">ROUND(SUMIF($AK$25:$AK$407,C442,$AM$25:$AM$407),0)</f>
        <v>131825</v>
      </c>
      <c r="E442" s="661"/>
      <c r="F442" s="429"/>
      <c r="G442" s="45"/>
      <c r="H442" s="45"/>
      <c r="I442" s="45"/>
      <c r="J442" s="565"/>
    </row>
    <row r="443" spans="2:10" hidden="1" x14ac:dyDescent="0.2">
      <c r="B443"/>
      <c r="C443" s="46" t="s">
        <v>990</v>
      </c>
      <c r="D443" s="590">
        <f t="shared" si="167"/>
        <v>27300</v>
      </c>
      <c r="E443" s="662">
        <f>IF(D443&gt;0,1,"")</f>
        <v>1</v>
      </c>
      <c r="F443" s="429"/>
      <c r="G443" s="45"/>
      <c r="H443" s="45"/>
      <c r="I443" s="45"/>
      <c r="J443" s="565"/>
    </row>
    <row r="444" spans="2:10" hidden="1" x14ac:dyDescent="0.2">
      <c r="B444"/>
      <c r="C444" s="589" t="s">
        <v>991</v>
      </c>
      <c r="D444" s="590">
        <f t="shared" si="167"/>
        <v>10940</v>
      </c>
      <c r="E444" s="662">
        <f t="shared" ref="E444:E455" si="168">IF(D444&gt;0,1,"")</f>
        <v>1</v>
      </c>
      <c r="F444" s="429"/>
      <c r="G444" s="45"/>
      <c r="H444" s="45"/>
      <c r="I444" s="45"/>
      <c r="J444" s="565"/>
    </row>
    <row r="445" spans="2:10" hidden="1" x14ac:dyDescent="0.2">
      <c r="B445"/>
      <c r="C445" s="589" t="s">
        <v>989</v>
      </c>
      <c r="D445" s="590">
        <f t="shared" si="167"/>
        <v>21950</v>
      </c>
      <c r="E445" s="662">
        <f t="shared" si="168"/>
        <v>1</v>
      </c>
      <c r="F445" s="429"/>
      <c r="G445" s="45"/>
      <c r="H445" s="45"/>
      <c r="I445" s="45"/>
      <c r="J445" s="565"/>
    </row>
    <row r="446" spans="2:10" hidden="1" x14ac:dyDescent="0.2">
      <c r="B446"/>
      <c r="C446" s="46" t="s">
        <v>861</v>
      </c>
      <c r="D446" s="590">
        <f t="shared" si="167"/>
        <v>100</v>
      </c>
      <c r="E446" s="662">
        <f t="shared" si="168"/>
        <v>1</v>
      </c>
      <c r="F446" s="429"/>
      <c r="G446" s="45"/>
      <c r="H446" s="45"/>
      <c r="I446" s="45"/>
      <c r="J446" s="565"/>
    </row>
    <row r="447" spans="2:10" hidden="1" x14ac:dyDescent="0.2">
      <c r="B447"/>
      <c r="C447" s="589" t="s">
        <v>985</v>
      </c>
      <c r="D447" s="590">
        <f t="shared" si="167"/>
        <v>0</v>
      </c>
      <c r="E447" s="662" t="str">
        <f t="shared" si="168"/>
        <v/>
      </c>
      <c r="F447" s="429"/>
      <c r="G447" s="45"/>
      <c r="H447" s="45"/>
      <c r="I447" s="45"/>
      <c r="J447" s="565"/>
    </row>
    <row r="448" spans="2:10" hidden="1" x14ac:dyDescent="0.2">
      <c r="B448"/>
      <c r="C448" s="46" t="s">
        <v>992</v>
      </c>
      <c r="D448" s="590">
        <f t="shared" si="167"/>
        <v>2400</v>
      </c>
      <c r="E448" s="662">
        <f t="shared" si="168"/>
        <v>1</v>
      </c>
      <c r="F448" s="429"/>
      <c r="G448" s="45"/>
      <c r="H448" s="45"/>
      <c r="I448" s="45"/>
      <c r="J448" s="565"/>
    </row>
    <row r="449" spans="2:10" hidden="1" x14ac:dyDescent="0.2">
      <c r="B449"/>
      <c r="C449" s="589" t="s">
        <v>810</v>
      </c>
      <c r="D449" s="590">
        <f t="shared" si="167"/>
        <v>0</v>
      </c>
      <c r="E449" s="662" t="str">
        <f t="shared" si="168"/>
        <v/>
      </c>
      <c r="F449" s="429"/>
      <c r="G449" s="45"/>
      <c r="H449" s="45"/>
      <c r="I449" s="45"/>
      <c r="J449" s="565"/>
    </row>
    <row r="450" spans="2:10" hidden="1" x14ac:dyDescent="0.2">
      <c r="B450"/>
      <c r="C450" s="589" t="s">
        <v>1341</v>
      </c>
      <c r="D450" s="590">
        <f t="shared" si="167"/>
        <v>20000</v>
      </c>
      <c r="E450" s="662">
        <f t="shared" si="168"/>
        <v>1</v>
      </c>
      <c r="F450" s="429"/>
      <c r="G450" s="45"/>
      <c r="H450" s="45"/>
      <c r="I450" s="45"/>
      <c r="J450" s="565"/>
    </row>
    <row r="451" spans="2:10" hidden="1" x14ac:dyDescent="0.2">
      <c r="B451"/>
      <c r="C451" s="589" t="s">
        <v>95</v>
      </c>
      <c r="D451" s="590">
        <f>SUM(I282:I285,I288:I289,I294:I295)</f>
        <v>0</v>
      </c>
      <c r="E451" s="662" t="str">
        <f t="shared" si="168"/>
        <v/>
      </c>
      <c r="F451" s="429"/>
      <c r="G451" s="45"/>
      <c r="H451" s="45"/>
      <c r="I451" s="45"/>
      <c r="J451" s="565"/>
    </row>
    <row r="452" spans="2:10" hidden="1" x14ac:dyDescent="0.2">
      <c r="B452"/>
      <c r="C452" s="589" t="s">
        <v>101</v>
      </c>
      <c r="D452" s="590">
        <f>H286</f>
        <v>4900</v>
      </c>
      <c r="E452" s="662">
        <f t="shared" si="168"/>
        <v>1</v>
      </c>
      <c r="F452" s="429"/>
      <c r="G452" s="45"/>
      <c r="H452" s="45"/>
      <c r="I452" s="45"/>
      <c r="J452" s="565"/>
    </row>
    <row r="453" spans="2:10" hidden="1" x14ac:dyDescent="0.2">
      <c r="B453"/>
      <c r="C453" s="589" t="s">
        <v>830</v>
      </c>
      <c r="D453" s="590">
        <f>I297</f>
        <v>0</v>
      </c>
      <c r="E453" s="662" t="str">
        <f>IF(D453&gt;0,1,"")</f>
        <v/>
      </c>
      <c r="F453" s="429"/>
      <c r="G453" s="45"/>
      <c r="H453" s="45"/>
      <c r="I453" s="45"/>
      <c r="J453" s="565"/>
    </row>
    <row r="454" spans="2:10" hidden="1" x14ac:dyDescent="0.2">
      <c r="B454"/>
      <c r="C454" s="589" t="s">
        <v>1010</v>
      </c>
      <c r="D454" s="590">
        <f>SUM(I291:I293)</f>
        <v>0</v>
      </c>
      <c r="E454" s="662" t="str">
        <f>IF(D454&gt;0,1,"")</f>
        <v/>
      </c>
      <c r="F454" s="429"/>
      <c r="G454" s="45"/>
      <c r="H454" s="45"/>
      <c r="I454" s="45"/>
      <c r="J454" s="565"/>
    </row>
    <row r="455" spans="2:10" hidden="1" x14ac:dyDescent="0.2">
      <c r="B455"/>
      <c r="C455" s="589" t="s">
        <v>205</v>
      </c>
      <c r="D455" s="590">
        <f>(D442+D443+D444+D445+D447)*0.075</f>
        <v>14401.125</v>
      </c>
      <c r="E455" s="662">
        <f t="shared" si="168"/>
        <v>1</v>
      </c>
      <c r="F455" s="429"/>
      <c r="G455" s="45"/>
      <c r="H455" s="45"/>
      <c r="I455" s="45"/>
      <c r="J455" s="565"/>
    </row>
    <row r="456" spans="2:10" hidden="1" x14ac:dyDescent="0.2">
      <c r="B456"/>
      <c r="C456" s="595" t="e">
        <v>#N/A</v>
      </c>
      <c r="D456" s="596">
        <f>ROUND(SUMIF($AK$25:$AK$407,C456,$AM$25:$AM$407),0)</f>
        <v>0</v>
      </c>
      <c r="E456" s="661"/>
      <c r="F456" s="429"/>
      <c r="G456" s="45"/>
      <c r="H456" s="45"/>
      <c r="I456" s="45"/>
      <c r="J456" s="565"/>
    </row>
    <row r="457" spans="2:10" hidden="1" x14ac:dyDescent="0.2">
      <c r="B457"/>
      <c r="C457" s="429"/>
      <c r="D457" s="429"/>
      <c r="E457" s="180"/>
      <c r="F457" s="429"/>
      <c r="G457" s="45"/>
      <c r="H457" s="45"/>
      <c r="I457" s="45"/>
      <c r="J457" s="565"/>
    </row>
    <row r="458" spans="2:10" hidden="1" x14ac:dyDescent="0.2">
      <c r="B458"/>
      <c r="C458" s="429" t="s">
        <v>972</v>
      </c>
      <c r="D458" s="609">
        <f>(D442-D455-D452)+SUM(I304:I306,I308)</f>
        <v>112523.875</v>
      </c>
      <c r="E458" s="180"/>
      <c r="F458" s="429"/>
      <c r="G458" s="45"/>
      <c r="H458" s="45"/>
      <c r="I458" s="45"/>
      <c r="J458" s="565"/>
    </row>
    <row r="459" spans="2:10" hidden="1" x14ac:dyDescent="0.2">
      <c r="B459"/>
      <c r="C459" s="429"/>
      <c r="D459" s="429"/>
      <c r="E459" s="180"/>
      <c r="F459" s="429"/>
      <c r="G459" s="45"/>
      <c r="H459" s="45"/>
      <c r="I459" s="45"/>
      <c r="J459" s="565"/>
    </row>
    <row r="460" spans="2:10" ht="13.5" hidden="1" thickBot="1" x14ac:dyDescent="0.25">
      <c r="B460"/>
      <c r="C460" s="618" t="s">
        <v>973</v>
      </c>
      <c r="D460" s="619">
        <f>SUM(D443:D458)</f>
        <v>214515</v>
      </c>
      <c r="E460" s="180" t="str">
        <f>IF(D460=I436,"", "ERROR IN ALLOCATIONS")</f>
        <v>ERROR IN ALLOCATIONS</v>
      </c>
      <c r="F460" s="429"/>
      <c r="G460" s="45"/>
      <c r="H460" s="45"/>
      <c r="I460" s="45"/>
      <c r="J460" s="565"/>
    </row>
    <row r="461" spans="2:10" hidden="1" x14ac:dyDescent="0.2">
      <c r="B461"/>
      <c r="C461" s="429"/>
      <c r="D461" s="429"/>
      <c r="E461" s="180"/>
      <c r="F461" s="429"/>
      <c r="G461" s="45"/>
      <c r="H461" s="45"/>
      <c r="I461" s="45"/>
      <c r="J461" s="565"/>
    </row>
    <row r="462" spans="2:10" hidden="1" x14ac:dyDescent="0.2">
      <c r="B462"/>
      <c r="C462" s="620" t="s">
        <v>978</v>
      </c>
      <c r="D462" s="429"/>
      <c r="E462" s="180"/>
      <c r="F462" s="429"/>
      <c r="G462" s="45"/>
      <c r="H462" s="45"/>
      <c r="I462" s="45"/>
      <c r="J462" s="565"/>
    </row>
    <row r="463" spans="2:10" hidden="1" x14ac:dyDescent="0.2">
      <c r="B463"/>
      <c r="C463" s="429" t="s">
        <v>974</v>
      </c>
      <c r="D463" s="429">
        <v>23030002</v>
      </c>
      <c r="E463" s="622">
        <f>F463/$F$466</f>
        <v>0.38388863086362413</v>
      </c>
      <c r="F463" s="621">
        <f>SUM(I25:I98)</f>
        <v>62818</v>
      </c>
      <c r="G463" s="621">
        <f>E463*D458</f>
        <v>43196.636313219584</v>
      </c>
      <c r="H463" s="45">
        <f>C490</f>
        <v>2</v>
      </c>
      <c r="I463" s="45"/>
      <c r="J463" s="565"/>
    </row>
    <row r="464" spans="2:10" hidden="1" x14ac:dyDescent="0.2">
      <c r="B464"/>
      <c r="C464" s="429" t="s">
        <v>976</v>
      </c>
      <c r="D464" s="429">
        <v>23030001</v>
      </c>
      <c r="E464" s="622">
        <f>F464/$F$466</f>
        <v>0.61611136913637587</v>
      </c>
      <c r="F464" s="621">
        <f>SUM(I104:I141)</f>
        <v>100818</v>
      </c>
      <c r="G464" s="621">
        <f>E464*D458</f>
        <v>69327.238686780416</v>
      </c>
      <c r="H464" s="45">
        <f>C488</f>
        <v>3</v>
      </c>
      <c r="I464" s="45"/>
      <c r="J464" s="565"/>
    </row>
    <row r="465" spans="2:10" hidden="1" x14ac:dyDescent="0.2">
      <c r="B465"/>
      <c r="C465" s="429" t="s">
        <v>977</v>
      </c>
      <c r="D465" s="429">
        <v>23030004</v>
      </c>
      <c r="E465" s="622">
        <f>F465/$F$466</f>
        <v>0</v>
      </c>
      <c r="F465" s="621">
        <f>SUM(I144:I168)</f>
        <v>0</v>
      </c>
      <c r="G465" s="621">
        <f>E465*D458</f>
        <v>0</v>
      </c>
      <c r="H465" s="45" t="str">
        <f>C489</f>
        <v/>
      </c>
      <c r="I465" s="45"/>
      <c r="J465" s="565"/>
    </row>
    <row r="466" spans="2:10" hidden="1" x14ac:dyDescent="0.2">
      <c r="B466"/>
      <c r="C466" s="626" t="s">
        <v>975</v>
      </c>
      <c r="D466" s="623"/>
      <c r="E466" s="624"/>
      <c r="F466" s="625">
        <f>SUM(F463:F465)</f>
        <v>163636</v>
      </c>
      <c r="G466" s="625">
        <f>SUM(G463:G465)</f>
        <v>112523.875</v>
      </c>
      <c r="H466" s="45"/>
      <c r="I466" s="45"/>
      <c r="J466" s="565"/>
    </row>
    <row r="467" spans="2:10" x14ac:dyDescent="0.2">
      <c r="B467"/>
      <c r="C467" s="429"/>
      <c r="D467" s="590"/>
      <c r="E467" s="180"/>
      <c r="F467" s="429"/>
      <c r="G467" s="45"/>
      <c r="H467" s="45"/>
      <c r="I467" s="45"/>
      <c r="J467" s="565"/>
    </row>
    <row r="468" spans="2:10" hidden="1" x14ac:dyDescent="0.2">
      <c r="B468"/>
      <c r="C468" s="429"/>
      <c r="D468" s="590"/>
      <c r="E468" s="180"/>
      <c r="F468" s="429"/>
      <c r="G468" s="45"/>
      <c r="H468" s="45"/>
      <c r="I468" s="45"/>
      <c r="J468" s="565"/>
    </row>
    <row r="469" spans="2:10" hidden="1" x14ac:dyDescent="0.2">
      <c r="B469"/>
      <c r="C469" s="429"/>
      <c r="D469" s="590"/>
      <c r="E469" s="180"/>
      <c r="F469" s="429"/>
      <c r="G469" s="45"/>
      <c r="H469" s="45"/>
      <c r="I469" s="45"/>
      <c r="J469" s="565"/>
    </row>
    <row r="470" spans="2:10" hidden="1" x14ac:dyDescent="0.2">
      <c r="B470"/>
      <c r="C470" s="429"/>
      <c r="D470" s="590"/>
      <c r="E470" s="180"/>
      <c r="F470" s="429"/>
      <c r="G470" s="45"/>
      <c r="H470" s="45"/>
      <c r="I470" s="45"/>
      <c r="J470" s="565"/>
    </row>
    <row r="471" spans="2:10" x14ac:dyDescent="0.2">
      <c r="B471"/>
      <c r="C471" s="591"/>
      <c r="D471" s="594"/>
      <c r="E471" s="180"/>
      <c r="F471" s="429"/>
      <c r="G471" s="45"/>
      <c r="H471" s="45"/>
      <c r="I471" s="45"/>
      <c r="J471" s="565"/>
    </row>
    <row r="472" spans="2:10" ht="13.5" customHeight="1" x14ac:dyDescent="0.2">
      <c r="B472"/>
      <c r="C472" s="42"/>
      <c r="D472" s="570"/>
      <c r="E472" s="103"/>
      <c r="F472" s="45"/>
      <c r="G472" s="45"/>
      <c r="H472" s="45"/>
      <c r="I472" s="46"/>
      <c r="J472" s="565"/>
    </row>
    <row r="473" spans="2:10" x14ac:dyDescent="0.2">
      <c r="B473"/>
      <c r="C473" s="1"/>
      <c r="D473" s="1"/>
      <c r="E473" s="1"/>
      <c r="F473"/>
      <c r="G473" s="2"/>
      <c r="H473"/>
      <c r="I473"/>
      <c r="J473" s="565"/>
    </row>
    <row r="474" spans="2:10" x14ac:dyDescent="0.2">
      <c r="C474" s="39"/>
      <c r="D474" s="39"/>
      <c r="E474" s="39"/>
      <c r="G474" s="39"/>
    </row>
    <row r="475" spans="2:10" hidden="1" x14ac:dyDescent="0.2">
      <c r="C475" s="39"/>
      <c r="D475" s="39"/>
      <c r="E475" s="39"/>
      <c r="G475" s="39"/>
    </row>
    <row r="476" spans="2:10" hidden="1" x14ac:dyDescent="0.2">
      <c r="C476" s="39"/>
      <c r="D476" s="39"/>
      <c r="E476" s="39"/>
      <c r="G476" s="39"/>
    </row>
    <row r="477" spans="2:10" hidden="1" x14ac:dyDescent="0.2">
      <c r="C477" s="39"/>
      <c r="D477" s="39"/>
      <c r="E477" s="39"/>
      <c r="G477" s="39"/>
    </row>
    <row r="478" spans="2:10" hidden="1" x14ac:dyDescent="0.2">
      <c r="C478" s="39"/>
      <c r="D478" s="39"/>
      <c r="E478" s="39"/>
      <c r="G478" s="39"/>
    </row>
    <row r="479" spans="2:10" hidden="1" x14ac:dyDescent="0.2">
      <c r="C479" s="39"/>
      <c r="D479" s="39"/>
      <c r="E479" s="39"/>
      <c r="G479" s="39"/>
    </row>
    <row r="480" spans="2:10" hidden="1" x14ac:dyDescent="0.2">
      <c r="C480" s="39"/>
      <c r="D480" s="39"/>
      <c r="E480" s="39"/>
      <c r="G480" s="39"/>
    </row>
    <row r="481" spans="2:10" hidden="1" x14ac:dyDescent="0.2">
      <c r="C481" s="39"/>
      <c r="D481" s="39"/>
      <c r="E481" s="39"/>
      <c r="G481" s="39"/>
    </row>
    <row r="482" spans="2:10" hidden="1" x14ac:dyDescent="0.2">
      <c r="C482" s="39"/>
      <c r="D482" s="39"/>
      <c r="E482" s="39"/>
      <c r="G482" s="39"/>
    </row>
    <row r="483" spans="2:10" hidden="1" x14ac:dyDescent="0.2">
      <c r="C483" s="39"/>
      <c r="D483" s="39"/>
      <c r="E483" s="39"/>
      <c r="G483" s="39"/>
    </row>
    <row r="484" spans="2:10" hidden="1" x14ac:dyDescent="0.2">
      <c r="B484" s="53"/>
      <c r="C484" s="53"/>
      <c r="D484" s="53"/>
      <c r="E484" s="53"/>
      <c r="F484" s="53"/>
      <c r="G484" s="53"/>
      <c r="H484" s="53"/>
      <c r="I484" s="53"/>
      <c r="J484" s="105"/>
    </row>
    <row r="485" spans="2:10" hidden="1" x14ac:dyDescent="0.2">
      <c r="B485" s="53"/>
      <c r="C485" s="53"/>
      <c r="D485" s="53"/>
      <c r="E485" s="53"/>
      <c r="F485" s="53"/>
      <c r="G485" s="53"/>
      <c r="H485" s="53"/>
      <c r="I485" s="53"/>
      <c r="J485" s="105"/>
    </row>
    <row r="486" spans="2:10" hidden="1" x14ac:dyDescent="0.2">
      <c r="B486" s="53"/>
      <c r="C486" s="53"/>
      <c r="D486" s="53"/>
      <c r="E486" s="53"/>
      <c r="F486" s="53"/>
      <c r="G486" s="53"/>
      <c r="H486" s="53"/>
      <c r="I486" s="53"/>
      <c r="J486" s="105"/>
    </row>
    <row r="487" spans="2:10" hidden="1" x14ac:dyDescent="0.2">
      <c r="B487" s="53"/>
      <c r="C487" s="92" t="s">
        <v>343</v>
      </c>
      <c r="D487" s="53"/>
      <c r="E487" s="53"/>
      <c r="F487" s="53"/>
      <c r="G487" s="92" t="s">
        <v>980</v>
      </c>
      <c r="H487" s="603" t="s">
        <v>979</v>
      </c>
      <c r="I487" s="53"/>
      <c r="J487" s="105"/>
    </row>
    <row r="488" spans="2:10" hidden="1" x14ac:dyDescent="0.2">
      <c r="B488" s="53"/>
      <c r="C488" s="210">
        <f>IF(SUM(G104,G124)=0,"",SUM(G104,G124))</f>
        <v>3</v>
      </c>
      <c r="D488" s="53">
        <v>23030001</v>
      </c>
      <c r="E488" s="53" t="s">
        <v>605</v>
      </c>
      <c r="F488" s="53"/>
      <c r="G488" s="46" t="str">
        <f>IF(C488="","", C488&amp;" x "&amp;D488)</f>
        <v>3 x 23030001</v>
      </c>
      <c r="H488" s="628">
        <f>G464</f>
        <v>69327.238686780416</v>
      </c>
      <c r="I488" s="53"/>
      <c r="J488" s="105"/>
    </row>
    <row r="489" spans="2:10" hidden="1" x14ac:dyDescent="0.2">
      <c r="B489" s="53"/>
      <c r="C489" s="210" t="str">
        <f>IF(SUM(G144)=0,"",SUM(G144))</f>
        <v/>
      </c>
      <c r="D489" s="53">
        <v>23030004</v>
      </c>
      <c r="E489" s="53" t="s">
        <v>608</v>
      </c>
      <c r="F489" s="53"/>
      <c r="G489" s="46" t="str">
        <f>IF(C489="","", C489&amp;" x "&amp;D489)</f>
        <v/>
      </c>
      <c r="H489" s="628">
        <f>G465</f>
        <v>0</v>
      </c>
      <c r="I489" s="53"/>
      <c r="J489" s="105"/>
    </row>
    <row r="490" spans="2:10" hidden="1" x14ac:dyDescent="0.2">
      <c r="B490" s="53"/>
      <c r="C490" s="210">
        <f>IF(SUM(G25,G44,G63,G82)=0,"",SUM(G25,G44,G63,G82))</f>
        <v>2</v>
      </c>
      <c r="D490" s="53">
        <v>23030002</v>
      </c>
      <c r="E490" s="53" t="s">
        <v>606</v>
      </c>
      <c r="F490" s="53"/>
      <c r="G490" s="46" t="str">
        <f>IF(C490="","", C490&amp;" x "&amp;D490)</f>
        <v>2 x 23030002</v>
      </c>
      <c r="H490" s="628">
        <f>G463</f>
        <v>43196.636313219584</v>
      </c>
      <c r="I490" s="53"/>
      <c r="J490" s="105"/>
    </row>
    <row r="491" spans="2:10" hidden="1" x14ac:dyDescent="0.2">
      <c r="B491" s="53"/>
      <c r="C491" s="210"/>
      <c r="D491" s="53"/>
      <c r="E491" s="92"/>
      <c r="F491" s="53"/>
      <c r="G491" s="46"/>
      <c r="H491" s="45"/>
      <c r="I491" s="53"/>
      <c r="J491" s="105"/>
    </row>
    <row r="492" spans="2:10" hidden="1" x14ac:dyDescent="0.2">
      <c r="B492" s="53"/>
      <c r="C492" s="210" t="str">
        <f>IF(SUM('Marking Stations'!G11:G21,'Marking Stations'!G22:G32,'Marking Stations'!G33:G41,'Marking Stations'!G42:G50,'Marking Stations'!G51:G59,'Marking Stations'!G60:G68)=0,"",SUM('Marking Stations'!G11:G21,'Marking Stations'!G22:G32,'Marking Stations'!G33:G41,'Marking Stations'!G42:G50,'Marking Stations'!G51:G59,'Marking Stations'!G60:G68))</f>
        <v/>
      </c>
      <c r="D492" s="53">
        <v>23030003</v>
      </c>
      <c r="E492" s="53" t="s">
        <v>607</v>
      </c>
      <c r="F492" s="53"/>
      <c r="G492" s="46" t="str">
        <f>IF(C492="","", C492&amp;" x "&amp;D492)</f>
        <v/>
      </c>
      <c r="H492" s="45"/>
      <c r="I492" s="53"/>
      <c r="J492" s="105"/>
    </row>
    <row r="493" spans="2:10" hidden="1" x14ac:dyDescent="0.2">
      <c r="B493" s="53"/>
      <c r="C493" s="53"/>
      <c r="D493" s="53"/>
      <c r="E493" s="53"/>
      <c r="F493" s="53"/>
      <c r="G493" s="627" t="str">
        <f>TRIM(G488&amp;" "&amp;G489&amp;" "&amp; G490&amp;" "&amp;G492)</f>
        <v>3 x 23030001 2 x 23030002</v>
      </c>
      <c r="H493" s="45"/>
      <c r="I493" s="53"/>
      <c r="J493" s="105"/>
    </row>
    <row r="494" spans="2:10" hidden="1" x14ac:dyDescent="0.2">
      <c r="B494" s="53"/>
      <c r="C494" s="53"/>
      <c r="D494" s="53"/>
      <c r="E494" s="53"/>
      <c r="F494" s="53"/>
      <c r="G494" s="53"/>
      <c r="H494" s="53"/>
      <c r="I494" s="53"/>
      <c r="J494" s="105"/>
    </row>
    <row r="495" spans="2:10" hidden="1" x14ac:dyDescent="0.2">
      <c r="B495" s="53"/>
      <c r="C495" s="53"/>
      <c r="D495" s="53"/>
      <c r="E495" s="53"/>
      <c r="F495" s="53"/>
      <c r="G495" s="53"/>
      <c r="H495" s="53"/>
      <c r="I495" s="53"/>
      <c r="J495" s="105"/>
    </row>
    <row r="496" spans="2:10" hidden="1" x14ac:dyDescent="0.2">
      <c r="B496" s="53"/>
      <c r="C496" s="53"/>
      <c r="D496" s="53"/>
      <c r="E496" s="53"/>
      <c r="F496" s="53"/>
      <c r="G496" s="53"/>
      <c r="H496" s="53"/>
      <c r="I496" s="53"/>
      <c r="J496" s="105"/>
    </row>
    <row r="497" spans="2:16" hidden="1" x14ac:dyDescent="0.2">
      <c r="B497" s="53"/>
      <c r="C497" s="53"/>
      <c r="D497" s="53"/>
      <c r="E497" s="53"/>
      <c r="F497" s="53"/>
      <c r="G497" s="53"/>
      <c r="H497" s="53"/>
      <c r="I497" s="53"/>
      <c r="J497" s="105"/>
    </row>
    <row r="498" spans="2:16" hidden="1" x14ac:dyDescent="0.2">
      <c r="C498" s="39"/>
      <c r="D498" s="39"/>
      <c r="E498" s="39"/>
      <c r="G498" s="39"/>
    </row>
    <row r="499" spans="2:16" hidden="1" x14ac:dyDescent="0.2">
      <c r="C499" s="39"/>
      <c r="D499" s="39"/>
      <c r="E499" s="39"/>
      <c r="G499" s="39"/>
    </row>
    <row r="500" spans="2:16" ht="13.5" hidden="1" customHeight="1" x14ac:dyDescent="0.2">
      <c r="C500" s="39"/>
      <c r="D500" s="39"/>
      <c r="E500" s="39"/>
      <c r="G500" s="39"/>
    </row>
    <row r="501" spans="2:16" ht="13.5" hidden="1" thickBot="1" x14ac:dyDescent="0.25">
      <c r="C501" s="39"/>
      <c r="D501" s="39"/>
      <c r="E501" s="39"/>
      <c r="G501" s="39"/>
    </row>
    <row r="502" spans="2:16" hidden="1" x14ac:dyDescent="0.2">
      <c r="B502" s="47"/>
      <c r="C502" s="48"/>
      <c r="D502" s="48"/>
      <c r="E502" s="48"/>
      <c r="F502" s="49"/>
      <c r="G502" s="50"/>
      <c r="H502" s="49"/>
      <c r="I502" s="49"/>
      <c r="J502" s="567"/>
      <c r="O502" s="929" t="s">
        <v>1299</v>
      </c>
      <c r="P502" s="930" t="s">
        <v>1300</v>
      </c>
    </row>
    <row r="503" spans="2:16" hidden="1" x14ac:dyDescent="0.2">
      <c r="B503" s="90"/>
      <c r="C503" s="273"/>
      <c r="D503" s="273" t="s">
        <v>6</v>
      </c>
      <c r="E503" s="273"/>
      <c r="F503" s="274" t="s">
        <v>0</v>
      </c>
      <c r="G503" s="274" t="s">
        <v>5</v>
      </c>
      <c r="H503" s="275" t="s">
        <v>7</v>
      </c>
      <c r="I503" s="275" t="s">
        <v>8</v>
      </c>
      <c r="J503" s="568"/>
    </row>
    <row r="504" spans="2:16" ht="8.25" hidden="1" customHeight="1" x14ac:dyDescent="0.2">
      <c r="B504" s="90"/>
      <c r="C504" s="52"/>
      <c r="D504" s="52"/>
      <c r="E504" s="52"/>
      <c r="F504" s="53"/>
      <c r="G504" s="54"/>
      <c r="H504" s="55"/>
      <c r="I504" s="55"/>
      <c r="J504" s="568"/>
    </row>
    <row r="505" spans="2:16" hidden="1" x14ac:dyDescent="0.2">
      <c r="B505" s="90"/>
      <c r="C505" s="53"/>
      <c r="D505" s="92" t="s">
        <v>430</v>
      </c>
      <c r="E505" s="42"/>
      <c r="F505" s="210" t="s">
        <v>309</v>
      </c>
      <c r="G505" s="211">
        <v>23010001</v>
      </c>
      <c r="H505" s="211" t="s">
        <v>427</v>
      </c>
      <c r="I505" s="995">
        <v>17862</v>
      </c>
      <c r="J505" s="568"/>
      <c r="L505" s="939"/>
      <c r="M505" s="940" t="s">
        <v>839</v>
      </c>
      <c r="N505" s="641" t="s">
        <v>952</v>
      </c>
      <c r="O505" s="941"/>
      <c r="P505" s="942">
        <f>IFERROR((O505/I505)-1,"")</f>
        <v>-1</v>
      </c>
    </row>
    <row r="506" spans="2:16" hidden="1" x14ac:dyDescent="0.2">
      <c r="B506" s="90"/>
      <c r="C506" s="53"/>
      <c r="D506" s="53"/>
      <c r="E506" s="42"/>
      <c r="F506" s="210" t="s">
        <v>310</v>
      </c>
      <c r="G506" s="211">
        <v>23010003</v>
      </c>
      <c r="H506" s="211" t="s">
        <v>428</v>
      </c>
      <c r="I506" s="995">
        <v>19365</v>
      </c>
      <c r="J506" s="568"/>
      <c r="L506" s="939"/>
      <c r="M506" s="940" t="s">
        <v>840</v>
      </c>
      <c r="N506" s="641" t="s">
        <v>952</v>
      </c>
      <c r="O506" s="941"/>
      <c r="P506" s="942">
        <f t="shared" ref="P506:P570" si="169">IFERROR((O506/I506)-1,"")</f>
        <v>-1</v>
      </c>
    </row>
    <row r="507" spans="2:16" hidden="1" x14ac:dyDescent="0.2">
      <c r="B507" s="90"/>
      <c r="C507" s="53"/>
      <c r="D507" s="53"/>
      <c r="E507" s="42"/>
      <c r="F507" s="210" t="s">
        <v>311</v>
      </c>
      <c r="G507" s="211">
        <v>23010004</v>
      </c>
      <c r="H507" s="211" t="s">
        <v>429</v>
      </c>
      <c r="I507" s="995">
        <v>23525</v>
      </c>
      <c r="J507" s="568"/>
      <c r="L507" s="939"/>
      <c r="M507" s="940" t="s">
        <v>841</v>
      </c>
      <c r="N507" s="641" t="s">
        <v>952</v>
      </c>
      <c r="O507" s="941"/>
      <c r="P507" s="942">
        <f t="shared" si="169"/>
        <v>-1</v>
      </c>
    </row>
    <row r="508" spans="2:16" hidden="1" x14ac:dyDescent="0.2">
      <c r="B508" s="90"/>
      <c r="C508" s="53"/>
      <c r="D508" s="53"/>
      <c r="E508" s="42"/>
      <c r="F508" s="210" t="s">
        <v>779</v>
      </c>
      <c r="G508" s="212">
        <v>23010007</v>
      </c>
      <c r="H508" s="211" t="s">
        <v>1305</v>
      </c>
      <c r="I508" s="995">
        <v>55300</v>
      </c>
      <c r="J508" s="568"/>
      <c r="L508" s="939"/>
      <c r="M508" s="940" t="s">
        <v>842</v>
      </c>
      <c r="N508" s="641" t="s">
        <v>952</v>
      </c>
      <c r="P508" s="942">
        <f t="shared" si="169"/>
        <v>-1</v>
      </c>
    </row>
    <row r="509" spans="2:16" hidden="1" x14ac:dyDescent="0.2">
      <c r="B509" s="90"/>
      <c r="C509" s="53"/>
      <c r="D509" s="53"/>
      <c r="E509" s="42"/>
      <c r="F509" s="210"/>
      <c r="G509" s="212"/>
      <c r="H509" s="211"/>
      <c r="I509" s="255"/>
      <c r="J509" s="568"/>
      <c r="L509" s="939"/>
      <c r="M509" s="943"/>
      <c r="P509" s="942" t="str">
        <f t="shared" si="169"/>
        <v/>
      </c>
    </row>
    <row r="510" spans="2:16" hidden="1" x14ac:dyDescent="0.2">
      <c r="B510" s="90"/>
      <c r="C510" s="53"/>
      <c r="D510" s="53"/>
      <c r="E510" s="42"/>
      <c r="F510" s="210" t="s">
        <v>464</v>
      </c>
      <c r="G510" s="212"/>
      <c r="H510" s="211"/>
      <c r="I510" s="255"/>
      <c r="J510" s="568"/>
      <c r="L510" s="939"/>
      <c r="M510" s="943"/>
      <c r="P510" s="942" t="str">
        <f t="shared" si="169"/>
        <v/>
      </c>
    </row>
    <row r="511" spans="2:16" hidden="1" x14ac:dyDescent="0.2">
      <c r="B511" s="90"/>
      <c r="C511" s="53"/>
      <c r="D511" s="92" t="s">
        <v>431</v>
      </c>
      <c r="E511" s="42" t="s">
        <v>811</v>
      </c>
      <c r="F511" s="210" t="s">
        <v>432</v>
      </c>
      <c r="G511" s="212">
        <v>23020037</v>
      </c>
      <c r="H511" s="211" t="s">
        <v>433</v>
      </c>
      <c r="I511" s="995">
        <v>2100</v>
      </c>
      <c r="J511" s="568"/>
      <c r="L511" s="939"/>
      <c r="M511" s="940" t="s">
        <v>843</v>
      </c>
      <c r="N511" s="641" t="s">
        <v>856</v>
      </c>
      <c r="P511" s="942">
        <f t="shared" si="169"/>
        <v>-1</v>
      </c>
    </row>
    <row r="512" spans="2:16" hidden="1" x14ac:dyDescent="0.2">
      <c r="B512" s="90"/>
      <c r="C512" s="53"/>
      <c r="D512" s="53"/>
      <c r="E512" s="42"/>
      <c r="F512" s="210" t="s">
        <v>437</v>
      </c>
      <c r="G512" s="212">
        <v>23020023</v>
      </c>
      <c r="H512" s="211" t="s">
        <v>434</v>
      </c>
      <c r="I512" s="995">
        <v>4142</v>
      </c>
      <c r="J512" s="568"/>
      <c r="L512" s="939"/>
      <c r="M512" s="940" t="s">
        <v>844</v>
      </c>
      <c r="N512" s="641" t="s">
        <v>856</v>
      </c>
      <c r="P512" s="942">
        <f t="shared" si="169"/>
        <v>-1</v>
      </c>
    </row>
    <row r="513" spans="2:18" hidden="1" x14ac:dyDescent="0.2">
      <c r="B513" s="90"/>
      <c r="C513" s="53"/>
      <c r="D513" s="53"/>
      <c r="E513" s="42"/>
      <c r="F513" s="534" t="s">
        <v>1025</v>
      </c>
      <c r="G513" s="212" t="s">
        <v>1364</v>
      </c>
      <c r="H513" s="212" t="s">
        <v>1303</v>
      </c>
      <c r="I513" s="994">
        <v>6082</v>
      </c>
      <c r="J513" s="568"/>
      <c r="L513" s="939"/>
      <c r="M513" s="940" t="s">
        <v>845</v>
      </c>
      <c r="N513" s="641" t="s">
        <v>856</v>
      </c>
      <c r="P513" s="942">
        <f t="shared" si="169"/>
        <v>-1</v>
      </c>
    </row>
    <row r="514" spans="2:18" hidden="1" x14ac:dyDescent="0.2">
      <c r="B514" s="90"/>
      <c r="C514" s="53"/>
      <c r="D514" s="53"/>
      <c r="E514" s="42"/>
      <c r="F514" s="534" t="s">
        <v>1026</v>
      </c>
      <c r="G514" s="212" t="s">
        <v>1365</v>
      </c>
      <c r="H514" s="212" t="s">
        <v>1301</v>
      </c>
      <c r="I514" s="994">
        <v>6082</v>
      </c>
      <c r="J514" s="568"/>
      <c r="L514" s="939"/>
      <c r="M514" s="940" t="s">
        <v>845</v>
      </c>
      <c r="N514" s="641" t="s">
        <v>856</v>
      </c>
      <c r="P514" s="942">
        <f t="shared" si="169"/>
        <v>-1</v>
      </c>
    </row>
    <row r="515" spans="2:18" hidden="1" x14ac:dyDescent="0.2">
      <c r="B515" s="90"/>
      <c r="C515" s="53"/>
      <c r="D515" s="53"/>
      <c r="E515" s="42"/>
      <c r="F515" s="534" t="s">
        <v>1015</v>
      </c>
      <c r="G515" s="212">
        <v>23020042</v>
      </c>
      <c r="H515" s="212" t="s">
        <v>1362</v>
      </c>
      <c r="I515" s="995">
        <v>4900</v>
      </c>
      <c r="J515" s="878"/>
      <c r="L515" s="939"/>
      <c r="M515" s="940"/>
      <c r="P515" s="942">
        <f t="shared" si="169"/>
        <v>-1</v>
      </c>
    </row>
    <row r="516" spans="2:18" hidden="1" x14ac:dyDescent="0.2">
      <c r="B516" s="90"/>
      <c r="C516" s="53"/>
      <c r="D516" s="529"/>
      <c r="E516" s="733"/>
      <c r="F516" s="534" t="s">
        <v>1027</v>
      </c>
      <c r="G516" s="214" t="s">
        <v>1028</v>
      </c>
      <c r="H516" s="212" t="s">
        <v>1029</v>
      </c>
      <c r="I516" s="994">
        <v>6795</v>
      </c>
      <c r="J516" s="568"/>
      <c r="L516" s="939"/>
      <c r="M516" s="940" t="s">
        <v>846</v>
      </c>
      <c r="N516" s="641" t="s">
        <v>856</v>
      </c>
      <c r="P516" s="942">
        <f t="shared" si="169"/>
        <v>-1</v>
      </c>
      <c r="R516" s="641">
        <v>6238.2098883572571</v>
      </c>
    </row>
    <row r="517" spans="2:18" hidden="1" x14ac:dyDescent="0.2">
      <c r="B517" s="90"/>
      <c r="C517" s="53"/>
      <c r="D517" s="53"/>
      <c r="E517" s="42"/>
      <c r="F517" s="344" t="s">
        <v>436</v>
      </c>
      <c r="G517" s="212">
        <v>23020039</v>
      </c>
      <c r="H517" s="211" t="s">
        <v>435</v>
      </c>
      <c r="I517" s="995">
        <v>4990</v>
      </c>
      <c r="J517" s="568"/>
      <c r="L517" s="939"/>
      <c r="M517" s="940" t="s">
        <v>847</v>
      </c>
      <c r="N517" s="641" t="s">
        <v>856</v>
      </c>
      <c r="P517" s="942">
        <f t="shared" si="169"/>
        <v>-1</v>
      </c>
    </row>
    <row r="518" spans="2:18" hidden="1" x14ac:dyDescent="0.2">
      <c r="B518" s="90"/>
      <c r="C518" s="53"/>
      <c r="D518" s="53"/>
      <c r="E518" s="42" t="s">
        <v>208</v>
      </c>
      <c r="F518" s="534" t="s">
        <v>450</v>
      </c>
      <c r="G518" s="212">
        <v>23020041</v>
      </c>
      <c r="H518" s="212" t="s">
        <v>778</v>
      </c>
      <c r="I518" s="995">
        <v>4900</v>
      </c>
      <c r="J518" s="878"/>
      <c r="L518" s="939"/>
      <c r="M518" s="944" t="s">
        <v>848</v>
      </c>
      <c r="N518" s="641" t="s">
        <v>856</v>
      </c>
      <c r="P518" s="942">
        <f t="shared" si="169"/>
        <v>-1</v>
      </c>
    </row>
    <row r="519" spans="2:18" hidden="1" x14ac:dyDescent="0.2">
      <c r="B519" s="90"/>
      <c r="C519" s="53"/>
      <c r="D519" s="53"/>
      <c r="E519" s="42"/>
      <c r="F519" s="534" t="s">
        <v>1015</v>
      </c>
      <c r="G519" s="212">
        <v>23020042</v>
      </c>
      <c r="H519" s="212" t="s">
        <v>1362</v>
      </c>
      <c r="I519" s="995">
        <v>4900</v>
      </c>
      <c r="J519" s="878"/>
      <c r="L519" s="939"/>
      <c r="M519" s="944" t="s">
        <v>849</v>
      </c>
      <c r="N519" s="641" t="s">
        <v>856</v>
      </c>
      <c r="P519" s="942">
        <f t="shared" si="169"/>
        <v>-1</v>
      </c>
    </row>
    <row r="520" spans="2:18" hidden="1" x14ac:dyDescent="0.2">
      <c r="B520" s="90"/>
      <c r="C520" s="53"/>
      <c r="D520" s="53"/>
      <c r="E520" s="42"/>
      <c r="F520" s="534" t="s">
        <v>1016</v>
      </c>
      <c r="G520" s="212">
        <v>23020171</v>
      </c>
      <c r="H520" s="212" t="s">
        <v>1363</v>
      </c>
      <c r="I520" s="995">
        <v>4990</v>
      </c>
      <c r="J520" s="878"/>
      <c r="L520" s="939"/>
      <c r="M520" s="944" t="s">
        <v>850</v>
      </c>
      <c r="N520" s="641" t="s">
        <v>856</v>
      </c>
      <c r="P520" s="942">
        <f t="shared" si="169"/>
        <v>-1</v>
      </c>
    </row>
    <row r="521" spans="2:18" hidden="1" x14ac:dyDescent="0.2">
      <c r="B521" s="90"/>
      <c r="C521" s="53"/>
      <c r="D521" s="53"/>
      <c r="E521" s="42"/>
      <c r="F521" s="534" t="s">
        <v>1017</v>
      </c>
      <c r="G521" s="212">
        <v>23020173</v>
      </c>
      <c r="H521" s="212" t="s">
        <v>1019</v>
      </c>
      <c r="I521" s="995">
        <v>5200</v>
      </c>
      <c r="J521" s="568"/>
      <c r="L521" s="939"/>
      <c r="M521" s="944" t="s">
        <v>851</v>
      </c>
      <c r="N521" s="641" t="s">
        <v>856</v>
      </c>
      <c r="P521" s="942">
        <f t="shared" si="169"/>
        <v>-1</v>
      </c>
    </row>
    <row r="522" spans="2:18" hidden="1" x14ac:dyDescent="0.2">
      <c r="B522" s="90"/>
      <c r="C522" s="53"/>
      <c r="D522" s="53"/>
      <c r="E522" s="42"/>
      <c r="F522" s="534" t="s">
        <v>1018</v>
      </c>
      <c r="G522" s="212">
        <v>23020180</v>
      </c>
      <c r="H522" s="212" t="s">
        <v>600</v>
      </c>
      <c r="I522" s="995">
        <v>5890</v>
      </c>
      <c r="J522" s="568"/>
      <c r="L522" s="939"/>
      <c r="M522" s="944" t="s">
        <v>852</v>
      </c>
      <c r="N522" s="641" t="s">
        <v>856</v>
      </c>
      <c r="P522" s="942">
        <f t="shared" si="169"/>
        <v>-1</v>
      </c>
    </row>
    <row r="523" spans="2:18" hidden="1" x14ac:dyDescent="0.2">
      <c r="B523" s="90"/>
      <c r="C523" s="53"/>
      <c r="D523" s="53"/>
      <c r="E523" s="42"/>
      <c r="F523" s="534"/>
      <c r="G523" s="212"/>
      <c r="H523" s="212"/>
      <c r="I523" s="255"/>
      <c r="J523" s="878"/>
      <c r="L523" s="939"/>
      <c r="M523" s="944" t="s">
        <v>853</v>
      </c>
      <c r="N523" s="641" t="s">
        <v>856</v>
      </c>
      <c r="P523" s="942" t="str">
        <f t="shared" si="169"/>
        <v/>
      </c>
    </row>
    <row r="524" spans="2:18" hidden="1" x14ac:dyDescent="0.2">
      <c r="B524" s="90"/>
      <c r="C524" s="53"/>
      <c r="D524" s="53"/>
      <c r="E524" s="42"/>
      <c r="F524" s="534"/>
      <c r="G524" s="212"/>
      <c r="H524" s="212"/>
      <c r="I524" s="255"/>
      <c r="J524" s="568"/>
      <c r="L524" s="939"/>
      <c r="M524" s="945"/>
      <c r="P524" s="942" t="str">
        <f t="shared" si="169"/>
        <v/>
      </c>
    </row>
    <row r="525" spans="2:18" hidden="1" x14ac:dyDescent="0.2">
      <c r="B525" s="90"/>
      <c r="C525" s="53"/>
      <c r="D525" s="53"/>
      <c r="E525" s="42"/>
      <c r="F525" s="210"/>
      <c r="G525" s="212"/>
      <c r="H525" s="211"/>
      <c r="I525" s="255"/>
      <c r="J525" s="568"/>
      <c r="L525" s="939"/>
      <c r="M525" s="943"/>
      <c r="P525" s="942" t="str">
        <f t="shared" si="169"/>
        <v/>
      </c>
    </row>
    <row r="526" spans="2:18" hidden="1" x14ac:dyDescent="0.2">
      <c r="B526" s="90"/>
      <c r="C526" s="53"/>
      <c r="D526" s="53"/>
      <c r="E526" s="42"/>
      <c r="F526" s="210" t="s">
        <v>603</v>
      </c>
      <c r="G526" s="211">
        <v>23020145</v>
      </c>
      <c r="H526" s="211" t="s">
        <v>601</v>
      </c>
      <c r="I526" s="995">
        <v>899</v>
      </c>
      <c r="J526" s="568"/>
      <c r="L526" s="939"/>
      <c r="M526" s="940" t="s">
        <v>854</v>
      </c>
      <c r="N526" s="641" t="s">
        <v>856</v>
      </c>
      <c r="P526" s="942">
        <f t="shared" si="169"/>
        <v>-1</v>
      </c>
    </row>
    <row r="527" spans="2:18" hidden="1" x14ac:dyDescent="0.2">
      <c r="B527" s="90"/>
      <c r="C527" s="53"/>
      <c r="D527" s="53"/>
      <c r="E527" s="42"/>
      <c r="F527" s="210" t="s">
        <v>604</v>
      </c>
      <c r="G527" s="211">
        <v>23020187</v>
      </c>
      <c r="H527" s="211" t="s">
        <v>602</v>
      </c>
      <c r="I527" s="994">
        <v>885</v>
      </c>
      <c r="J527" s="568"/>
      <c r="L527" s="939"/>
      <c r="M527" s="940" t="s">
        <v>855</v>
      </c>
      <c r="N527" s="641" t="s">
        <v>856</v>
      </c>
      <c r="P527" s="942">
        <f t="shared" si="169"/>
        <v>-1</v>
      </c>
    </row>
    <row r="528" spans="2:18" hidden="1" x14ac:dyDescent="0.2">
      <c r="B528" s="90"/>
      <c r="C528" s="53"/>
      <c r="D528" s="53"/>
      <c r="E528" s="42"/>
      <c r="F528" s="210"/>
      <c r="G528" s="211"/>
      <c r="H528" s="211"/>
      <c r="I528" s="255"/>
      <c r="J528" s="568"/>
      <c r="L528" s="939"/>
      <c r="M528" s="943"/>
      <c r="P528" s="942" t="str">
        <f t="shared" si="169"/>
        <v/>
      </c>
    </row>
    <row r="529" spans="2:16" hidden="1" x14ac:dyDescent="0.2">
      <c r="B529" s="90"/>
      <c r="C529" s="53"/>
      <c r="D529" s="53"/>
      <c r="E529" s="42"/>
      <c r="F529" s="210"/>
      <c r="G529" s="211"/>
      <c r="H529" s="211"/>
      <c r="I529" s="255"/>
      <c r="J529" s="568"/>
      <c r="L529" s="939"/>
      <c r="M529" s="943"/>
      <c r="P529" s="942" t="str">
        <f t="shared" si="169"/>
        <v/>
      </c>
    </row>
    <row r="530" spans="2:16" hidden="1" x14ac:dyDescent="0.2">
      <c r="B530" s="90"/>
      <c r="C530" s="53"/>
      <c r="D530" s="53"/>
      <c r="E530" s="42" t="s">
        <v>812</v>
      </c>
      <c r="F530" s="210" t="s">
        <v>437</v>
      </c>
      <c r="G530" s="211">
        <v>23020023</v>
      </c>
      <c r="H530" s="211" t="s">
        <v>434</v>
      </c>
      <c r="I530" s="995">
        <v>4200</v>
      </c>
      <c r="J530" s="568"/>
      <c r="L530" s="939"/>
      <c r="M530" s="940" t="s">
        <v>844</v>
      </c>
      <c r="N530" s="641" t="s">
        <v>856</v>
      </c>
      <c r="P530" s="942">
        <f t="shared" si="169"/>
        <v>-1</v>
      </c>
    </row>
    <row r="531" spans="2:16" hidden="1" x14ac:dyDescent="0.2">
      <c r="B531" s="90"/>
      <c r="C531" s="53"/>
      <c r="D531" s="53"/>
      <c r="E531" s="42"/>
      <c r="F531" s="534" t="s">
        <v>1025</v>
      </c>
      <c r="G531" s="212" t="s">
        <v>1304</v>
      </c>
      <c r="H531" s="212" t="s">
        <v>1303</v>
      </c>
      <c r="I531" s="994">
        <v>6082</v>
      </c>
      <c r="J531" s="568"/>
      <c r="L531" s="939"/>
      <c r="M531" s="940" t="s">
        <v>845</v>
      </c>
      <c r="N531" s="641" t="s">
        <v>856</v>
      </c>
      <c r="P531" s="942">
        <f t="shared" si="169"/>
        <v>-1</v>
      </c>
    </row>
    <row r="532" spans="2:16" hidden="1" x14ac:dyDescent="0.2">
      <c r="B532" s="90"/>
      <c r="C532" s="53"/>
      <c r="D532" s="53"/>
      <c r="E532" s="42"/>
      <c r="F532" s="534" t="s">
        <v>1026</v>
      </c>
      <c r="G532" s="212" t="s">
        <v>1302</v>
      </c>
      <c r="H532" s="212" t="s">
        <v>1301</v>
      </c>
      <c r="I532" s="994">
        <v>6082</v>
      </c>
      <c r="J532" s="568"/>
      <c r="L532" s="939"/>
      <c r="M532" s="940" t="s">
        <v>845</v>
      </c>
      <c r="N532" s="641" t="s">
        <v>856</v>
      </c>
      <c r="P532" s="942">
        <f t="shared" si="169"/>
        <v>-1</v>
      </c>
    </row>
    <row r="533" spans="2:16" hidden="1" x14ac:dyDescent="0.2">
      <c r="B533" s="90"/>
      <c r="C533" s="53"/>
      <c r="D533" s="529"/>
      <c r="E533" s="733"/>
      <c r="F533" s="534" t="str">
        <f>F516</f>
        <v>Wipe G2 250 Applicator &amp; Wipe G2 Arm 250 Fxd Compl</v>
      </c>
      <c r="G533" s="534" t="str">
        <f>G516</f>
        <v>23020230, 23020231</v>
      </c>
      <c r="H533" s="534" t="str">
        <f>H516</f>
        <v>K101250, A100551</v>
      </c>
      <c r="I533" s="994">
        <f>I516</f>
        <v>6795</v>
      </c>
      <c r="J533" s="568"/>
      <c r="L533" s="939"/>
      <c r="M533" s="940" t="s">
        <v>846</v>
      </c>
      <c r="N533" s="641" t="s">
        <v>856</v>
      </c>
      <c r="P533" s="942">
        <f t="shared" si="169"/>
        <v>-1</v>
      </c>
    </row>
    <row r="534" spans="2:16" hidden="1" x14ac:dyDescent="0.2">
      <c r="B534" s="90"/>
      <c r="C534" s="53"/>
      <c r="D534" s="53"/>
      <c r="E534" s="42"/>
      <c r="F534" s="344" t="s">
        <v>436</v>
      </c>
      <c r="G534" s="211">
        <v>23020039</v>
      </c>
      <c r="H534" s="211" t="s">
        <v>435</v>
      </c>
      <c r="I534" s="995">
        <f>I517</f>
        <v>4990</v>
      </c>
      <c r="J534" s="568"/>
      <c r="L534" s="939"/>
      <c r="M534" s="940" t="s">
        <v>847</v>
      </c>
      <c r="N534" s="641" t="s">
        <v>856</v>
      </c>
      <c r="P534" s="942">
        <f t="shared" si="169"/>
        <v>-1</v>
      </c>
    </row>
    <row r="535" spans="2:16" hidden="1" x14ac:dyDescent="0.2">
      <c r="B535" s="90"/>
      <c r="C535" s="53"/>
      <c r="D535" s="53"/>
      <c r="E535" s="42"/>
      <c r="F535" s="210"/>
      <c r="G535" s="211"/>
      <c r="H535" s="211"/>
      <c r="I535" s="255"/>
      <c r="J535" s="568"/>
      <c r="L535" s="939"/>
      <c r="M535" s="943"/>
      <c r="P535" s="942" t="str">
        <f t="shared" si="169"/>
        <v/>
      </c>
    </row>
    <row r="536" spans="2:16" hidden="1" x14ac:dyDescent="0.2">
      <c r="B536" s="90"/>
      <c r="C536" s="53"/>
      <c r="D536" s="53"/>
      <c r="E536" s="42"/>
      <c r="F536" s="210"/>
      <c r="G536" s="211"/>
      <c r="H536" s="211"/>
      <c r="I536" s="255"/>
      <c r="J536" s="568"/>
      <c r="L536" s="939"/>
      <c r="M536" s="943"/>
      <c r="P536" s="942" t="str">
        <f t="shared" si="169"/>
        <v/>
      </c>
    </row>
    <row r="537" spans="2:16" hidden="1" x14ac:dyDescent="0.2">
      <c r="B537" s="90"/>
      <c r="C537" s="53"/>
      <c r="D537" s="53"/>
      <c r="E537" s="42"/>
      <c r="F537" s="534" t="s">
        <v>450</v>
      </c>
      <c r="G537" s="212">
        <f>G518</f>
        <v>23020041</v>
      </c>
      <c r="H537" s="212" t="s">
        <v>778</v>
      </c>
      <c r="I537" s="995">
        <f>I518</f>
        <v>4900</v>
      </c>
      <c r="J537" s="998" t="s">
        <v>1361</v>
      </c>
      <c r="L537" s="939"/>
      <c r="M537" s="944" t="s">
        <v>848</v>
      </c>
      <c r="N537" s="641" t="s">
        <v>856</v>
      </c>
      <c r="P537" s="942">
        <f t="shared" si="169"/>
        <v>-1</v>
      </c>
    </row>
    <row r="538" spans="2:16" hidden="1" x14ac:dyDescent="0.2">
      <c r="B538" s="90"/>
      <c r="C538" s="53"/>
      <c r="D538" s="53"/>
      <c r="E538" s="42"/>
      <c r="F538" s="534" t="s">
        <v>451</v>
      </c>
      <c r="G538" s="212">
        <v>23020042</v>
      </c>
      <c r="H538" s="212" t="s">
        <v>1362</v>
      </c>
      <c r="I538" s="995">
        <f>I519</f>
        <v>4900</v>
      </c>
      <c r="J538" s="568"/>
      <c r="L538" s="939"/>
      <c r="M538" s="944" t="s">
        <v>849</v>
      </c>
      <c r="N538" s="641" t="s">
        <v>856</v>
      </c>
      <c r="P538" s="942">
        <f t="shared" si="169"/>
        <v>-1</v>
      </c>
    </row>
    <row r="539" spans="2:16" hidden="1" x14ac:dyDescent="0.2">
      <c r="B539" s="90"/>
      <c r="C539" s="53"/>
      <c r="D539" s="53"/>
      <c r="E539" s="42"/>
      <c r="F539" s="210"/>
      <c r="G539" s="212"/>
      <c r="H539" s="212"/>
      <c r="I539" s="255"/>
      <c r="J539" s="568"/>
      <c r="L539" s="939"/>
      <c r="M539" s="943"/>
      <c r="P539" s="942" t="str">
        <f t="shared" si="169"/>
        <v/>
      </c>
    </row>
    <row r="540" spans="2:16" hidden="1" x14ac:dyDescent="0.2">
      <c r="B540" s="90"/>
      <c r="C540" s="53"/>
      <c r="D540" s="53"/>
      <c r="E540" s="42"/>
      <c r="F540" s="210"/>
      <c r="G540" s="212"/>
      <c r="H540" s="212"/>
      <c r="I540" s="255"/>
      <c r="J540" s="568"/>
      <c r="L540" s="939"/>
      <c r="M540" s="943"/>
      <c r="P540" s="942" t="str">
        <f t="shared" si="169"/>
        <v/>
      </c>
    </row>
    <row r="541" spans="2:16" hidden="1" x14ac:dyDescent="0.2">
      <c r="B541" s="90"/>
      <c r="C541" s="53"/>
      <c r="D541" s="53"/>
      <c r="E541" s="42"/>
      <c r="F541" s="210" t="s">
        <v>819</v>
      </c>
      <c r="G541" s="212">
        <v>23020222</v>
      </c>
      <c r="H541" s="212" t="s">
        <v>820</v>
      </c>
      <c r="I541" s="995">
        <v>4600</v>
      </c>
      <c r="J541" s="568"/>
      <c r="L541" s="939"/>
      <c r="M541" s="940" t="s">
        <v>857</v>
      </c>
      <c r="N541" s="641" t="s">
        <v>856</v>
      </c>
      <c r="P541" s="942">
        <f t="shared" si="169"/>
        <v>-1</v>
      </c>
    </row>
    <row r="542" spans="2:16" hidden="1" x14ac:dyDescent="0.2">
      <c r="B542" s="90"/>
      <c r="C542" s="53"/>
      <c r="D542" s="53"/>
      <c r="E542" s="42"/>
      <c r="F542" s="210"/>
      <c r="G542" s="212"/>
      <c r="H542" s="212"/>
      <c r="I542" s="255"/>
      <c r="J542" s="568"/>
      <c r="L542" s="939"/>
      <c r="M542" s="943"/>
      <c r="P542" s="942" t="str">
        <f t="shared" si="169"/>
        <v/>
      </c>
    </row>
    <row r="543" spans="2:16" hidden="1" x14ac:dyDescent="0.2">
      <c r="B543" s="90"/>
      <c r="C543" s="53"/>
      <c r="D543" s="53"/>
      <c r="E543" s="42"/>
      <c r="F543" s="210"/>
      <c r="G543" s="212"/>
      <c r="H543" s="212"/>
      <c r="I543" s="255"/>
      <c r="J543" s="568"/>
      <c r="L543" s="939"/>
      <c r="M543" s="943"/>
      <c r="P543" s="942" t="str">
        <f t="shared" si="169"/>
        <v/>
      </c>
    </row>
    <row r="544" spans="2:16" hidden="1" x14ac:dyDescent="0.2">
      <c r="B544" s="90"/>
      <c r="C544" s="53"/>
      <c r="D544" s="53"/>
      <c r="E544" s="42"/>
      <c r="F544" s="210"/>
      <c r="G544" s="212"/>
      <c r="H544" s="212"/>
      <c r="I544" s="255"/>
      <c r="J544" s="568"/>
      <c r="L544" s="939"/>
      <c r="M544" s="943"/>
      <c r="P544" s="942" t="str">
        <f t="shared" si="169"/>
        <v/>
      </c>
    </row>
    <row r="545" spans="2:16" hidden="1" x14ac:dyDescent="0.2">
      <c r="B545" s="90"/>
      <c r="C545" s="53"/>
      <c r="D545" s="53"/>
      <c r="E545" s="42"/>
      <c r="F545" s="210"/>
      <c r="G545" s="212"/>
      <c r="H545" s="212"/>
      <c r="I545" s="255"/>
      <c r="J545" s="568"/>
      <c r="L545" s="939"/>
      <c r="M545" s="945"/>
      <c r="P545" s="942" t="str">
        <f t="shared" si="169"/>
        <v/>
      </c>
    </row>
    <row r="546" spans="2:16" hidden="1" x14ac:dyDescent="0.2">
      <c r="B546" s="90"/>
      <c r="C546" s="53"/>
      <c r="D546" s="92" t="s">
        <v>456</v>
      </c>
      <c r="E546" s="42"/>
      <c r="F546" s="210" t="s">
        <v>452</v>
      </c>
      <c r="G546" s="212">
        <v>23020017</v>
      </c>
      <c r="H546" s="212" t="s">
        <v>454</v>
      </c>
      <c r="I546" s="995">
        <v>2800</v>
      </c>
      <c r="J546" s="568"/>
      <c r="L546" s="939"/>
      <c r="M546" s="946" t="s">
        <v>858</v>
      </c>
      <c r="N546" s="641" t="s">
        <v>856</v>
      </c>
      <c r="P546" s="942">
        <f t="shared" si="169"/>
        <v>-1</v>
      </c>
    </row>
    <row r="547" spans="2:16" hidden="1" x14ac:dyDescent="0.2">
      <c r="B547" s="90"/>
      <c r="C547" s="92"/>
      <c r="D547" s="92"/>
      <c r="E547" s="42"/>
      <c r="F547" s="210" t="s">
        <v>453</v>
      </c>
      <c r="G547" s="212">
        <v>23020044</v>
      </c>
      <c r="H547" s="212" t="s">
        <v>455</v>
      </c>
      <c r="I547" s="995">
        <v>2850</v>
      </c>
      <c r="J547" s="568"/>
      <c r="L547" s="939"/>
      <c r="M547" s="946" t="s">
        <v>859</v>
      </c>
      <c r="N547" s="641" t="s">
        <v>856</v>
      </c>
      <c r="P547" s="942">
        <f t="shared" si="169"/>
        <v>-1</v>
      </c>
    </row>
    <row r="548" spans="2:16" ht="22.5" hidden="1" x14ac:dyDescent="0.2">
      <c r="B548" s="90"/>
      <c r="C548" s="53"/>
      <c r="D548" s="53"/>
      <c r="E548" s="92"/>
      <c r="F548" s="344" t="s">
        <v>814</v>
      </c>
      <c r="G548" s="212">
        <v>23020177</v>
      </c>
      <c r="H548" s="215" t="s">
        <v>813</v>
      </c>
      <c r="I548" s="995">
        <v>1250</v>
      </c>
      <c r="J548" s="568"/>
      <c r="L548" s="939"/>
      <c r="M548" s="946" t="s">
        <v>860</v>
      </c>
      <c r="N548" s="641" t="s">
        <v>856</v>
      </c>
      <c r="P548" s="942">
        <f t="shared" si="169"/>
        <v>-1</v>
      </c>
    </row>
    <row r="549" spans="2:16" hidden="1" x14ac:dyDescent="0.2">
      <c r="B549" s="90"/>
      <c r="C549" s="53"/>
      <c r="D549" s="53"/>
      <c r="E549" s="92"/>
      <c r="F549" s="344"/>
      <c r="G549" s="212"/>
      <c r="H549" s="215"/>
      <c r="I549" s="255"/>
      <c r="J549" s="568"/>
      <c r="L549" s="939"/>
      <c r="M549" s="945"/>
      <c r="P549" s="942" t="str">
        <f t="shared" si="169"/>
        <v/>
      </c>
    </row>
    <row r="550" spans="2:16" hidden="1" x14ac:dyDescent="0.2">
      <c r="B550" s="90"/>
      <c r="C550" s="53"/>
      <c r="D550" s="53"/>
      <c r="E550" s="92"/>
      <c r="F550" s="210" t="s">
        <v>549</v>
      </c>
      <c r="G550" s="212" t="s">
        <v>548</v>
      </c>
      <c r="H550" s="212">
        <v>41058017</v>
      </c>
      <c r="I550" s="995">
        <v>2500</v>
      </c>
      <c r="J550" s="568"/>
      <c r="L550" s="939"/>
      <c r="M550" s="945" t="s">
        <v>548</v>
      </c>
      <c r="N550" s="641" t="s">
        <v>861</v>
      </c>
      <c r="P550" s="942">
        <f t="shared" si="169"/>
        <v>-1</v>
      </c>
    </row>
    <row r="551" spans="2:16" hidden="1" x14ac:dyDescent="0.2">
      <c r="B551" s="90"/>
      <c r="C551" s="53"/>
      <c r="D551" s="53"/>
      <c r="E551" s="92"/>
      <c r="F551" s="210" t="s">
        <v>592</v>
      </c>
      <c r="G551" s="212" t="s">
        <v>594</v>
      </c>
      <c r="H551" s="212" t="s">
        <v>1289</v>
      </c>
      <c r="I551" s="995">
        <v>5300</v>
      </c>
      <c r="J551" s="568"/>
      <c r="L551" s="939"/>
      <c r="M551" s="945" t="s">
        <v>594</v>
      </c>
      <c r="N551" s="641" t="s">
        <v>861</v>
      </c>
      <c r="P551" s="942">
        <f t="shared" si="169"/>
        <v>-1</v>
      </c>
    </row>
    <row r="552" spans="2:16" hidden="1" x14ac:dyDescent="0.2">
      <c r="B552" s="90"/>
      <c r="C552" s="53"/>
      <c r="D552" s="53"/>
      <c r="E552" s="92"/>
      <c r="F552" s="210" t="s">
        <v>593</v>
      </c>
      <c r="G552" s="212" t="s">
        <v>595</v>
      </c>
      <c r="H552" s="212" t="s">
        <v>1290</v>
      </c>
      <c r="I552" s="995">
        <v>5390</v>
      </c>
      <c r="J552" s="568"/>
      <c r="L552" s="939"/>
      <c r="M552" s="945" t="s">
        <v>595</v>
      </c>
      <c r="N552" s="641" t="s">
        <v>861</v>
      </c>
      <c r="P552" s="942">
        <f t="shared" si="169"/>
        <v>-1</v>
      </c>
    </row>
    <row r="553" spans="2:16" hidden="1" x14ac:dyDescent="0.2">
      <c r="B553" s="90"/>
      <c r="C553" s="53"/>
      <c r="D553" s="53"/>
      <c r="E553" s="92"/>
      <c r="F553" s="210" t="s">
        <v>550</v>
      </c>
      <c r="G553" s="212">
        <v>14010013</v>
      </c>
      <c r="H553" s="212">
        <v>41204972</v>
      </c>
      <c r="I553" s="995">
        <v>6300</v>
      </c>
      <c r="J553" s="568"/>
      <c r="L553" s="939"/>
      <c r="M553" s="945">
        <v>14010013</v>
      </c>
      <c r="N553" s="641" t="s">
        <v>861</v>
      </c>
      <c r="P553" s="942">
        <f t="shared" si="169"/>
        <v>-1</v>
      </c>
    </row>
    <row r="554" spans="2:16" hidden="1" x14ac:dyDescent="0.2">
      <c r="B554" s="90"/>
      <c r="C554" s="53"/>
      <c r="D554" s="53"/>
      <c r="E554" s="92"/>
      <c r="F554" s="210" t="s">
        <v>596</v>
      </c>
      <c r="G554" s="212" t="s">
        <v>598</v>
      </c>
      <c r="H554" s="212" t="s">
        <v>1291</v>
      </c>
      <c r="I554" s="995">
        <v>8250</v>
      </c>
      <c r="J554" s="568"/>
      <c r="L554" s="939"/>
      <c r="M554" s="945" t="s">
        <v>598</v>
      </c>
      <c r="N554" s="641" t="s">
        <v>861</v>
      </c>
      <c r="P554" s="942">
        <f t="shared" si="169"/>
        <v>-1</v>
      </c>
    </row>
    <row r="555" spans="2:16" hidden="1" x14ac:dyDescent="0.2">
      <c r="B555" s="90"/>
      <c r="C555" s="53"/>
      <c r="D555" s="53"/>
      <c r="E555" s="92"/>
      <c r="F555" s="210" t="s">
        <v>597</v>
      </c>
      <c r="G555" s="212" t="s">
        <v>599</v>
      </c>
      <c r="H555" s="212" t="s">
        <v>1292</v>
      </c>
      <c r="I555" s="995">
        <v>8300</v>
      </c>
      <c r="J555" s="568"/>
      <c r="L555" s="939"/>
      <c r="M555" s="945" t="s">
        <v>599</v>
      </c>
      <c r="N555" s="641" t="s">
        <v>861</v>
      </c>
      <c r="P555" s="942">
        <f t="shared" si="169"/>
        <v>-1</v>
      </c>
    </row>
    <row r="556" spans="2:16" hidden="1" x14ac:dyDescent="0.2">
      <c r="B556" s="90"/>
      <c r="C556" s="53"/>
      <c r="D556" s="53"/>
      <c r="E556" s="92"/>
      <c r="F556" s="210" t="s">
        <v>580</v>
      </c>
      <c r="G556" s="212">
        <v>14020074</v>
      </c>
      <c r="H556" s="212">
        <v>41044264</v>
      </c>
      <c r="I556" s="995">
        <v>9100</v>
      </c>
      <c r="J556" s="568"/>
      <c r="L556" s="939"/>
      <c r="M556" s="945">
        <v>14020074</v>
      </c>
      <c r="N556" s="641" t="s">
        <v>861</v>
      </c>
      <c r="P556" s="942">
        <f t="shared" si="169"/>
        <v>-1</v>
      </c>
    </row>
    <row r="557" spans="2:16" hidden="1" x14ac:dyDescent="0.2">
      <c r="B557" s="90"/>
      <c r="C557" s="53"/>
      <c r="D557" s="53"/>
      <c r="E557" s="92"/>
      <c r="F557" s="210" t="s">
        <v>1326</v>
      </c>
      <c r="G557" s="212" t="s">
        <v>1327</v>
      </c>
      <c r="H557" s="212" t="s">
        <v>1328</v>
      </c>
      <c r="I557" s="255">
        <f>4250+108</f>
        <v>4358</v>
      </c>
      <c r="J557" s="568"/>
      <c r="L557" s="939"/>
      <c r="M557" s="946" t="s">
        <v>862</v>
      </c>
      <c r="N557" s="641" t="s">
        <v>953</v>
      </c>
      <c r="P557" s="942">
        <f t="shared" si="169"/>
        <v>-1</v>
      </c>
    </row>
    <row r="558" spans="2:16" hidden="1" x14ac:dyDescent="0.2">
      <c r="B558" s="90"/>
      <c r="C558" s="53"/>
      <c r="D558" s="53"/>
      <c r="E558" s="42"/>
      <c r="F558" s="210" t="s">
        <v>566</v>
      </c>
      <c r="G558" s="212" t="s">
        <v>567</v>
      </c>
      <c r="H558" s="212">
        <v>20191603</v>
      </c>
      <c r="I558" s="255">
        <v>105</v>
      </c>
      <c r="J558" s="568"/>
      <c r="L558" s="939"/>
      <c r="M558" s="946" t="s">
        <v>567</v>
      </c>
      <c r="N558" s="641" t="s">
        <v>910</v>
      </c>
      <c r="P558" s="942">
        <f t="shared" si="169"/>
        <v>-1</v>
      </c>
    </row>
    <row r="559" spans="2:16" hidden="1" x14ac:dyDescent="0.2">
      <c r="B559" s="90"/>
      <c r="C559" s="53"/>
      <c r="D559" s="53"/>
      <c r="E559" s="42"/>
      <c r="F559" s="210" t="s">
        <v>569</v>
      </c>
      <c r="G559" s="212" t="s">
        <v>570</v>
      </c>
      <c r="H559" s="212">
        <v>20091601</v>
      </c>
      <c r="I559" s="255">
        <v>42</v>
      </c>
      <c r="J559" s="568"/>
      <c r="L559" s="939"/>
      <c r="M559" s="946" t="s">
        <v>570</v>
      </c>
      <c r="N559" s="641" t="s">
        <v>910</v>
      </c>
      <c r="P559" s="942">
        <f t="shared" si="169"/>
        <v>-1</v>
      </c>
    </row>
    <row r="560" spans="2:16" hidden="1" x14ac:dyDescent="0.2">
      <c r="B560" s="90"/>
      <c r="C560" s="53"/>
      <c r="D560" s="53"/>
      <c r="E560" s="42"/>
      <c r="F560" s="210" t="s">
        <v>572</v>
      </c>
      <c r="G560" s="212" t="s">
        <v>571</v>
      </c>
      <c r="H560" s="212">
        <v>20091604</v>
      </c>
      <c r="I560" s="255">
        <v>460</v>
      </c>
      <c r="J560" s="568"/>
      <c r="L560" s="939"/>
      <c r="M560" s="945" t="s">
        <v>571</v>
      </c>
      <c r="N560" s="641" t="s">
        <v>897</v>
      </c>
      <c r="P560" s="942">
        <f t="shared" si="169"/>
        <v>-1</v>
      </c>
    </row>
    <row r="561" spans="2:16" hidden="1" x14ac:dyDescent="0.2">
      <c r="B561" s="90"/>
      <c r="C561" s="53"/>
      <c r="D561" s="53"/>
      <c r="E561" s="42"/>
      <c r="F561" s="210" t="s">
        <v>1356</v>
      </c>
      <c r="G561" s="212">
        <v>13080203</v>
      </c>
      <c r="H561" s="212">
        <v>13080203</v>
      </c>
      <c r="I561" s="255">
        <v>560</v>
      </c>
      <c r="J561" s="568"/>
      <c r="L561" s="939"/>
      <c r="M561" s="945"/>
      <c r="P561" s="942">
        <f t="shared" si="169"/>
        <v>-1</v>
      </c>
    </row>
    <row r="562" spans="2:16" hidden="1" x14ac:dyDescent="0.2">
      <c r="B562" s="90"/>
      <c r="C562" s="53"/>
      <c r="D562" s="53"/>
      <c r="E562" s="42"/>
      <c r="F562" s="210" t="s">
        <v>573</v>
      </c>
      <c r="G562" s="212" t="s">
        <v>574</v>
      </c>
      <c r="H562" s="212">
        <v>15011615</v>
      </c>
      <c r="I562" s="255">
        <v>105</v>
      </c>
      <c r="J562" s="568"/>
      <c r="L562" s="939"/>
      <c r="M562" s="945" t="s">
        <v>574</v>
      </c>
      <c r="N562" s="641" t="s">
        <v>897</v>
      </c>
      <c r="P562" s="942">
        <f t="shared" si="169"/>
        <v>-1</v>
      </c>
    </row>
    <row r="563" spans="2:16" hidden="1" x14ac:dyDescent="0.2">
      <c r="B563" s="90"/>
      <c r="C563" s="53"/>
      <c r="D563" s="53"/>
      <c r="E563" s="42"/>
      <c r="F563" s="210" t="s">
        <v>576</v>
      </c>
      <c r="G563" s="212" t="s">
        <v>575</v>
      </c>
      <c r="H563" s="212">
        <v>133951.01</v>
      </c>
      <c r="I563" s="255">
        <v>100</v>
      </c>
      <c r="J563" s="568"/>
      <c r="L563" s="939"/>
      <c r="M563" s="946" t="s">
        <v>575</v>
      </c>
      <c r="N563" s="641" t="s">
        <v>861</v>
      </c>
      <c r="P563" s="942">
        <f t="shared" si="169"/>
        <v>-1</v>
      </c>
    </row>
    <row r="564" spans="2:16" hidden="1" x14ac:dyDescent="0.2">
      <c r="B564" s="90"/>
      <c r="C564" s="53"/>
      <c r="D564" s="53"/>
      <c r="E564" s="42"/>
      <c r="F564" s="210" t="s">
        <v>577</v>
      </c>
      <c r="G564" s="216" t="s">
        <v>578</v>
      </c>
      <c r="H564" s="212" t="s">
        <v>579</v>
      </c>
      <c r="I564" s="255">
        <v>892</v>
      </c>
      <c r="J564" s="568"/>
      <c r="L564" s="939"/>
      <c r="M564" s="947" t="s">
        <v>578</v>
      </c>
      <c r="N564" s="641" t="s">
        <v>856</v>
      </c>
      <c r="P564" s="942">
        <f t="shared" si="169"/>
        <v>-1</v>
      </c>
    </row>
    <row r="565" spans="2:16" hidden="1" x14ac:dyDescent="0.2">
      <c r="B565" s="90"/>
      <c r="C565" s="53"/>
      <c r="D565" s="53"/>
      <c r="E565" s="42"/>
      <c r="F565" s="210"/>
      <c r="G565" s="216"/>
      <c r="H565" s="212"/>
      <c r="I565" s="255"/>
      <c r="J565" s="568"/>
      <c r="L565" s="939"/>
      <c r="M565" s="947"/>
      <c r="P565" s="942" t="str">
        <f t="shared" si="169"/>
        <v/>
      </c>
    </row>
    <row r="566" spans="2:16" hidden="1" x14ac:dyDescent="0.2">
      <c r="B566" s="90"/>
      <c r="C566" s="53"/>
      <c r="D566" s="53"/>
      <c r="E566" s="42"/>
      <c r="F566" s="210" t="s">
        <v>584</v>
      </c>
      <c r="G566" s="216" t="s">
        <v>590</v>
      </c>
      <c r="H566" s="212" t="s">
        <v>1293</v>
      </c>
      <c r="I566" s="995">
        <v>699</v>
      </c>
      <c r="J566" s="568"/>
      <c r="L566" s="939"/>
      <c r="M566" s="947" t="s">
        <v>590</v>
      </c>
      <c r="N566" s="641" t="s">
        <v>865</v>
      </c>
      <c r="P566" s="942">
        <f t="shared" si="169"/>
        <v>-1</v>
      </c>
    </row>
    <row r="567" spans="2:16" hidden="1" x14ac:dyDescent="0.2">
      <c r="B567" s="90"/>
      <c r="C567" s="53"/>
      <c r="D567" s="53"/>
      <c r="E567" s="42"/>
      <c r="F567" s="210" t="s">
        <v>585</v>
      </c>
      <c r="G567" s="216">
        <v>14020043</v>
      </c>
      <c r="H567" s="212">
        <v>41204999</v>
      </c>
      <c r="I567" s="995">
        <v>699</v>
      </c>
      <c r="J567" s="568"/>
      <c r="L567" s="939"/>
      <c r="M567" s="948" t="s">
        <v>863</v>
      </c>
      <c r="N567" s="641" t="s">
        <v>865</v>
      </c>
      <c r="P567" s="942">
        <f t="shared" si="169"/>
        <v>-1</v>
      </c>
    </row>
    <row r="568" spans="2:16" hidden="1" x14ac:dyDescent="0.2">
      <c r="B568" s="90"/>
      <c r="C568" s="53"/>
      <c r="D568" s="53"/>
      <c r="E568" s="42"/>
      <c r="F568" s="210" t="s">
        <v>586</v>
      </c>
      <c r="G568" s="216">
        <v>14020054</v>
      </c>
      <c r="H568" s="212">
        <v>41039404</v>
      </c>
      <c r="I568" s="995">
        <v>699</v>
      </c>
      <c r="J568" s="568"/>
      <c r="L568" s="939"/>
      <c r="M568" s="948" t="s">
        <v>864</v>
      </c>
      <c r="N568" s="641" t="s">
        <v>865</v>
      </c>
      <c r="P568" s="942">
        <f t="shared" si="169"/>
        <v>-1</v>
      </c>
    </row>
    <row r="569" spans="2:16" hidden="1" x14ac:dyDescent="0.2">
      <c r="B569" s="90"/>
      <c r="C569" s="53"/>
      <c r="D569" s="53"/>
      <c r="E569" s="42"/>
      <c r="F569" s="210" t="s">
        <v>587</v>
      </c>
      <c r="G569" s="216">
        <v>14020053</v>
      </c>
      <c r="H569" s="212">
        <v>41039403</v>
      </c>
      <c r="I569" s="995">
        <v>970</v>
      </c>
      <c r="J569" s="568"/>
      <c r="L569" s="939"/>
      <c r="M569" s="948" t="s">
        <v>866</v>
      </c>
      <c r="N569" s="641" t="s">
        <v>865</v>
      </c>
      <c r="P569" s="942">
        <f t="shared" si="169"/>
        <v>-1</v>
      </c>
    </row>
    <row r="570" spans="2:16" hidden="1" x14ac:dyDescent="0.2">
      <c r="B570" s="90"/>
      <c r="C570" s="53"/>
      <c r="D570" s="53"/>
      <c r="E570" s="42"/>
      <c r="F570" s="210" t="s">
        <v>588</v>
      </c>
      <c r="G570" s="216">
        <v>14020056</v>
      </c>
      <c r="H570" s="212">
        <v>41039405</v>
      </c>
      <c r="I570" s="995">
        <v>699</v>
      </c>
      <c r="J570" s="568"/>
      <c r="L570" s="939"/>
      <c r="M570" s="948" t="s">
        <v>867</v>
      </c>
      <c r="N570" s="641" t="s">
        <v>865</v>
      </c>
      <c r="P570" s="942">
        <f t="shared" si="169"/>
        <v>-1</v>
      </c>
    </row>
    <row r="571" spans="2:16" hidden="1" x14ac:dyDescent="0.2">
      <c r="B571" s="90"/>
      <c r="C571" s="53"/>
      <c r="D571" s="53"/>
      <c r="E571" s="42"/>
      <c r="F571" s="210" t="s">
        <v>589</v>
      </c>
      <c r="G571" s="216">
        <v>14020099</v>
      </c>
      <c r="H571" s="212">
        <v>41205000</v>
      </c>
      <c r="I571" s="995">
        <v>699</v>
      </c>
      <c r="J571" s="568"/>
      <c r="L571" s="939"/>
      <c r="M571" s="948" t="s">
        <v>868</v>
      </c>
      <c r="N571" s="641" t="s">
        <v>865</v>
      </c>
      <c r="P571" s="942">
        <f t="shared" ref="P571:P675" si="170">IFERROR((O571/I571)-1,"")</f>
        <v>-1</v>
      </c>
    </row>
    <row r="572" spans="2:16" hidden="1" x14ac:dyDescent="0.2">
      <c r="B572" s="90"/>
      <c r="C572" s="53"/>
      <c r="D572" s="53"/>
      <c r="E572" s="42"/>
      <c r="F572" s="210"/>
      <c r="G572" s="216"/>
      <c r="H572" s="212"/>
      <c r="I572" s="255"/>
      <c r="J572" s="568"/>
      <c r="L572" s="939"/>
      <c r="M572" s="947"/>
      <c r="P572" s="942" t="str">
        <f t="shared" si="170"/>
        <v/>
      </c>
    </row>
    <row r="573" spans="2:16" hidden="1" x14ac:dyDescent="0.2">
      <c r="B573" s="90"/>
      <c r="C573" s="53"/>
      <c r="D573" s="53"/>
      <c r="E573" s="42"/>
      <c r="F573" s="210"/>
      <c r="G573" s="216"/>
      <c r="H573" s="212"/>
      <c r="I573" s="255"/>
      <c r="J573" s="568"/>
      <c r="L573" s="939"/>
      <c r="M573" s="947"/>
      <c r="P573" s="942" t="str">
        <f t="shared" si="170"/>
        <v/>
      </c>
    </row>
    <row r="574" spans="2:16" hidden="1" x14ac:dyDescent="0.2">
      <c r="B574" s="90"/>
      <c r="C574" s="53"/>
      <c r="D574" s="52" t="s">
        <v>406</v>
      </c>
      <c r="E574" s="42"/>
      <c r="F574" s="210"/>
      <c r="G574" s="216"/>
      <c r="H574" s="212"/>
      <c r="I574" s="255"/>
      <c r="J574" s="568"/>
      <c r="L574" s="939"/>
      <c r="M574" s="947"/>
      <c r="P574" s="942" t="str">
        <f t="shared" si="170"/>
        <v/>
      </c>
    </row>
    <row r="575" spans="2:16" hidden="1" x14ac:dyDescent="0.2">
      <c r="B575" s="90"/>
      <c r="C575" s="53"/>
      <c r="D575" s="53"/>
      <c r="E575" s="42"/>
      <c r="F575" s="210"/>
      <c r="G575" s="216"/>
      <c r="H575" s="212"/>
      <c r="I575" s="255"/>
      <c r="J575" s="568"/>
      <c r="L575" s="939"/>
      <c r="M575" s="947"/>
      <c r="P575" s="942" t="str">
        <f t="shared" si="170"/>
        <v/>
      </c>
    </row>
    <row r="576" spans="2:16" hidden="1" x14ac:dyDescent="0.2">
      <c r="B576" s="90"/>
      <c r="C576" s="53"/>
      <c r="D576" s="92" t="s">
        <v>207</v>
      </c>
      <c r="E576" s="42" t="s">
        <v>419</v>
      </c>
      <c r="F576" s="210" t="s">
        <v>410</v>
      </c>
      <c r="G576" s="216">
        <v>23020045</v>
      </c>
      <c r="H576" s="216" t="s">
        <v>407</v>
      </c>
      <c r="I576" s="994">
        <v>650</v>
      </c>
      <c r="J576" s="568"/>
      <c r="L576" s="939"/>
      <c r="M576" s="948" t="s">
        <v>869</v>
      </c>
      <c r="N576" s="641" t="s">
        <v>856</v>
      </c>
      <c r="P576" s="942">
        <f t="shared" si="170"/>
        <v>-1</v>
      </c>
    </row>
    <row r="577" spans="2:16" hidden="1" x14ac:dyDescent="0.2">
      <c r="B577" s="90"/>
      <c r="C577" s="53"/>
      <c r="D577" s="53"/>
      <c r="E577" s="42"/>
      <c r="F577" s="210" t="s">
        <v>411</v>
      </c>
      <c r="G577" s="216">
        <v>23020046</v>
      </c>
      <c r="H577" s="216" t="s">
        <v>408</v>
      </c>
      <c r="I577" s="994">
        <v>650</v>
      </c>
      <c r="J577" s="568"/>
      <c r="L577" s="939"/>
      <c r="M577" s="948" t="s">
        <v>870</v>
      </c>
      <c r="N577" s="641" t="s">
        <v>856</v>
      </c>
      <c r="P577" s="942">
        <f t="shared" si="170"/>
        <v>-1</v>
      </c>
    </row>
    <row r="578" spans="2:16" hidden="1" x14ac:dyDescent="0.2">
      <c r="B578" s="90"/>
      <c r="C578" s="53"/>
      <c r="D578" s="53"/>
      <c r="E578" s="42"/>
      <c r="F578" s="210" t="s">
        <v>422</v>
      </c>
      <c r="G578" s="216">
        <v>23020047</v>
      </c>
      <c r="H578" s="216" t="s">
        <v>17</v>
      </c>
      <c r="I578" s="994">
        <v>650</v>
      </c>
      <c r="J578" s="568"/>
      <c r="L578" s="939"/>
      <c r="M578" s="948" t="s">
        <v>871</v>
      </c>
      <c r="N578" s="641" t="s">
        <v>856</v>
      </c>
      <c r="P578" s="942">
        <f t="shared" si="170"/>
        <v>-1</v>
      </c>
    </row>
    <row r="579" spans="2:16" hidden="1" x14ac:dyDescent="0.2">
      <c r="B579" s="90"/>
      <c r="C579" s="53"/>
      <c r="D579" s="53"/>
      <c r="E579" s="42"/>
      <c r="F579" s="210" t="s">
        <v>412</v>
      </c>
      <c r="G579" s="216" t="s">
        <v>1329</v>
      </c>
      <c r="H579" s="216" t="s">
        <v>1330</v>
      </c>
      <c r="I579" s="994">
        <v>650</v>
      </c>
      <c r="J579" s="568"/>
      <c r="L579" s="939"/>
      <c r="M579" s="947" t="s">
        <v>461</v>
      </c>
      <c r="N579" s="641" t="s">
        <v>856</v>
      </c>
      <c r="P579" s="942">
        <f t="shared" si="170"/>
        <v>-1</v>
      </c>
    </row>
    <row r="580" spans="2:16" hidden="1" x14ac:dyDescent="0.2">
      <c r="B580" s="90"/>
      <c r="C580" s="53"/>
      <c r="D580" s="53"/>
      <c r="E580" s="42"/>
      <c r="F580" s="210" t="s">
        <v>833</v>
      </c>
      <c r="G580" s="216" t="s">
        <v>834</v>
      </c>
      <c r="H580" s="216" t="s">
        <v>835</v>
      </c>
      <c r="I580" s="994">
        <v>715</v>
      </c>
      <c r="J580" s="568"/>
      <c r="L580" s="939"/>
      <c r="M580" s="947" t="s">
        <v>834</v>
      </c>
      <c r="N580" s="641" t="s">
        <v>856</v>
      </c>
      <c r="P580" s="942">
        <f t="shared" si="170"/>
        <v>-1</v>
      </c>
    </row>
    <row r="581" spans="2:16" hidden="1" x14ac:dyDescent="0.2">
      <c r="B581" s="90"/>
      <c r="C581" s="53"/>
      <c r="D581" s="53"/>
      <c r="E581" s="42"/>
      <c r="F581" s="210" t="s">
        <v>1375</v>
      </c>
      <c r="G581" s="216">
        <v>23020055</v>
      </c>
      <c r="H581" s="216" t="s">
        <v>1385</v>
      </c>
      <c r="I581" s="994">
        <v>850</v>
      </c>
      <c r="J581" s="568"/>
      <c r="L581" s="939"/>
      <c r="M581" s="947"/>
      <c r="P581" s="942">
        <f t="shared" si="170"/>
        <v>-1</v>
      </c>
    </row>
    <row r="582" spans="2:16" hidden="1" x14ac:dyDescent="0.2">
      <c r="B582" s="90"/>
      <c r="C582" s="53"/>
      <c r="D582" s="53"/>
      <c r="E582" s="42"/>
      <c r="F582" s="210" t="s">
        <v>1376</v>
      </c>
      <c r="G582" s="216">
        <v>23020015</v>
      </c>
      <c r="H582" s="216" t="s">
        <v>1386</v>
      </c>
      <c r="I582" s="994">
        <v>672</v>
      </c>
      <c r="J582" s="568"/>
      <c r="L582" s="939"/>
      <c r="M582" s="947"/>
      <c r="P582" s="942">
        <f t="shared" si="170"/>
        <v>-1</v>
      </c>
    </row>
    <row r="583" spans="2:16" hidden="1" x14ac:dyDescent="0.2">
      <c r="B583" s="90"/>
      <c r="C583" s="53"/>
      <c r="D583" s="53"/>
      <c r="E583" s="42"/>
      <c r="F583" s="210" t="s">
        <v>1377</v>
      </c>
      <c r="G583" s="216">
        <v>23020024</v>
      </c>
      <c r="H583" s="216" t="s">
        <v>1387</v>
      </c>
      <c r="I583" s="994">
        <v>672</v>
      </c>
      <c r="J583" s="568"/>
      <c r="L583" s="939"/>
      <c r="M583" s="947"/>
      <c r="P583" s="942">
        <f t="shared" si="170"/>
        <v>-1</v>
      </c>
    </row>
    <row r="584" spans="2:16" hidden="1" x14ac:dyDescent="0.2">
      <c r="B584" s="90"/>
      <c r="C584" s="53"/>
      <c r="D584" s="53"/>
      <c r="E584" s="42"/>
      <c r="F584" s="210" t="s">
        <v>1378</v>
      </c>
      <c r="G584" s="216">
        <v>23020128</v>
      </c>
      <c r="H584" s="216" t="s">
        <v>1388</v>
      </c>
      <c r="I584" s="994">
        <v>895</v>
      </c>
      <c r="J584" s="568"/>
      <c r="L584" s="939"/>
      <c r="M584" s="947"/>
      <c r="P584" s="942">
        <f t="shared" si="170"/>
        <v>-1</v>
      </c>
    </row>
    <row r="585" spans="2:16" hidden="1" x14ac:dyDescent="0.2">
      <c r="B585" s="90"/>
      <c r="C585" s="53"/>
      <c r="D585" s="53"/>
      <c r="E585" s="42"/>
      <c r="F585" s="210" t="s">
        <v>1379</v>
      </c>
      <c r="G585" s="216">
        <v>23020123</v>
      </c>
      <c r="H585" s="216" t="s">
        <v>835</v>
      </c>
      <c r="I585" s="994">
        <v>895</v>
      </c>
      <c r="J585" s="568"/>
      <c r="L585" s="939"/>
      <c r="M585" s="947"/>
      <c r="P585" s="942"/>
    </row>
    <row r="586" spans="2:16" hidden="1" x14ac:dyDescent="0.2">
      <c r="B586" s="90"/>
      <c r="C586" s="53"/>
      <c r="D586" s="53"/>
      <c r="E586" s="42"/>
      <c r="F586" s="210" t="s">
        <v>1380</v>
      </c>
      <c r="G586" s="216">
        <v>23020164</v>
      </c>
      <c r="H586" s="216" t="s">
        <v>1389</v>
      </c>
      <c r="I586" s="994">
        <v>1047</v>
      </c>
      <c r="J586" s="568"/>
      <c r="L586" s="939"/>
      <c r="M586" s="947"/>
      <c r="P586" s="942"/>
    </row>
    <row r="587" spans="2:16" hidden="1" x14ac:dyDescent="0.2">
      <c r="B587" s="90"/>
      <c r="C587" s="53"/>
      <c r="D587" s="53"/>
      <c r="E587" s="42"/>
      <c r="F587" s="210" t="s">
        <v>1381</v>
      </c>
      <c r="G587" s="216">
        <v>23020221</v>
      </c>
      <c r="H587" s="216" t="s">
        <v>1390</v>
      </c>
      <c r="I587" s="994">
        <v>1047</v>
      </c>
      <c r="J587" s="568"/>
      <c r="L587" s="939"/>
      <c r="M587" s="947"/>
      <c r="P587" s="942"/>
    </row>
    <row r="588" spans="2:16" hidden="1" x14ac:dyDescent="0.2">
      <c r="B588" s="90"/>
      <c r="C588" s="53"/>
      <c r="D588" s="53"/>
      <c r="E588" s="42"/>
      <c r="F588" s="210" t="s">
        <v>1382</v>
      </c>
      <c r="G588" s="216">
        <v>23020030</v>
      </c>
      <c r="H588" s="216" t="s">
        <v>1391</v>
      </c>
      <c r="I588" s="994">
        <v>895</v>
      </c>
      <c r="J588" s="568"/>
      <c r="L588" s="939"/>
      <c r="M588" s="947"/>
      <c r="P588" s="942"/>
    </row>
    <row r="589" spans="2:16" hidden="1" x14ac:dyDescent="0.2">
      <c r="B589" s="90"/>
      <c r="C589" s="53"/>
      <c r="D589" s="53"/>
      <c r="E589" s="42"/>
      <c r="F589" s="210" t="s">
        <v>1383</v>
      </c>
      <c r="G589" s="216">
        <v>23020143</v>
      </c>
      <c r="H589" s="216" t="s">
        <v>1330</v>
      </c>
      <c r="I589" s="994">
        <v>895</v>
      </c>
      <c r="J589" s="568"/>
      <c r="L589" s="939"/>
      <c r="M589" s="947"/>
      <c r="P589" s="942"/>
    </row>
    <row r="590" spans="2:16" hidden="1" x14ac:dyDescent="0.2">
      <c r="B590" s="90"/>
      <c r="C590" s="53"/>
      <c r="D590" s="53"/>
      <c r="E590" s="42"/>
      <c r="F590" s="210" t="s">
        <v>1384</v>
      </c>
      <c r="G590" s="216">
        <v>23020257</v>
      </c>
      <c r="H590" s="216" t="s">
        <v>1392</v>
      </c>
      <c r="I590" s="994">
        <v>895</v>
      </c>
      <c r="J590" s="568"/>
      <c r="L590" s="939"/>
      <c r="M590" s="947"/>
      <c r="P590" s="942"/>
    </row>
    <row r="591" spans="2:16" hidden="1" x14ac:dyDescent="0.2">
      <c r="B591" s="90"/>
      <c r="C591" s="53"/>
      <c r="D591" s="53"/>
      <c r="E591" s="42"/>
      <c r="F591" s="210" t="s">
        <v>1426</v>
      </c>
      <c r="G591" s="216">
        <v>23020068</v>
      </c>
      <c r="H591" s="216" t="s">
        <v>1440</v>
      </c>
      <c r="I591" s="994">
        <v>650</v>
      </c>
      <c r="J591" s="568"/>
      <c r="L591" s="939"/>
      <c r="M591" s="947"/>
      <c r="P591" s="942"/>
    </row>
    <row r="592" spans="2:16" hidden="1" x14ac:dyDescent="0.2">
      <c r="B592" s="90"/>
      <c r="C592" s="53"/>
      <c r="D592" s="53"/>
      <c r="E592" s="42"/>
      <c r="F592" s="210" t="s">
        <v>1427</v>
      </c>
      <c r="G592" s="216">
        <v>23020317</v>
      </c>
      <c r="H592" s="216" t="s">
        <v>1441</v>
      </c>
      <c r="I592" s="994">
        <v>895</v>
      </c>
      <c r="J592" s="568"/>
      <c r="L592" s="939"/>
      <c r="M592" s="947"/>
      <c r="P592" s="942"/>
    </row>
    <row r="593" spans="2:16" hidden="1" x14ac:dyDescent="0.2">
      <c r="B593" s="90"/>
      <c r="C593" s="53"/>
      <c r="D593" s="53"/>
      <c r="E593" s="42"/>
      <c r="F593" s="210" t="s">
        <v>1428</v>
      </c>
      <c r="G593" s="216">
        <v>23020237</v>
      </c>
      <c r="H593" s="216" t="s">
        <v>1442</v>
      </c>
      <c r="I593" s="994">
        <v>895</v>
      </c>
      <c r="J593" s="568"/>
      <c r="L593" s="939"/>
      <c r="M593" s="947"/>
      <c r="P593" s="942"/>
    </row>
    <row r="594" spans="2:16" hidden="1" x14ac:dyDescent="0.2">
      <c r="B594" s="90"/>
      <c r="C594" s="53"/>
      <c r="D594" s="53"/>
      <c r="E594" s="42"/>
      <c r="F594" s="210" t="s">
        <v>1429</v>
      </c>
      <c r="G594" s="216">
        <v>23020140</v>
      </c>
      <c r="H594" s="216" t="s">
        <v>1443</v>
      </c>
      <c r="I594" s="994">
        <v>895</v>
      </c>
      <c r="J594" s="568"/>
      <c r="L594" s="939"/>
      <c r="M594" s="947"/>
      <c r="P594" s="942"/>
    </row>
    <row r="595" spans="2:16" hidden="1" x14ac:dyDescent="0.2">
      <c r="B595" s="90"/>
      <c r="C595" s="53"/>
      <c r="D595" s="53"/>
      <c r="E595" s="42"/>
      <c r="F595" s="210" t="s">
        <v>1430</v>
      </c>
      <c r="G595" s="216">
        <v>23020144</v>
      </c>
      <c r="H595" s="216" t="s">
        <v>1444</v>
      </c>
      <c r="I595" s="994">
        <v>895</v>
      </c>
      <c r="J595" s="568"/>
      <c r="L595" s="939"/>
      <c r="M595" s="947"/>
      <c r="P595" s="942"/>
    </row>
    <row r="596" spans="2:16" hidden="1" x14ac:dyDescent="0.2">
      <c r="B596" s="90"/>
      <c r="C596" s="53"/>
      <c r="D596" s="53"/>
      <c r="E596" s="42"/>
      <c r="F596" s="210" t="s">
        <v>1431</v>
      </c>
      <c r="G596" s="216">
        <v>23020174</v>
      </c>
      <c r="H596" s="216" t="s">
        <v>1445</v>
      </c>
      <c r="I596" s="994">
        <v>895</v>
      </c>
      <c r="J596" s="568"/>
      <c r="L596" s="939"/>
      <c r="M596" s="947"/>
      <c r="P596" s="942"/>
    </row>
    <row r="597" spans="2:16" hidden="1" x14ac:dyDescent="0.2">
      <c r="B597" s="90"/>
      <c r="C597" s="53"/>
      <c r="D597" s="53"/>
      <c r="E597" s="42"/>
      <c r="F597" s="210" t="s">
        <v>1432</v>
      </c>
      <c r="G597" s="216">
        <v>23020091</v>
      </c>
      <c r="H597" s="216" t="s">
        <v>1446</v>
      </c>
      <c r="I597" s="994">
        <v>650</v>
      </c>
      <c r="J597" s="568"/>
      <c r="L597" s="939"/>
      <c r="M597" s="947"/>
      <c r="P597" s="942"/>
    </row>
    <row r="598" spans="2:16" hidden="1" x14ac:dyDescent="0.2">
      <c r="B598" s="90"/>
      <c r="C598" s="53"/>
      <c r="D598" s="53"/>
      <c r="E598" s="42"/>
      <c r="F598" s="210" t="s">
        <v>1433</v>
      </c>
      <c r="G598" s="216">
        <v>23020172</v>
      </c>
      <c r="H598" s="216" t="s">
        <v>1447</v>
      </c>
      <c r="I598" s="994">
        <v>895</v>
      </c>
      <c r="J598" s="568"/>
      <c r="L598" s="939"/>
      <c r="M598" s="947"/>
      <c r="P598" s="942"/>
    </row>
    <row r="599" spans="2:16" hidden="1" x14ac:dyDescent="0.2">
      <c r="B599" s="90"/>
      <c r="C599" s="53"/>
      <c r="D599" s="53"/>
      <c r="E599" s="42"/>
      <c r="F599" s="210" t="s">
        <v>1434</v>
      </c>
      <c r="G599" s="216">
        <v>23020227</v>
      </c>
      <c r="H599" s="216" t="s">
        <v>1448</v>
      </c>
      <c r="I599" s="994">
        <v>895</v>
      </c>
      <c r="J599" s="568"/>
      <c r="L599" s="939"/>
      <c r="M599" s="947"/>
      <c r="P599" s="942"/>
    </row>
    <row r="600" spans="2:16" hidden="1" x14ac:dyDescent="0.2">
      <c r="B600" s="90"/>
      <c r="C600" s="53"/>
      <c r="D600" s="53"/>
      <c r="E600" s="42"/>
      <c r="F600" s="210" t="s">
        <v>1435</v>
      </c>
      <c r="G600" s="216">
        <v>23020157</v>
      </c>
      <c r="H600" s="216" t="s">
        <v>1449</v>
      </c>
      <c r="I600" s="994">
        <v>895</v>
      </c>
      <c r="J600" s="568"/>
      <c r="L600" s="939"/>
      <c r="M600" s="947"/>
      <c r="P600" s="942"/>
    </row>
    <row r="601" spans="2:16" hidden="1" x14ac:dyDescent="0.2">
      <c r="B601" s="90"/>
      <c r="C601" s="53"/>
      <c r="D601" s="53"/>
      <c r="E601" s="42"/>
      <c r="F601" s="210" t="s">
        <v>1436</v>
      </c>
      <c r="G601" s="216">
        <v>23020169</v>
      </c>
      <c r="H601" s="216" t="s">
        <v>1450</v>
      </c>
      <c r="I601" s="994">
        <v>895</v>
      </c>
      <c r="J601" s="568"/>
      <c r="L601" s="939"/>
      <c r="M601" s="947"/>
      <c r="P601" s="942"/>
    </row>
    <row r="602" spans="2:16" hidden="1" x14ac:dyDescent="0.2">
      <c r="B602" s="90"/>
      <c r="C602" s="53"/>
      <c r="D602" s="53"/>
      <c r="E602" s="42"/>
      <c r="F602" s="210" t="s">
        <v>1437</v>
      </c>
      <c r="G602" s="216">
        <v>23020160</v>
      </c>
      <c r="H602" s="216" t="s">
        <v>1451</v>
      </c>
      <c r="I602" s="994">
        <v>895</v>
      </c>
      <c r="J602" s="568"/>
      <c r="L602" s="939"/>
      <c r="M602" s="947"/>
      <c r="P602" s="942"/>
    </row>
    <row r="603" spans="2:16" hidden="1" x14ac:dyDescent="0.2">
      <c r="B603" s="90"/>
      <c r="C603" s="53"/>
      <c r="D603" s="53"/>
      <c r="E603" s="42"/>
      <c r="F603" s="210" t="s">
        <v>1438</v>
      </c>
      <c r="G603" s="216">
        <v>23020163</v>
      </c>
      <c r="H603" s="216" t="s">
        <v>1452</v>
      </c>
      <c r="I603" s="994">
        <v>895</v>
      </c>
      <c r="J603" s="568"/>
      <c r="L603" s="939"/>
      <c r="M603" s="947"/>
      <c r="P603" s="942"/>
    </row>
    <row r="604" spans="2:16" hidden="1" x14ac:dyDescent="0.2">
      <c r="B604" s="90"/>
      <c r="C604" s="53"/>
      <c r="D604" s="53"/>
      <c r="E604" s="42"/>
      <c r="F604" s="210" t="s">
        <v>1439</v>
      </c>
      <c r="G604" s="216">
        <v>23020156</v>
      </c>
      <c r="H604" s="216" t="s">
        <v>1453</v>
      </c>
      <c r="I604" s="994">
        <v>895</v>
      </c>
      <c r="J604" s="568"/>
      <c r="L604" s="939"/>
      <c r="M604" s="947"/>
      <c r="P604" s="942"/>
    </row>
    <row r="605" spans="2:16" hidden="1" x14ac:dyDescent="0.2">
      <c r="B605" s="90"/>
      <c r="C605" s="53"/>
      <c r="D605" s="53"/>
      <c r="E605" s="42"/>
      <c r="F605" s="210" t="s">
        <v>1359</v>
      </c>
      <c r="G605" s="216">
        <v>23020049</v>
      </c>
      <c r="H605" s="216" t="s">
        <v>409</v>
      </c>
      <c r="I605" s="994">
        <v>715</v>
      </c>
      <c r="J605" s="568"/>
      <c r="L605" s="939"/>
      <c r="M605" s="948" t="s">
        <v>872</v>
      </c>
      <c r="N605" s="641" t="s">
        <v>856</v>
      </c>
      <c r="P605" s="942">
        <f t="shared" si="170"/>
        <v>-1</v>
      </c>
    </row>
    <row r="606" spans="2:16" hidden="1" x14ac:dyDescent="0.2">
      <c r="B606" s="90"/>
      <c r="C606" s="53"/>
      <c r="D606" s="53"/>
      <c r="E606" s="42"/>
      <c r="F606" s="210"/>
      <c r="G606" s="216"/>
      <c r="H606" s="212"/>
      <c r="I606" s="255"/>
      <c r="J606" s="568"/>
      <c r="L606" s="939"/>
      <c r="M606" s="947"/>
      <c r="P606" s="942" t="str">
        <f t="shared" si="170"/>
        <v/>
      </c>
    </row>
    <row r="607" spans="2:16" hidden="1" x14ac:dyDescent="0.2">
      <c r="B607" s="90"/>
      <c r="C607" s="53"/>
      <c r="D607" s="53"/>
      <c r="E607" s="42" t="s">
        <v>420</v>
      </c>
      <c r="F607" s="210" t="s">
        <v>417</v>
      </c>
      <c r="G607" s="216">
        <v>23020051</v>
      </c>
      <c r="H607" s="212" t="s">
        <v>413</v>
      </c>
      <c r="I607" s="995">
        <v>735</v>
      </c>
      <c r="J607" s="568"/>
      <c r="L607" s="939"/>
      <c r="M607" s="948" t="s">
        <v>873</v>
      </c>
      <c r="N607" s="641" t="s">
        <v>856</v>
      </c>
      <c r="P607" s="942">
        <f t="shared" si="170"/>
        <v>-1</v>
      </c>
    </row>
    <row r="608" spans="2:16" hidden="1" x14ac:dyDescent="0.2">
      <c r="B608" s="90"/>
      <c r="C608" s="53"/>
      <c r="D608" s="92"/>
      <c r="E608" s="42"/>
      <c r="F608" s="210" t="s">
        <v>418</v>
      </c>
      <c r="G608" s="216">
        <v>23020052</v>
      </c>
      <c r="H608" s="212" t="s">
        <v>414</v>
      </c>
      <c r="I608" s="995">
        <v>735</v>
      </c>
      <c r="J608" s="568"/>
      <c r="L608" s="939"/>
      <c r="M608" s="948" t="s">
        <v>874</v>
      </c>
      <c r="N608" s="641" t="s">
        <v>856</v>
      </c>
      <c r="P608" s="942">
        <f t="shared" si="170"/>
        <v>-1</v>
      </c>
    </row>
    <row r="609" spans="2:16" hidden="1" x14ac:dyDescent="0.2">
      <c r="B609" s="90"/>
      <c r="C609" s="53"/>
      <c r="D609" s="53"/>
      <c r="E609" s="42"/>
      <c r="F609" s="210" t="s">
        <v>1393</v>
      </c>
      <c r="G609" s="216">
        <v>23020316</v>
      </c>
      <c r="H609" s="212" t="s">
        <v>1410</v>
      </c>
      <c r="I609" s="995">
        <v>1047</v>
      </c>
      <c r="J609" s="568"/>
      <c r="L609" s="939"/>
      <c r="M609" s="948" t="s">
        <v>875</v>
      </c>
      <c r="N609" s="641" t="s">
        <v>856</v>
      </c>
      <c r="P609" s="942">
        <f t="shared" si="170"/>
        <v>-1</v>
      </c>
    </row>
    <row r="610" spans="2:16" hidden="1" x14ac:dyDescent="0.2">
      <c r="B610" s="90"/>
      <c r="C610" s="53"/>
      <c r="D610" s="53"/>
      <c r="E610" s="42"/>
      <c r="F610" s="210" t="s">
        <v>1394</v>
      </c>
      <c r="G610" s="216">
        <v>23020286</v>
      </c>
      <c r="H610" s="212" t="s">
        <v>1411</v>
      </c>
      <c r="I610" s="995">
        <v>1047</v>
      </c>
      <c r="J610" s="568"/>
      <c r="L610" s="939"/>
      <c r="M610" s="948"/>
      <c r="P610" s="942">
        <f t="shared" si="170"/>
        <v>-1</v>
      </c>
    </row>
    <row r="611" spans="2:16" hidden="1" x14ac:dyDescent="0.2">
      <c r="B611" s="90"/>
      <c r="C611" s="53"/>
      <c r="D611" s="53"/>
      <c r="E611" s="42"/>
      <c r="F611" s="210" t="s">
        <v>1395</v>
      </c>
      <c r="G611" s="216">
        <v>23020274</v>
      </c>
      <c r="H611" s="212" t="s">
        <v>1412</v>
      </c>
      <c r="I611" s="995">
        <v>1047</v>
      </c>
      <c r="J611" s="568"/>
      <c r="L611" s="939"/>
      <c r="M611" s="948"/>
      <c r="P611" s="942"/>
    </row>
    <row r="612" spans="2:16" hidden="1" x14ac:dyDescent="0.2">
      <c r="B612" s="90"/>
      <c r="C612" s="53"/>
      <c r="D612" s="53"/>
      <c r="E612" s="42"/>
      <c r="F612" s="210" t="s">
        <v>1396</v>
      </c>
      <c r="G612" s="216">
        <v>23020178</v>
      </c>
      <c r="H612" s="212" t="s">
        <v>1413</v>
      </c>
      <c r="I612" s="995">
        <v>1047</v>
      </c>
      <c r="J612" s="568"/>
      <c r="L612" s="939"/>
      <c r="M612" s="948"/>
      <c r="P612" s="942"/>
    </row>
    <row r="613" spans="2:16" hidden="1" x14ac:dyDescent="0.2">
      <c r="B613" s="90"/>
      <c r="C613" s="53"/>
      <c r="D613" s="53"/>
      <c r="E613" s="42"/>
      <c r="F613" s="210" t="s">
        <v>1397</v>
      </c>
      <c r="G613" s="216">
        <v>23020155</v>
      </c>
      <c r="H613" s="212" t="s">
        <v>1414</v>
      </c>
      <c r="I613" s="995">
        <v>1147</v>
      </c>
      <c r="J613" s="568"/>
      <c r="L613" s="939"/>
      <c r="M613" s="948"/>
      <c r="P613" s="942"/>
    </row>
    <row r="614" spans="2:16" hidden="1" x14ac:dyDescent="0.2">
      <c r="B614" s="90"/>
      <c r="C614" s="53"/>
      <c r="D614" s="53"/>
      <c r="E614" s="42"/>
      <c r="F614" s="210" t="s">
        <v>1398</v>
      </c>
      <c r="G614" s="216">
        <v>23020129</v>
      </c>
      <c r="H614" s="212" t="s">
        <v>1415</v>
      </c>
      <c r="I614" s="995">
        <v>1147</v>
      </c>
      <c r="J614" s="568"/>
      <c r="L614" s="939"/>
      <c r="M614" s="948"/>
      <c r="P614" s="942"/>
    </row>
    <row r="615" spans="2:16" hidden="1" x14ac:dyDescent="0.2">
      <c r="B615" s="90"/>
      <c r="C615" s="53"/>
      <c r="D615" s="53"/>
      <c r="E615" s="42"/>
      <c r="F615" s="210" t="s">
        <v>1399</v>
      </c>
      <c r="G615" s="216">
        <v>23020031</v>
      </c>
      <c r="H615" s="212" t="s">
        <v>1416</v>
      </c>
      <c r="I615" s="995">
        <v>735</v>
      </c>
      <c r="J615" s="568"/>
      <c r="L615" s="939"/>
      <c r="M615" s="948"/>
      <c r="P615" s="942"/>
    </row>
    <row r="616" spans="2:16" hidden="1" x14ac:dyDescent="0.2">
      <c r="B616" s="90"/>
      <c r="C616" s="53"/>
      <c r="D616" s="53"/>
      <c r="E616" s="42"/>
      <c r="F616" s="210" t="s">
        <v>1400</v>
      </c>
      <c r="G616" s="216">
        <v>23020050</v>
      </c>
      <c r="H616" s="212" t="s">
        <v>1417</v>
      </c>
      <c r="I616" s="995">
        <v>735</v>
      </c>
      <c r="J616" s="568"/>
      <c r="L616" s="939"/>
      <c r="M616" s="948"/>
      <c r="P616" s="942"/>
    </row>
    <row r="617" spans="2:16" hidden="1" x14ac:dyDescent="0.2">
      <c r="B617" s="90"/>
      <c r="C617" s="53"/>
      <c r="D617" s="53"/>
      <c r="E617" s="42"/>
      <c r="F617" s="210" t="s">
        <v>1401</v>
      </c>
      <c r="G617" s="216">
        <v>23020182</v>
      </c>
      <c r="H617" s="212" t="s">
        <v>1418</v>
      </c>
      <c r="I617" s="995">
        <v>1047</v>
      </c>
      <c r="J617" s="568"/>
      <c r="L617" s="939"/>
      <c r="M617" s="948"/>
      <c r="P617" s="942"/>
    </row>
    <row r="618" spans="2:16" hidden="1" x14ac:dyDescent="0.2">
      <c r="B618" s="90"/>
      <c r="C618" s="53"/>
      <c r="D618" s="53"/>
      <c r="E618" s="42"/>
      <c r="F618" s="210" t="s">
        <v>1402</v>
      </c>
      <c r="G618" s="216">
        <v>23020193</v>
      </c>
      <c r="H618" s="212" t="s">
        <v>1419</v>
      </c>
      <c r="I618" s="995">
        <v>1047</v>
      </c>
      <c r="J618" s="568"/>
      <c r="L618" s="939"/>
      <c r="M618" s="948"/>
      <c r="P618" s="942"/>
    </row>
    <row r="619" spans="2:16" hidden="1" x14ac:dyDescent="0.2">
      <c r="B619" s="90"/>
      <c r="C619" s="53"/>
      <c r="D619" s="53"/>
      <c r="E619" s="42"/>
      <c r="F619" s="210" t="s">
        <v>1403</v>
      </c>
      <c r="G619" s="216">
        <v>23020184</v>
      </c>
      <c r="H619" s="212" t="s">
        <v>1420</v>
      </c>
      <c r="I619" s="995">
        <v>1047</v>
      </c>
      <c r="J619" s="568"/>
      <c r="L619" s="939"/>
      <c r="M619" s="948"/>
      <c r="P619" s="942"/>
    </row>
    <row r="620" spans="2:16" hidden="1" x14ac:dyDescent="0.2">
      <c r="B620" s="90"/>
      <c r="C620" s="53"/>
      <c r="D620" s="53"/>
      <c r="E620" s="42"/>
      <c r="F620" s="210" t="s">
        <v>1404</v>
      </c>
      <c r="G620" s="216">
        <v>23020130</v>
      </c>
      <c r="H620" s="212" t="s">
        <v>1421</v>
      </c>
      <c r="I620" s="995">
        <v>1047</v>
      </c>
      <c r="J620" s="568"/>
      <c r="L620" s="939"/>
      <c r="M620" s="948"/>
      <c r="P620" s="942"/>
    </row>
    <row r="621" spans="2:16" hidden="1" x14ac:dyDescent="0.2">
      <c r="B621" s="90"/>
      <c r="C621" s="53"/>
      <c r="D621" s="53"/>
      <c r="E621" s="42"/>
      <c r="F621" s="210" t="s">
        <v>1405</v>
      </c>
      <c r="G621" s="216">
        <v>23020103</v>
      </c>
      <c r="H621" s="212" t="s">
        <v>1422</v>
      </c>
      <c r="I621" s="995">
        <v>850</v>
      </c>
      <c r="J621" s="568"/>
      <c r="L621" s="939"/>
      <c r="M621" s="948"/>
      <c r="P621" s="942"/>
    </row>
    <row r="622" spans="2:16" hidden="1" x14ac:dyDescent="0.2">
      <c r="B622" s="90"/>
      <c r="C622" s="53"/>
      <c r="D622" s="53"/>
      <c r="E622" s="42"/>
      <c r="F622" s="210" t="s">
        <v>1406</v>
      </c>
      <c r="G622" s="216">
        <v>23020052</v>
      </c>
      <c r="H622" s="212" t="s">
        <v>414</v>
      </c>
      <c r="I622" s="995">
        <v>850</v>
      </c>
      <c r="J622" s="568"/>
      <c r="L622" s="939"/>
      <c r="M622" s="948"/>
      <c r="P622" s="942"/>
    </row>
    <row r="623" spans="2:16" hidden="1" x14ac:dyDescent="0.2">
      <c r="B623" s="90"/>
      <c r="C623" s="53"/>
      <c r="D623" s="53"/>
      <c r="E623" s="42"/>
      <c r="F623" s="210" t="s">
        <v>1407</v>
      </c>
      <c r="G623" s="216">
        <v>23020302</v>
      </c>
      <c r="H623" s="212" t="s">
        <v>1423</v>
      </c>
      <c r="I623" s="995">
        <v>1047</v>
      </c>
      <c r="J623" s="568"/>
      <c r="L623" s="939"/>
      <c r="M623" s="948"/>
      <c r="P623" s="942"/>
    </row>
    <row r="624" spans="2:16" hidden="1" x14ac:dyDescent="0.2">
      <c r="B624" s="90"/>
      <c r="C624" s="53"/>
      <c r="D624" s="53"/>
      <c r="E624" s="42"/>
      <c r="F624" s="210" t="s">
        <v>1408</v>
      </c>
      <c r="G624" s="216">
        <v>23020327</v>
      </c>
      <c r="H624" s="212" t="s">
        <v>1424</v>
      </c>
      <c r="I624" s="995">
        <v>1047</v>
      </c>
      <c r="J624" s="568"/>
      <c r="L624" s="939"/>
      <c r="M624" s="948"/>
      <c r="P624" s="942"/>
    </row>
    <row r="625" spans="2:16" hidden="1" x14ac:dyDescent="0.2">
      <c r="B625" s="90"/>
      <c r="C625" s="53"/>
      <c r="D625" s="53"/>
      <c r="E625" s="42"/>
      <c r="F625" s="210" t="s">
        <v>1409</v>
      </c>
      <c r="G625" s="216">
        <v>23020325</v>
      </c>
      <c r="H625" s="212" t="s">
        <v>1425</v>
      </c>
      <c r="I625" s="995">
        <v>1047</v>
      </c>
      <c r="J625" s="568"/>
      <c r="L625" s="939"/>
      <c r="M625" s="948"/>
      <c r="P625" s="942"/>
    </row>
    <row r="626" spans="2:16" hidden="1" x14ac:dyDescent="0.2">
      <c r="B626" s="90"/>
      <c r="C626" s="53"/>
      <c r="D626" s="53"/>
      <c r="E626" s="42"/>
      <c r="F626" s="210"/>
      <c r="G626" s="216"/>
      <c r="H626" s="212"/>
      <c r="I626" s="995"/>
      <c r="J626" s="568"/>
      <c r="L626" s="939"/>
      <c r="M626" s="948"/>
      <c r="P626" s="942"/>
    </row>
    <row r="627" spans="2:16" hidden="1" x14ac:dyDescent="0.2">
      <c r="B627" s="90"/>
      <c r="C627" s="53"/>
      <c r="D627" s="53"/>
      <c r="E627" s="42"/>
      <c r="F627" s="210" t="s">
        <v>1360</v>
      </c>
      <c r="G627" s="216">
        <v>23020053</v>
      </c>
      <c r="H627" s="212" t="s">
        <v>415</v>
      </c>
      <c r="I627" s="995">
        <v>810</v>
      </c>
      <c r="J627" s="568"/>
      <c r="L627" s="939"/>
      <c r="M627" s="948" t="s">
        <v>876</v>
      </c>
      <c r="N627" s="641" t="s">
        <v>856</v>
      </c>
      <c r="P627" s="942">
        <f t="shared" si="170"/>
        <v>-1</v>
      </c>
    </row>
    <row r="628" spans="2:16" hidden="1" x14ac:dyDescent="0.2">
      <c r="B628" s="90"/>
      <c r="C628" s="53"/>
      <c r="D628" s="53"/>
      <c r="E628" s="42"/>
      <c r="F628" s="210"/>
      <c r="G628" s="216"/>
      <c r="H628" s="212"/>
      <c r="I628" s="255"/>
      <c r="J628" s="568"/>
      <c r="L628" s="939"/>
      <c r="M628" s="947"/>
      <c r="P628" s="942" t="str">
        <f t="shared" si="170"/>
        <v/>
      </c>
    </row>
    <row r="629" spans="2:16" hidden="1" x14ac:dyDescent="0.2">
      <c r="B629" s="90"/>
      <c r="C629" s="53"/>
      <c r="D629" s="53" t="s">
        <v>421</v>
      </c>
      <c r="E629" s="42"/>
      <c r="F629" s="210"/>
      <c r="G629" s="216"/>
      <c r="H629" s="212"/>
      <c r="I629" s="255"/>
      <c r="J629" s="568"/>
      <c r="L629" s="939"/>
      <c r="M629" s="947"/>
      <c r="P629" s="942" t="str">
        <f t="shared" si="170"/>
        <v/>
      </c>
    </row>
    <row r="630" spans="2:16" ht="12.75" hidden="1" customHeight="1" x14ac:dyDescent="0.2">
      <c r="B630" s="90"/>
      <c r="C630" s="53"/>
      <c r="D630" s="53"/>
      <c r="E630" s="42"/>
      <c r="F630" s="210"/>
      <c r="G630" s="216"/>
      <c r="H630" s="212"/>
      <c r="I630" s="255"/>
      <c r="J630" s="568"/>
      <c r="L630" s="939"/>
      <c r="M630" s="947"/>
      <c r="P630" s="942" t="str">
        <f t="shared" si="170"/>
        <v/>
      </c>
    </row>
    <row r="631" spans="2:16" ht="12.75" hidden="1" customHeight="1" x14ac:dyDescent="0.2">
      <c r="B631" s="90"/>
      <c r="C631" s="53"/>
      <c r="D631" s="53"/>
      <c r="E631" s="42"/>
      <c r="F631" s="210"/>
      <c r="G631" s="216"/>
      <c r="H631" s="212"/>
      <c r="I631" s="255"/>
      <c r="J631" s="568"/>
      <c r="L631" s="939"/>
      <c r="M631" s="947"/>
      <c r="P631" s="942" t="str">
        <f t="shared" si="170"/>
        <v/>
      </c>
    </row>
    <row r="632" spans="2:16" ht="12.75" hidden="1" customHeight="1" x14ac:dyDescent="0.2">
      <c r="B632" s="90"/>
      <c r="C632" s="53"/>
      <c r="D632" s="92"/>
      <c r="E632" s="42"/>
      <c r="F632" s="210"/>
      <c r="G632" s="216"/>
      <c r="H632" s="212"/>
      <c r="I632" s="255"/>
      <c r="J632" s="568"/>
      <c r="L632" s="939"/>
      <c r="M632" s="947"/>
      <c r="P632" s="942" t="str">
        <f t="shared" si="170"/>
        <v/>
      </c>
    </row>
    <row r="633" spans="2:16" ht="12.75" hidden="1" customHeight="1" x14ac:dyDescent="0.2">
      <c r="B633" s="90"/>
      <c r="C633" s="53"/>
      <c r="D633" s="92"/>
      <c r="E633" s="42"/>
      <c r="F633" s="210" t="s">
        <v>317</v>
      </c>
      <c r="G633" s="216">
        <v>23020056</v>
      </c>
      <c r="H633" s="212" t="s">
        <v>319</v>
      </c>
      <c r="I633" s="994">
        <v>1131</v>
      </c>
      <c r="J633" s="568"/>
      <c r="L633" s="939"/>
      <c r="M633" s="948" t="s">
        <v>877</v>
      </c>
      <c r="N633" s="641" t="s">
        <v>856</v>
      </c>
      <c r="P633" s="942">
        <f t="shared" si="170"/>
        <v>-1</v>
      </c>
    </row>
    <row r="634" spans="2:16" ht="12.75" hidden="1" customHeight="1" x14ac:dyDescent="0.2">
      <c r="B634" s="90"/>
      <c r="C634" s="53"/>
      <c r="D634" s="92"/>
      <c r="E634" s="42"/>
      <c r="F634" s="210" t="s">
        <v>313</v>
      </c>
      <c r="G634" s="216">
        <v>23020057</v>
      </c>
      <c r="H634" s="212" t="s">
        <v>320</v>
      </c>
      <c r="I634" s="994">
        <v>360</v>
      </c>
      <c r="J634" s="568"/>
      <c r="L634" s="939"/>
      <c r="M634" s="948" t="s">
        <v>878</v>
      </c>
      <c r="N634" s="641" t="s">
        <v>856</v>
      </c>
      <c r="P634" s="942">
        <f t="shared" si="170"/>
        <v>-1</v>
      </c>
    </row>
    <row r="635" spans="2:16" ht="12.75" hidden="1" customHeight="1" x14ac:dyDescent="0.2">
      <c r="B635" s="90"/>
      <c r="C635" s="53"/>
      <c r="D635" s="92"/>
      <c r="E635" s="42"/>
      <c r="F635" s="210" t="s">
        <v>314</v>
      </c>
      <c r="G635" s="216">
        <v>23020058</v>
      </c>
      <c r="H635" s="212" t="s">
        <v>321</v>
      </c>
      <c r="I635" s="994">
        <v>750</v>
      </c>
      <c r="J635" s="568"/>
      <c r="L635" s="939"/>
      <c r="M635" s="948" t="s">
        <v>879</v>
      </c>
      <c r="N635" s="641" t="s">
        <v>856</v>
      </c>
      <c r="P635" s="942">
        <f t="shared" si="170"/>
        <v>-1</v>
      </c>
    </row>
    <row r="636" spans="2:16" ht="12.75" hidden="1" customHeight="1" x14ac:dyDescent="0.2">
      <c r="B636" s="90"/>
      <c r="C636" s="53"/>
      <c r="D636" s="92"/>
      <c r="E636" s="42"/>
      <c r="F636" s="210" t="s">
        <v>315</v>
      </c>
      <c r="G636" s="216">
        <v>23020059</v>
      </c>
      <c r="H636" s="212" t="s">
        <v>322</v>
      </c>
      <c r="I636" s="994">
        <v>1905</v>
      </c>
      <c r="J636" s="568"/>
      <c r="L636" s="939"/>
      <c r="M636" s="948" t="s">
        <v>880</v>
      </c>
      <c r="N636" s="641" t="s">
        <v>856</v>
      </c>
      <c r="P636" s="942">
        <f t="shared" si="170"/>
        <v>-1</v>
      </c>
    </row>
    <row r="637" spans="2:16" ht="12.75" hidden="1" customHeight="1" x14ac:dyDescent="0.2">
      <c r="B637" s="90"/>
      <c r="C637" s="53"/>
      <c r="D637" s="92"/>
      <c r="E637" s="42"/>
      <c r="F637" s="210" t="s">
        <v>316</v>
      </c>
      <c r="G637" s="216">
        <v>23020060</v>
      </c>
      <c r="H637" s="212" t="s">
        <v>323</v>
      </c>
      <c r="I637" s="994" t="s">
        <v>318</v>
      </c>
      <c r="J637" s="568"/>
      <c r="L637" s="939"/>
      <c r="M637" s="948" t="s">
        <v>881</v>
      </c>
      <c r="N637" s="641" t="s">
        <v>856</v>
      </c>
      <c r="P637" s="942" t="str">
        <f t="shared" si="170"/>
        <v/>
      </c>
    </row>
    <row r="638" spans="2:16" ht="12.75" hidden="1" customHeight="1" x14ac:dyDescent="0.2">
      <c r="B638" s="90"/>
      <c r="C638" s="53"/>
      <c r="D638" s="53"/>
      <c r="E638" s="42"/>
      <c r="F638" s="210"/>
      <c r="G638" s="216"/>
      <c r="H638" s="212"/>
      <c r="I638" s="255"/>
      <c r="J638" s="568"/>
      <c r="L638" s="939"/>
      <c r="M638" s="947"/>
      <c r="P638" s="942" t="str">
        <f t="shared" si="170"/>
        <v/>
      </c>
    </row>
    <row r="639" spans="2:16" hidden="1" x14ac:dyDescent="0.2">
      <c r="B639" s="90"/>
      <c r="C639" s="53"/>
      <c r="D639" s="53"/>
      <c r="E639" s="42"/>
      <c r="F639" s="210"/>
      <c r="G639" s="216"/>
      <c r="H639" s="212"/>
      <c r="I639" s="255"/>
      <c r="J639" s="568"/>
      <c r="L639" s="939"/>
      <c r="M639" s="947"/>
      <c r="P639" s="942" t="str">
        <f t="shared" si="170"/>
        <v/>
      </c>
    </row>
    <row r="640" spans="2:16" hidden="1" x14ac:dyDescent="0.2">
      <c r="B640" s="90"/>
      <c r="C640" s="53"/>
      <c r="D640" s="53"/>
      <c r="E640" s="42"/>
      <c r="F640" s="210" t="s">
        <v>458</v>
      </c>
      <c r="G640" s="216" t="s">
        <v>523</v>
      </c>
      <c r="H640" s="212" t="s">
        <v>767</v>
      </c>
      <c r="I640" s="255">
        <v>310</v>
      </c>
      <c r="J640" s="568"/>
      <c r="L640" s="939"/>
      <c r="M640" s="947" t="s">
        <v>523</v>
      </c>
      <c r="N640" s="641" t="s">
        <v>897</v>
      </c>
      <c r="P640" s="942">
        <f t="shared" si="170"/>
        <v>-1</v>
      </c>
    </row>
    <row r="641" spans="2:19" hidden="1" x14ac:dyDescent="0.2">
      <c r="B641" s="90"/>
      <c r="C641" s="53"/>
      <c r="D641" s="53"/>
      <c r="E641" s="42"/>
      <c r="F641" s="210"/>
      <c r="G641" s="216"/>
      <c r="H641" s="212"/>
      <c r="I641" s="255"/>
      <c r="J641" s="568"/>
      <c r="L641" s="939"/>
      <c r="M641" s="947"/>
      <c r="P641" s="942" t="str">
        <f t="shared" si="170"/>
        <v/>
      </c>
    </row>
    <row r="642" spans="2:19" hidden="1" x14ac:dyDescent="0.2">
      <c r="B642" s="90"/>
      <c r="C642" s="53"/>
      <c r="D642" s="53"/>
      <c r="E642" s="42"/>
      <c r="F642" s="210"/>
      <c r="G642" s="212"/>
      <c r="H642" s="212"/>
      <c r="I642" s="255"/>
      <c r="J642" s="568"/>
      <c r="L642" s="939"/>
      <c r="M642" s="945"/>
      <c r="P642" s="942" t="str">
        <f t="shared" si="170"/>
        <v/>
      </c>
    </row>
    <row r="643" spans="2:19" hidden="1" x14ac:dyDescent="0.2">
      <c r="B643" s="90"/>
      <c r="C643" s="53"/>
      <c r="D643" s="53"/>
      <c r="E643" s="42"/>
      <c r="F643" s="210"/>
      <c r="G643" s="214"/>
      <c r="H643" s="212"/>
      <c r="I643" s="255"/>
      <c r="J643" s="568"/>
      <c r="L643" s="939"/>
      <c r="M643" s="946"/>
      <c r="P643" s="942" t="str">
        <f t="shared" si="170"/>
        <v/>
      </c>
    </row>
    <row r="644" spans="2:19" hidden="1" x14ac:dyDescent="0.2">
      <c r="B644" s="90"/>
      <c r="C644" s="53"/>
      <c r="D644" s="53"/>
      <c r="E644" s="42"/>
      <c r="F644" s="210"/>
      <c r="G644" s="212"/>
      <c r="H644" s="212"/>
      <c r="I644" s="255"/>
      <c r="J644" s="568"/>
      <c r="L644" s="939"/>
      <c r="M644" s="945"/>
      <c r="P644" s="942" t="str">
        <f t="shared" si="170"/>
        <v/>
      </c>
    </row>
    <row r="645" spans="2:19" hidden="1" x14ac:dyDescent="0.2">
      <c r="B645" s="90"/>
      <c r="C645" s="53"/>
      <c r="D645" s="53"/>
      <c r="E645" s="42"/>
      <c r="F645" s="210"/>
      <c r="G645" s="212"/>
      <c r="H645" s="212"/>
      <c r="I645" s="255"/>
      <c r="J645" s="568"/>
      <c r="L645" s="939"/>
      <c r="M645" s="945"/>
      <c r="P645" s="942" t="str">
        <f t="shared" si="170"/>
        <v/>
      </c>
    </row>
    <row r="646" spans="2:19" hidden="1" x14ac:dyDescent="0.2">
      <c r="B646" s="90"/>
      <c r="C646" s="53"/>
      <c r="D646" s="53"/>
      <c r="E646" s="42"/>
      <c r="F646" s="210"/>
      <c r="G646" s="212"/>
      <c r="H646" s="212"/>
      <c r="I646" s="255"/>
      <c r="J646" s="568"/>
      <c r="L646" s="939"/>
      <c r="M646" s="945"/>
      <c r="P646" s="942" t="str">
        <f t="shared" si="170"/>
        <v/>
      </c>
    </row>
    <row r="647" spans="2:19" hidden="1" x14ac:dyDescent="0.2">
      <c r="B647" s="90"/>
      <c r="C647" s="53"/>
      <c r="D647" s="53"/>
      <c r="E647" s="42"/>
      <c r="F647" s="210"/>
      <c r="G647" s="212"/>
      <c r="H647" s="212"/>
      <c r="I647" s="255"/>
      <c r="J647" s="568"/>
      <c r="L647" s="939"/>
      <c r="M647" s="945"/>
      <c r="P647" s="942" t="str">
        <f t="shared" si="170"/>
        <v/>
      </c>
    </row>
    <row r="648" spans="2:19" hidden="1" x14ac:dyDescent="0.2">
      <c r="B648" s="90"/>
      <c r="C648" s="42"/>
      <c r="D648" s="42"/>
      <c r="E648" s="42"/>
      <c r="F648" s="36"/>
      <c r="G648" s="88"/>
      <c r="H648" s="88"/>
      <c r="I648" s="161"/>
      <c r="J648" s="568"/>
      <c r="L648" s="939"/>
      <c r="M648" s="949"/>
      <c r="P648" s="942" t="str">
        <f t="shared" si="170"/>
        <v/>
      </c>
    </row>
    <row r="649" spans="2:19" hidden="1" x14ac:dyDescent="0.2">
      <c r="B649" s="90"/>
      <c r="C649" s="52"/>
      <c r="D649" s="52" t="s">
        <v>112</v>
      </c>
      <c r="E649" s="42"/>
      <c r="F649" s="92" t="s">
        <v>113</v>
      </c>
      <c r="G649" s="88"/>
      <c r="H649" s="88"/>
      <c r="I649" s="161"/>
      <c r="J649" s="568"/>
      <c r="L649" s="939"/>
      <c r="M649" s="949"/>
      <c r="P649" s="942" t="str">
        <f t="shared" si="170"/>
        <v/>
      </c>
    </row>
    <row r="650" spans="2:19" hidden="1" x14ac:dyDescent="0.2">
      <c r="B650" s="90"/>
      <c r="C650" s="92"/>
      <c r="D650" s="92"/>
      <c r="E650" s="42"/>
      <c r="F650" s="210" t="s">
        <v>530</v>
      </c>
      <c r="G650" s="212">
        <v>23020016</v>
      </c>
      <c r="H650" s="212" t="s">
        <v>325</v>
      </c>
      <c r="I650" s="995">
        <v>820</v>
      </c>
      <c r="J650" s="568"/>
      <c r="L650" s="939"/>
      <c r="M650" s="940" t="s">
        <v>882</v>
      </c>
      <c r="N650" s="641" t="s">
        <v>856</v>
      </c>
      <c r="P650" s="942">
        <f t="shared" si="170"/>
        <v>-1</v>
      </c>
    </row>
    <row r="651" spans="2:19" hidden="1" x14ac:dyDescent="0.2">
      <c r="B651" s="90"/>
      <c r="C651" s="92"/>
      <c r="D651" s="92"/>
      <c r="E651" s="42"/>
      <c r="F651" s="344" t="s">
        <v>531</v>
      </c>
      <c r="G651" s="212">
        <v>23020007</v>
      </c>
      <c r="H651" s="212" t="s">
        <v>326</v>
      </c>
      <c r="I651" s="995">
        <v>995</v>
      </c>
      <c r="J651" s="568"/>
      <c r="L651" s="939"/>
      <c r="M651" s="940" t="s">
        <v>883</v>
      </c>
      <c r="N651" s="641" t="s">
        <v>856</v>
      </c>
      <c r="P651" s="942">
        <f t="shared" si="170"/>
        <v>-1</v>
      </c>
    </row>
    <row r="652" spans="2:19" ht="22.5" hidden="1" x14ac:dyDescent="0.2">
      <c r="B652" s="90"/>
      <c r="C652" s="92"/>
      <c r="D652" s="92"/>
      <c r="E652" s="42"/>
      <c r="F652" s="344" t="s">
        <v>817</v>
      </c>
      <c r="G652" s="212" t="s">
        <v>1280</v>
      </c>
      <c r="H652" s="212" t="s">
        <v>1285</v>
      </c>
      <c r="I652" s="995">
        <v>3900</v>
      </c>
      <c r="J652" s="568"/>
      <c r="L652" s="939"/>
      <c r="M652" s="940" t="s">
        <v>884</v>
      </c>
      <c r="N652" s="641" t="s">
        <v>856</v>
      </c>
      <c r="P652" s="942">
        <f t="shared" si="170"/>
        <v>-1</v>
      </c>
      <c r="Q652" s="641">
        <v>812</v>
      </c>
    </row>
    <row r="653" spans="2:19" hidden="1" x14ac:dyDescent="0.2">
      <c r="B653" s="90"/>
      <c r="C653" s="92"/>
      <c r="D653" s="92"/>
      <c r="E653" s="42"/>
      <c r="F653" s="344"/>
      <c r="G653" s="212"/>
      <c r="H653" s="212"/>
      <c r="I653" s="255"/>
      <c r="J653" s="568"/>
      <c r="L653" s="939"/>
      <c r="M653" s="943"/>
      <c r="P653" s="942" t="str">
        <f t="shared" si="170"/>
        <v/>
      </c>
    </row>
    <row r="654" spans="2:19" ht="22.5" hidden="1" x14ac:dyDescent="0.2">
      <c r="B654" s="90"/>
      <c r="C654" s="92"/>
      <c r="D654" s="92"/>
      <c r="E654" s="42"/>
      <c r="F654" s="344" t="s">
        <v>818</v>
      </c>
      <c r="G654" s="212" t="s">
        <v>1281</v>
      </c>
      <c r="H654" s="212" t="s">
        <v>1284</v>
      </c>
      <c r="I654" s="995">
        <v>3800</v>
      </c>
      <c r="J654" s="568"/>
      <c r="L654" s="939"/>
      <c r="M654" s="940" t="s">
        <v>885</v>
      </c>
      <c r="N654" s="641" t="s">
        <v>856</v>
      </c>
      <c r="P654" s="942">
        <f t="shared" si="170"/>
        <v>-1</v>
      </c>
      <c r="R654" s="641">
        <f>1600/0.6</f>
        <v>2666.666666666667</v>
      </c>
      <c r="S654" s="641">
        <v>150</v>
      </c>
    </row>
    <row r="655" spans="2:19" ht="22.5" hidden="1" x14ac:dyDescent="0.2">
      <c r="B655" s="90"/>
      <c r="C655" s="92"/>
      <c r="D655" s="92"/>
      <c r="E655" s="42"/>
      <c r="F655" s="344" t="s">
        <v>815</v>
      </c>
      <c r="G655" s="212" t="s">
        <v>1282</v>
      </c>
      <c r="H655" s="212" t="s">
        <v>1283</v>
      </c>
      <c r="I655" s="995">
        <f>3655+555+815+150</f>
        <v>5175</v>
      </c>
      <c r="J655" s="568"/>
      <c r="L655" s="939"/>
      <c r="M655" s="943" t="s">
        <v>816</v>
      </c>
      <c r="N655" s="641" t="s">
        <v>856</v>
      </c>
      <c r="P655" s="942">
        <f t="shared" si="170"/>
        <v>-1</v>
      </c>
      <c r="Q655" s="641">
        <v>3255</v>
      </c>
      <c r="R655" s="641">
        <v>555</v>
      </c>
    </row>
    <row r="656" spans="2:19" hidden="1" x14ac:dyDescent="0.2">
      <c r="B656" s="90"/>
      <c r="C656" s="92"/>
      <c r="D656" s="92"/>
      <c r="E656" s="42"/>
      <c r="F656" s="535" t="s">
        <v>468</v>
      </c>
      <c r="G656" s="996"/>
      <c r="H656" s="996" t="s">
        <v>465</v>
      </c>
      <c r="I656" s="997">
        <v>280</v>
      </c>
      <c r="J656" s="568"/>
      <c r="L656" s="939"/>
      <c r="M656" s="950"/>
      <c r="N656" s="641" t="s">
        <v>856</v>
      </c>
      <c r="P656" s="942">
        <f t="shared" si="170"/>
        <v>-1</v>
      </c>
    </row>
    <row r="657" spans="2:16" hidden="1" x14ac:dyDescent="0.2">
      <c r="B657" s="90"/>
      <c r="C657" s="92"/>
      <c r="D657" s="92"/>
      <c r="E657" s="42"/>
      <c r="F657" s="535" t="s">
        <v>330</v>
      </c>
      <c r="G657" s="996">
        <v>23020063</v>
      </c>
      <c r="H657" s="996" t="s">
        <v>332</v>
      </c>
      <c r="I657" s="997">
        <v>553</v>
      </c>
      <c r="J657" s="568"/>
      <c r="L657" s="939"/>
      <c r="M657" s="951" t="s">
        <v>886</v>
      </c>
      <c r="N657" s="641" t="s">
        <v>856</v>
      </c>
      <c r="P657" s="942">
        <f t="shared" si="170"/>
        <v>-1</v>
      </c>
    </row>
    <row r="658" spans="2:16" ht="33.75" hidden="1" x14ac:dyDescent="0.2">
      <c r="B658" s="90"/>
      <c r="C658" s="92"/>
      <c r="D658" s="92"/>
      <c r="E658" s="42"/>
      <c r="F658" s="537" t="s">
        <v>532</v>
      </c>
      <c r="G658" s="996">
        <v>23020014</v>
      </c>
      <c r="H658" s="996" t="s">
        <v>467</v>
      </c>
      <c r="I658" s="995">
        <v>2200</v>
      </c>
      <c r="J658" s="568"/>
      <c r="L658" s="939"/>
      <c r="M658" s="951" t="s">
        <v>887</v>
      </c>
      <c r="N658" s="641" t="s">
        <v>856</v>
      </c>
      <c r="P658" s="942">
        <f t="shared" si="170"/>
        <v>-1</v>
      </c>
    </row>
    <row r="659" spans="2:16" hidden="1" x14ac:dyDescent="0.2">
      <c r="B659" s="90"/>
      <c r="C659" s="92"/>
      <c r="D659" s="92"/>
      <c r="E659" s="42"/>
      <c r="F659" s="210" t="s">
        <v>333</v>
      </c>
      <c r="G659" s="212">
        <v>23020008</v>
      </c>
      <c r="H659" s="212" t="s">
        <v>334</v>
      </c>
      <c r="I659" s="995">
        <v>475</v>
      </c>
      <c r="J659" s="568"/>
      <c r="L659" s="939"/>
      <c r="M659" s="940" t="s">
        <v>888</v>
      </c>
      <c r="N659" s="641" t="s">
        <v>856</v>
      </c>
      <c r="P659" s="942">
        <f t="shared" si="170"/>
        <v>-1</v>
      </c>
    </row>
    <row r="660" spans="2:16" hidden="1" x14ac:dyDescent="0.2">
      <c r="B660" s="90"/>
      <c r="C660" s="92"/>
      <c r="D660" s="92"/>
      <c r="E660" s="42"/>
      <c r="F660" s="210" t="s">
        <v>533</v>
      </c>
      <c r="G660" s="212">
        <v>23020009</v>
      </c>
      <c r="H660" s="212" t="s">
        <v>335</v>
      </c>
      <c r="I660" s="995">
        <v>560</v>
      </c>
      <c r="J660" s="568"/>
      <c r="L660" s="939"/>
      <c r="M660" s="940" t="s">
        <v>889</v>
      </c>
      <c r="N660" s="641" t="s">
        <v>856</v>
      </c>
      <c r="P660" s="942">
        <f t="shared" si="170"/>
        <v>-1</v>
      </c>
    </row>
    <row r="661" spans="2:16" hidden="1" x14ac:dyDescent="0.2">
      <c r="B661" s="90"/>
      <c r="C661" s="92"/>
      <c r="D661" s="92"/>
      <c r="E661" s="42"/>
      <c r="F661" s="344" t="s">
        <v>837</v>
      </c>
      <c r="G661" s="212">
        <v>23020225</v>
      </c>
      <c r="H661" s="212" t="s">
        <v>836</v>
      </c>
      <c r="I661" s="995">
        <v>331</v>
      </c>
      <c r="J661" s="568"/>
      <c r="L661" s="939"/>
      <c r="M661" s="940" t="s">
        <v>890</v>
      </c>
      <c r="N661" s="641" t="s">
        <v>856</v>
      </c>
      <c r="P661" s="942">
        <f t="shared" si="170"/>
        <v>-1</v>
      </c>
    </row>
    <row r="662" spans="2:16" hidden="1" x14ac:dyDescent="0.2">
      <c r="B662" s="90"/>
      <c r="C662" s="92"/>
      <c r="D662" s="92"/>
      <c r="E662" s="42"/>
      <c r="F662" s="210" t="s">
        <v>338</v>
      </c>
      <c r="G662" s="212">
        <v>23020064</v>
      </c>
      <c r="H662" s="212" t="s">
        <v>339</v>
      </c>
      <c r="I662" s="995">
        <v>161</v>
      </c>
      <c r="J662" s="568"/>
      <c r="L662" s="939"/>
      <c r="M662" s="940" t="s">
        <v>891</v>
      </c>
      <c r="N662" s="641" t="s">
        <v>856</v>
      </c>
      <c r="P662" s="942">
        <f t="shared" si="170"/>
        <v>-1</v>
      </c>
    </row>
    <row r="663" spans="2:16" hidden="1" x14ac:dyDescent="0.2">
      <c r="B663" s="90"/>
      <c r="C663" s="92"/>
      <c r="D663" s="92"/>
      <c r="E663" s="42"/>
      <c r="F663" s="210"/>
      <c r="G663" s="212"/>
      <c r="H663" s="212"/>
      <c r="I663" s="255"/>
      <c r="J663" s="568"/>
      <c r="L663" s="939"/>
      <c r="M663" s="943"/>
      <c r="P663" s="942" t="str">
        <f t="shared" si="170"/>
        <v/>
      </c>
    </row>
    <row r="664" spans="2:16" hidden="1" x14ac:dyDescent="0.2">
      <c r="B664" s="90"/>
      <c r="C664" s="92"/>
      <c r="D664" s="92"/>
      <c r="E664" s="42"/>
      <c r="F664" s="210" t="s">
        <v>524</v>
      </c>
      <c r="G664" s="212">
        <v>13090046</v>
      </c>
      <c r="H664" s="212" t="s">
        <v>537</v>
      </c>
      <c r="I664" s="255">
        <v>990</v>
      </c>
      <c r="J664" s="568"/>
      <c r="L664" s="939"/>
      <c r="M664" s="940" t="s">
        <v>892</v>
      </c>
      <c r="N664" s="641" t="s">
        <v>897</v>
      </c>
      <c r="P664" s="942">
        <f t="shared" si="170"/>
        <v>-1</v>
      </c>
    </row>
    <row r="665" spans="2:16" hidden="1" x14ac:dyDescent="0.2">
      <c r="B665" s="90"/>
      <c r="C665" s="92"/>
      <c r="D665" s="92"/>
      <c r="E665" s="42"/>
      <c r="F665" s="210" t="s">
        <v>562</v>
      </c>
      <c r="G665" s="212">
        <v>13120076</v>
      </c>
      <c r="H665" s="212" t="s">
        <v>563</v>
      </c>
      <c r="I665" s="255">
        <v>230</v>
      </c>
      <c r="J665" s="568"/>
      <c r="L665" s="939"/>
      <c r="M665" s="940" t="s">
        <v>893</v>
      </c>
      <c r="N665" s="641" t="s">
        <v>897</v>
      </c>
      <c r="P665" s="942">
        <f t="shared" si="170"/>
        <v>-1</v>
      </c>
    </row>
    <row r="666" spans="2:16" hidden="1" x14ac:dyDescent="0.2">
      <c r="B666" s="90"/>
      <c r="C666" s="92"/>
      <c r="D666" s="92"/>
      <c r="E666" s="42"/>
      <c r="F666" s="210" t="s">
        <v>525</v>
      </c>
      <c r="G666" s="212">
        <v>13090047</v>
      </c>
      <c r="H666" s="212" t="s">
        <v>765</v>
      </c>
      <c r="I666" s="255">
        <v>550</v>
      </c>
      <c r="J666" s="568"/>
      <c r="L666" s="939"/>
      <c r="M666" s="940" t="s">
        <v>894</v>
      </c>
      <c r="P666" s="942">
        <f t="shared" si="170"/>
        <v>-1</v>
      </c>
    </row>
    <row r="667" spans="2:16" hidden="1" x14ac:dyDescent="0.2">
      <c r="B667" s="90"/>
      <c r="C667" s="92"/>
      <c r="D667" s="92"/>
      <c r="E667" s="42"/>
      <c r="F667" s="210" t="s">
        <v>526</v>
      </c>
      <c r="G667" s="465" t="s">
        <v>895</v>
      </c>
      <c r="H667" s="211" t="s">
        <v>766</v>
      </c>
      <c r="I667" s="255">
        <v>1990</v>
      </c>
      <c r="J667" s="568"/>
      <c r="L667" s="939"/>
      <c r="M667" s="940" t="s">
        <v>895</v>
      </c>
      <c r="N667" s="641" t="s">
        <v>856</v>
      </c>
      <c r="P667" s="942">
        <f t="shared" si="170"/>
        <v>-1</v>
      </c>
    </row>
    <row r="668" spans="2:16" hidden="1" x14ac:dyDescent="0.2">
      <c r="B668" s="90"/>
      <c r="C668" s="92"/>
      <c r="D668" s="92"/>
      <c r="E668" s="42"/>
      <c r="F668" s="210" t="s">
        <v>1013</v>
      </c>
      <c r="G668" s="465">
        <v>23020240</v>
      </c>
      <c r="H668" s="211" t="s">
        <v>1014</v>
      </c>
      <c r="I668" s="255">
        <v>1960</v>
      </c>
      <c r="J668" s="568"/>
      <c r="L668" s="939"/>
      <c r="M668" s="940"/>
      <c r="P668" s="942">
        <f t="shared" si="170"/>
        <v>-1</v>
      </c>
    </row>
    <row r="669" spans="2:16" ht="67.5" hidden="1" x14ac:dyDescent="0.2">
      <c r="B669" s="90"/>
      <c r="C669" s="92"/>
      <c r="D669" s="92"/>
      <c r="E669" s="42"/>
      <c r="F669" s="535" t="s">
        <v>527</v>
      </c>
      <c r="G669" s="540" t="s">
        <v>553</v>
      </c>
      <c r="H669" s="475" t="s">
        <v>555</v>
      </c>
      <c r="I669" s="255">
        <v>1180</v>
      </c>
      <c r="J669" s="568"/>
      <c r="L669" s="939"/>
      <c r="M669" s="952" t="s">
        <v>553</v>
      </c>
      <c r="N669" s="641" t="s">
        <v>856</v>
      </c>
      <c r="P669" s="942">
        <f t="shared" si="170"/>
        <v>-1</v>
      </c>
    </row>
    <row r="670" spans="2:16" ht="45" hidden="1" x14ac:dyDescent="0.2">
      <c r="B670" s="90"/>
      <c r="C670" s="92"/>
      <c r="D670" s="92"/>
      <c r="E670" s="42"/>
      <c r="F670" s="535" t="s">
        <v>528</v>
      </c>
      <c r="G670" s="540" t="s">
        <v>554</v>
      </c>
      <c r="H670" s="540" t="s">
        <v>556</v>
      </c>
      <c r="I670" s="255">
        <v>2290</v>
      </c>
      <c r="J670" s="568"/>
      <c r="L670" s="939"/>
      <c r="M670" s="952" t="s">
        <v>554</v>
      </c>
      <c r="N670" s="641" t="s">
        <v>856</v>
      </c>
      <c r="P670" s="942">
        <f t="shared" si="170"/>
        <v>-1</v>
      </c>
    </row>
    <row r="671" spans="2:16" hidden="1" x14ac:dyDescent="0.2">
      <c r="B671" s="90"/>
      <c r="C671" s="92"/>
      <c r="D671" s="92"/>
      <c r="E671" s="42"/>
      <c r="F671" s="535" t="s">
        <v>529</v>
      </c>
      <c r="G671" s="536">
        <v>13020147</v>
      </c>
      <c r="H671" s="536" t="s">
        <v>764</v>
      </c>
      <c r="I671" s="255">
        <v>105</v>
      </c>
      <c r="J671" s="568"/>
      <c r="L671" s="939"/>
      <c r="M671" s="951" t="s">
        <v>896</v>
      </c>
      <c r="N671" s="641" t="s">
        <v>897</v>
      </c>
      <c r="P671" s="942">
        <f t="shared" si="170"/>
        <v>-1</v>
      </c>
    </row>
    <row r="672" spans="2:16" hidden="1" x14ac:dyDescent="0.2">
      <c r="B672" s="90"/>
      <c r="C672" s="92"/>
      <c r="D672" s="92"/>
      <c r="E672" s="42"/>
      <c r="F672" s="210" t="s">
        <v>538</v>
      </c>
      <c r="G672" s="536" t="s">
        <v>591</v>
      </c>
      <c r="H672" s="536"/>
      <c r="I672" s="255">
        <f>1200+175+200</f>
        <v>1575</v>
      </c>
      <c r="J672" s="568"/>
      <c r="L672" s="939"/>
      <c r="M672" s="950" t="s">
        <v>591</v>
      </c>
      <c r="N672" s="641" t="s">
        <v>856</v>
      </c>
      <c r="P672" s="942">
        <f t="shared" si="170"/>
        <v>-1</v>
      </c>
    </row>
    <row r="673" spans="2:16" hidden="1" x14ac:dyDescent="0.2">
      <c r="B673" s="90"/>
      <c r="C673" s="92"/>
      <c r="D673" s="92"/>
      <c r="E673" s="42"/>
      <c r="F673" s="210"/>
      <c r="G673" s="536"/>
      <c r="H673" s="536"/>
      <c r="I673" s="255"/>
      <c r="J673" s="568"/>
      <c r="L673" s="939"/>
      <c r="M673" s="950"/>
      <c r="P673" s="942" t="str">
        <f t="shared" si="170"/>
        <v/>
      </c>
    </row>
    <row r="674" spans="2:16" hidden="1" x14ac:dyDescent="0.2">
      <c r="B674" s="90"/>
      <c r="C674" s="92"/>
      <c r="D674" s="92"/>
      <c r="E674" s="42"/>
      <c r="F674" s="210" t="s">
        <v>539</v>
      </c>
      <c r="G674" s="536" t="s">
        <v>540</v>
      </c>
      <c r="H674" s="536" t="s">
        <v>768</v>
      </c>
      <c r="I674" s="255">
        <v>180</v>
      </c>
      <c r="J674" s="568"/>
      <c r="L674" s="939"/>
      <c r="M674" s="951" t="s">
        <v>540</v>
      </c>
      <c r="N674" s="641" t="s">
        <v>856</v>
      </c>
      <c r="P674" s="942">
        <f t="shared" si="170"/>
        <v>-1</v>
      </c>
    </row>
    <row r="675" spans="2:16" hidden="1" x14ac:dyDescent="0.2">
      <c r="B675" s="90"/>
      <c r="C675" s="92"/>
      <c r="D675" s="92"/>
      <c r="E675" s="42"/>
      <c r="F675" s="210"/>
      <c r="G675" s="211"/>
      <c r="H675" s="211"/>
      <c r="I675" s="255"/>
      <c r="J675" s="568"/>
      <c r="L675" s="939"/>
      <c r="M675" s="943"/>
      <c r="P675" s="942" t="str">
        <f t="shared" si="170"/>
        <v/>
      </c>
    </row>
    <row r="676" spans="2:16" hidden="1" x14ac:dyDescent="0.2">
      <c r="B676" s="90"/>
      <c r="C676" s="92"/>
      <c r="D676" s="92"/>
      <c r="E676" s="42"/>
      <c r="F676" s="53"/>
      <c r="G676" s="88"/>
      <c r="H676" s="88"/>
      <c r="I676" s="162"/>
      <c r="J676" s="568"/>
      <c r="L676" s="939"/>
      <c r="M676" s="949"/>
      <c r="P676" s="942" t="str">
        <f t="shared" ref="P676:P748" si="171">IFERROR((O676/I676)-1,"")</f>
        <v/>
      </c>
    </row>
    <row r="677" spans="2:16" hidden="1" x14ac:dyDescent="0.2">
      <c r="B677" s="90"/>
      <c r="C677" s="53"/>
      <c r="D677" s="53"/>
      <c r="E677" s="42"/>
      <c r="F677" s="53"/>
      <c r="G677" s="88"/>
      <c r="H677" s="88"/>
      <c r="I677" s="162"/>
      <c r="J677" s="568"/>
      <c r="L677" s="939"/>
      <c r="M677" s="949"/>
      <c r="P677" s="942" t="str">
        <f t="shared" si="171"/>
        <v/>
      </c>
    </row>
    <row r="678" spans="2:16" hidden="1" x14ac:dyDescent="0.2">
      <c r="B678" s="90"/>
      <c r="C678" s="52"/>
      <c r="D678" s="52" t="s">
        <v>47</v>
      </c>
      <c r="E678" s="42"/>
      <c r="F678" s="53"/>
      <c r="G678" s="88"/>
      <c r="H678" s="88"/>
      <c r="I678" s="162"/>
      <c r="J678" s="568"/>
      <c r="L678" s="939"/>
      <c r="M678" s="949"/>
      <c r="P678" s="942" t="str">
        <f t="shared" si="171"/>
        <v/>
      </c>
    </row>
    <row r="679" spans="2:16" hidden="1" x14ac:dyDescent="0.2">
      <c r="B679" s="90"/>
      <c r="C679" s="53"/>
      <c r="D679" s="53"/>
      <c r="E679" s="42"/>
      <c r="F679" s="210" t="s">
        <v>565</v>
      </c>
      <c r="G679" s="212">
        <v>23020095</v>
      </c>
      <c r="H679" s="212">
        <v>23020095</v>
      </c>
      <c r="I679" s="255">
        <v>59</v>
      </c>
      <c r="J679" s="568"/>
      <c r="L679" s="939"/>
      <c r="M679" s="946" t="s">
        <v>898</v>
      </c>
      <c r="N679" s="641" t="s">
        <v>856</v>
      </c>
      <c r="P679" s="942">
        <f t="shared" si="171"/>
        <v>-1</v>
      </c>
    </row>
    <row r="680" spans="2:16" hidden="1" x14ac:dyDescent="0.2">
      <c r="B680" s="90"/>
      <c r="C680" s="53"/>
      <c r="D680" s="53"/>
      <c r="E680" s="42"/>
      <c r="F680" s="210"/>
      <c r="G680" s="212"/>
      <c r="H680" s="212"/>
      <c r="I680" s="255"/>
      <c r="J680" s="568"/>
      <c r="L680" s="939"/>
      <c r="M680" s="945"/>
      <c r="P680" s="942" t="str">
        <f t="shared" si="171"/>
        <v/>
      </c>
    </row>
    <row r="681" spans="2:16" hidden="1" x14ac:dyDescent="0.2">
      <c r="B681" s="90"/>
      <c r="C681" s="105"/>
      <c r="D681" s="105"/>
      <c r="E681" s="105"/>
      <c r="F681" s="210" t="s">
        <v>516</v>
      </c>
      <c r="G681" s="212">
        <v>11060156</v>
      </c>
      <c r="H681" s="212">
        <v>6033180</v>
      </c>
      <c r="I681" s="255">
        <v>225</v>
      </c>
      <c r="J681" s="568"/>
      <c r="L681" s="939"/>
      <c r="M681" s="946" t="s">
        <v>899</v>
      </c>
      <c r="N681" s="641" t="s">
        <v>954</v>
      </c>
      <c r="P681" s="942">
        <f t="shared" si="171"/>
        <v>-1</v>
      </c>
    </row>
    <row r="682" spans="2:16" hidden="1" x14ac:dyDescent="0.2">
      <c r="B682" s="90"/>
      <c r="C682" s="105"/>
      <c r="D682" s="105"/>
      <c r="E682" s="105"/>
      <c r="F682" s="210" t="s">
        <v>517</v>
      </c>
      <c r="G682" s="212">
        <v>11060152</v>
      </c>
      <c r="H682" s="212">
        <v>6033207</v>
      </c>
      <c r="I682" s="255">
        <v>190</v>
      </c>
      <c r="J682" s="568"/>
      <c r="L682" s="939"/>
      <c r="M682" s="946" t="s">
        <v>900</v>
      </c>
      <c r="N682" s="641" t="s">
        <v>954</v>
      </c>
      <c r="P682" s="942">
        <f t="shared" si="171"/>
        <v>-1</v>
      </c>
    </row>
    <row r="683" spans="2:16" hidden="1" x14ac:dyDescent="0.2">
      <c r="B683" s="90"/>
      <c r="C683" s="105"/>
      <c r="D683" s="105"/>
      <c r="E683" s="105"/>
      <c r="F683" s="210" t="s">
        <v>158</v>
      </c>
      <c r="G683" s="212" t="s">
        <v>472</v>
      </c>
      <c r="H683" s="212">
        <v>6025889</v>
      </c>
      <c r="I683" s="255">
        <v>20</v>
      </c>
      <c r="J683" s="568"/>
      <c r="L683" s="939"/>
      <c r="M683" s="945" t="s">
        <v>472</v>
      </c>
      <c r="N683" s="641" t="s">
        <v>954</v>
      </c>
      <c r="P683" s="942">
        <f t="shared" si="171"/>
        <v>-1</v>
      </c>
    </row>
    <row r="684" spans="2:16" hidden="1" x14ac:dyDescent="0.2">
      <c r="B684" s="90"/>
      <c r="C684" s="105"/>
      <c r="D684" s="105"/>
      <c r="E684" s="105"/>
      <c r="F684" s="210" t="s">
        <v>159</v>
      </c>
      <c r="G684" s="212" t="s">
        <v>473</v>
      </c>
      <c r="H684" s="212">
        <v>440102</v>
      </c>
      <c r="I684" s="255">
        <v>7</v>
      </c>
      <c r="J684" s="568"/>
      <c r="L684" s="939"/>
      <c r="M684" s="945" t="s">
        <v>473</v>
      </c>
      <c r="N684" s="641" t="s">
        <v>897</v>
      </c>
      <c r="P684" s="942">
        <f t="shared" si="171"/>
        <v>-1</v>
      </c>
    </row>
    <row r="685" spans="2:16" hidden="1" x14ac:dyDescent="0.2">
      <c r="B685" s="90"/>
      <c r="C685" s="105"/>
      <c r="D685" s="105"/>
      <c r="E685" s="105"/>
      <c r="F685" s="210" t="s">
        <v>160</v>
      </c>
      <c r="G685" s="212" t="s">
        <v>474</v>
      </c>
      <c r="H685" s="212">
        <v>440122</v>
      </c>
      <c r="I685" s="255">
        <v>7</v>
      </c>
      <c r="J685" s="568"/>
      <c r="L685" s="939"/>
      <c r="M685" s="945" t="s">
        <v>474</v>
      </c>
      <c r="N685" s="641" t="s">
        <v>897</v>
      </c>
      <c r="P685" s="942">
        <f t="shared" si="171"/>
        <v>-1</v>
      </c>
    </row>
    <row r="686" spans="2:16" hidden="1" x14ac:dyDescent="0.2">
      <c r="B686" s="90"/>
      <c r="C686" s="105"/>
      <c r="D686" s="105"/>
      <c r="E686" s="105"/>
      <c r="F686" s="210" t="s">
        <v>158</v>
      </c>
      <c r="G686" s="212" t="s">
        <v>472</v>
      </c>
      <c r="H686" s="212">
        <v>6025889</v>
      </c>
      <c r="I686" s="255">
        <v>20</v>
      </c>
      <c r="J686" s="568"/>
      <c r="L686" s="939"/>
      <c r="M686" s="945" t="s">
        <v>472</v>
      </c>
      <c r="N686" s="641" t="s">
        <v>954</v>
      </c>
      <c r="P686" s="942">
        <f t="shared" si="171"/>
        <v>-1</v>
      </c>
    </row>
    <row r="687" spans="2:16" hidden="1" x14ac:dyDescent="0.2">
      <c r="B687" s="90"/>
      <c r="C687" s="105"/>
      <c r="D687" s="105"/>
      <c r="E687" s="105"/>
      <c r="F687" s="210" t="s">
        <v>161</v>
      </c>
      <c r="G687" s="212" t="s">
        <v>473</v>
      </c>
      <c r="H687" s="212">
        <v>440102</v>
      </c>
      <c r="I687" s="255">
        <v>7</v>
      </c>
      <c r="J687" s="568"/>
      <c r="L687" s="939"/>
      <c r="M687" s="945" t="s">
        <v>473</v>
      </c>
      <c r="N687" s="641" t="s">
        <v>897</v>
      </c>
      <c r="P687" s="942">
        <f t="shared" si="171"/>
        <v>-1</v>
      </c>
    </row>
    <row r="688" spans="2:16" hidden="1" x14ac:dyDescent="0.2">
      <c r="B688" s="90"/>
      <c r="C688" s="105"/>
      <c r="D688" s="105"/>
      <c r="E688" s="105"/>
      <c r="F688" s="210" t="s">
        <v>160</v>
      </c>
      <c r="G688" s="214" t="s">
        <v>474</v>
      </c>
      <c r="H688" s="215">
        <v>440122</v>
      </c>
      <c r="I688" s="255">
        <v>7</v>
      </c>
      <c r="J688" s="568"/>
      <c r="L688" s="939"/>
      <c r="M688" s="946" t="s">
        <v>474</v>
      </c>
      <c r="N688" s="641" t="s">
        <v>897</v>
      </c>
      <c r="P688" s="942">
        <f t="shared" si="171"/>
        <v>-1</v>
      </c>
    </row>
    <row r="689" spans="2:56" hidden="1" x14ac:dyDescent="0.2">
      <c r="B689" s="90"/>
      <c r="C689" s="105"/>
      <c r="D689" s="105"/>
      <c r="E689" s="105"/>
      <c r="F689" s="210" t="s">
        <v>551</v>
      </c>
      <c r="G689" s="214">
        <v>13120085</v>
      </c>
      <c r="H689" s="215" t="s">
        <v>762</v>
      </c>
      <c r="I689" s="255">
        <v>26</v>
      </c>
      <c r="J689" s="568"/>
      <c r="L689" s="939"/>
      <c r="M689" s="946" t="s">
        <v>901</v>
      </c>
      <c r="N689" s="641" t="s">
        <v>897</v>
      </c>
      <c r="P689" s="942">
        <f t="shared" si="171"/>
        <v>-1</v>
      </c>
    </row>
    <row r="690" spans="2:56" hidden="1" x14ac:dyDescent="0.2">
      <c r="B690" s="90"/>
      <c r="C690" s="105"/>
      <c r="D690" s="105"/>
      <c r="E690" s="105"/>
      <c r="F690" s="210" t="s">
        <v>552</v>
      </c>
      <c r="G690" s="214">
        <v>13120086</v>
      </c>
      <c r="H690" s="215" t="s">
        <v>763</v>
      </c>
      <c r="I690" s="255">
        <v>34</v>
      </c>
      <c r="J690" s="568"/>
      <c r="L690" s="939"/>
      <c r="M690" s="946" t="s">
        <v>902</v>
      </c>
      <c r="N690" s="641" t="s">
        <v>897</v>
      </c>
      <c r="P690" s="942">
        <f t="shared" si="171"/>
        <v>-1</v>
      </c>
    </row>
    <row r="691" spans="2:56" hidden="1" x14ac:dyDescent="0.2">
      <c r="B691" s="90"/>
      <c r="C691" s="105"/>
      <c r="D691" s="105"/>
      <c r="E691" s="105"/>
      <c r="F691" s="210"/>
      <c r="G691" s="214"/>
      <c r="H691" s="215"/>
      <c r="I691" s="255"/>
      <c r="J691" s="568"/>
      <c r="L691" s="939"/>
      <c r="M691" s="946"/>
      <c r="P691" s="942" t="str">
        <f t="shared" si="171"/>
        <v/>
      </c>
    </row>
    <row r="692" spans="2:56" hidden="1" x14ac:dyDescent="0.2">
      <c r="B692" s="90"/>
      <c r="C692" s="53"/>
      <c r="D692" s="53"/>
      <c r="E692" s="42"/>
      <c r="F692" s="210"/>
      <c r="G692" s="214"/>
      <c r="H692" s="215"/>
      <c r="I692" s="255"/>
      <c r="J692" s="568"/>
      <c r="L692" s="939"/>
      <c r="M692" s="946"/>
      <c r="P692" s="942" t="str">
        <f t="shared" si="171"/>
        <v/>
      </c>
    </row>
    <row r="693" spans="2:56" hidden="1" x14ac:dyDescent="0.2">
      <c r="B693" s="90"/>
      <c r="C693" s="53"/>
      <c r="D693" s="53"/>
      <c r="E693" s="42"/>
      <c r="F693" s="210"/>
      <c r="G693" s="214"/>
      <c r="H693" s="215"/>
      <c r="I693" s="255"/>
      <c r="J693" s="999"/>
      <c r="L693" s="939"/>
      <c r="M693" s="946"/>
      <c r="P693" s="942" t="str">
        <f t="shared" si="171"/>
        <v/>
      </c>
      <c r="BB693" s="89"/>
      <c r="BC693" s="89"/>
      <c r="BD693" s="89"/>
    </row>
    <row r="694" spans="2:56" hidden="1" x14ac:dyDescent="0.2">
      <c r="B694" s="90"/>
      <c r="C694" s="53"/>
      <c r="D694" s="53"/>
      <c r="E694" s="42"/>
      <c r="F694" s="210" t="s">
        <v>518</v>
      </c>
      <c r="G694" s="214">
        <v>11060159</v>
      </c>
      <c r="H694" s="215">
        <v>1025896</v>
      </c>
      <c r="I694" s="255">
        <v>415</v>
      </c>
      <c r="J694" s="999"/>
      <c r="L694" s="939"/>
      <c r="M694" s="946" t="s">
        <v>903</v>
      </c>
      <c r="N694" s="641" t="s">
        <v>954</v>
      </c>
      <c r="P694" s="942">
        <f t="shared" si="171"/>
        <v>-1</v>
      </c>
      <c r="BB694" s="89"/>
      <c r="BC694" s="89"/>
      <c r="BD694" s="89"/>
    </row>
    <row r="695" spans="2:56" hidden="1" x14ac:dyDescent="0.2">
      <c r="B695" s="90"/>
      <c r="C695" s="53"/>
      <c r="D695" s="53"/>
      <c r="E695" s="42"/>
      <c r="F695" s="210" t="s">
        <v>519</v>
      </c>
      <c r="G695" s="214">
        <v>11060038</v>
      </c>
      <c r="H695" s="215">
        <v>11060038</v>
      </c>
      <c r="I695" s="255">
        <v>28</v>
      </c>
      <c r="J695" s="999"/>
      <c r="L695" s="939"/>
      <c r="M695" s="946" t="s">
        <v>904</v>
      </c>
      <c r="N695" s="641" t="s">
        <v>954</v>
      </c>
      <c r="P695" s="942">
        <f t="shared" si="171"/>
        <v>-1</v>
      </c>
      <c r="BB695" s="89"/>
      <c r="BC695" s="89"/>
      <c r="BD695" s="89"/>
    </row>
    <row r="696" spans="2:56" hidden="1" x14ac:dyDescent="0.2">
      <c r="B696" s="90"/>
      <c r="C696" s="53"/>
      <c r="D696" s="53"/>
      <c r="E696" s="42"/>
      <c r="F696" s="210" t="s">
        <v>1366</v>
      </c>
      <c r="G696" s="214">
        <v>13080094</v>
      </c>
      <c r="H696" s="215" t="s">
        <v>143</v>
      </c>
      <c r="I696" s="255">
        <v>267</v>
      </c>
      <c r="J696" s="999"/>
      <c r="L696" s="939"/>
      <c r="M696" s="946"/>
      <c r="N696" s="641" t="s">
        <v>910</v>
      </c>
      <c r="P696" s="942">
        <f t="shared" si="171"/>
        <v>-1</v>
      </c>
      <c r="BB696" s="89"/>
      <c r="BC696" s="89"/>
      <c r="BD696" s="89"/>
    </row>
    <row r="697" spans="2:56" hidden="1" x14ac:dyDescent="0.2">
      <c r="B697" s="90"/>
      <c r="C697" s="53"/>
      <c r="D697" s="53"/>
      <c r="E697" s="42"/>
      <c r="F697" s="210" t="s">
        <v>1367</v>
      </c>
      <c r="G697" s="212">
        <v>13080176</v>
      </c>
      <c r="H697" s="212" t="s">
        <v>1368</v>
      </c>
      <c r="I697" s="255">
        <v>385</v>
      </c>
      <c r="J697" s="999"/>
      <c r="L697" s="939"/>
      <c r="M697" s="945"/>
      <c r="N697" s="641" t="s">
        <v>910</v>
      </c>
      <c r="P697" s="942">
        <f t="shared" si="171"/>
        <v>-1</v>
      </c>
      <c r="BB697" s="89"/>
      <c r="BC697" s="89"/>
      <c r="BD697" s="89"/>
    </row>
    <row r="698" spans="2:56" hidden="1" x14ac:dyDescent="0.2">
      <c r="B698" s="90"/>
      <c r="C698" s="53"/>
      <c r="D698" s="53"/>
      <c r="E698" s="42"/>
      <c r="F698" s="210" t="s">
        <v>1369</v>
      </c>
      <c r="G698" s="212">
        <v>13080190</v>
      </c>
      <c r="H698" s="212" t="s">
        <v>1370</v>
      </c>
      <c r="I698" s="255">
        <v>500</v>
      </c>
      <c r="J698" s="999"/>
      <c r="L698" s="939"/>
      <c r="M698" s="945"/>
      <c r="N698" s="641" t="s">
        <v>910</v>
      </c>
      <c r="P698" s="942">
        <f t="shared" si="171"/>
        <v>-1</v>
      </c>
      <c r="BB698" s="89"/>
      <c r="BC698" s="89"/>
      <c r="BD698" s="89"/>
    </row>
    <row r="699" spans="2:56" hidden="1" x14ac:dyDescent="0.2">
      <c r="B699" s="90"/>
      <c r="C699" s="53"/>
      <c r="D699" s="53"/>
      <c r="E699" s="42"/>
      <c r="F699" s="210" t="s">
        <v>1371</v>
      </c>
      <c r="G699" s="212">
        <v>13080201</v>
      </c>
      <c r="H699" s="212"/>
      <c r="I699" s="255">
        <v>660</v>
      </c>
      <c r="J699" s="999"/>
      <c r="L699" s="939"/>
      <c r="M699" s="945"/>
      <c r="N699" s="641" t="s">
        <v>910</v>
      </c>
      <c r="P699" s="942">
        <f t="shared" si="171"/>
        <v>-1</v>
      </c>
      <c r="BB699" s="89"/>
      <c r="BC699" s="89"/>
      <c r="BD699" s="89"/>
    </row>
    <row r="700" spans="2:56" hidden="1" x14ac:dyDescent="0.2">
      <c r="B700" s="90"/>
      <c r="C700" s="53"/>
      <c r="D700" s="53"/>
      <c r="E700" s="42"/>
      <c r="F700" s="210" t="s">
        <v>425</v>
      </c>
      <c r="G700" s="212">
        <v>23020006</v>
      </c>
      <c r="H700" s="212" t="s">
        <v>423</v>
      </c>
      <c r="I700" s="995">
        <v>950</v>
      </c>
      <c r="J700" s="999"/>
      <c r="L700" s="939"/>
      <c r="M700" s="946" t="s">
        <v>905</v>
      </c>
      <c r="N700" s="641" t="s">
        <v>856</v>
      </c>
      <c r="P700" s="942">
        <f t="shared" si="171"/>
        <v>-1</v>
      </c>
      <c r="BB700" s="89"/>
      <c r="BC700" s="89"/>
      <c r="BD700" s="89"/>
    </row>
    <row r="701" spans="2:56" hidden="1" x14ac:dyDescent="0.2">
      <c r="B701" s="90"/>
      <c r="C701" s="53"/>
      <c r="D701" s="53"/>
      <c r="E701" s="42"/>
      <c r="F701" s="210" t="s">
        <v>426</v>
      </c>
      <c r="G701" s="212">
        <v>23020065</v>
      </c>
      <c r="H701" s="212" t="s">
        <v>424</v>
      </c>
      <c r="I701" s="994">
        <v>570</v>
      </c>
      <c r="J701" s="999"/>
      <c r="L701" s="939"/>
      <c r="M701" s="946" t="s">
        <v>906</v>
      </c>
      <c r="N701" s="641" t="s">
        <v>856</v>
      </c>
      <c r="P701" s="942">
        <f t="shared" si="171"/>
        <v>-1</v>
      </c>
      <c r="BB701" s="89"/>
      <c r="BC701" s="89"/>
      <c r="BD701" s="89"/>
    </row>
    <row r="702" spans="2:56" hidden="1" x14ac:dyDescent="0.2">
      <c r="B702" s="90"/>
      <c r="C702" s="53"/>
      <c r="D702" s="53"/>
      <c r="E702" s="42"/>
      <c r="F702" s="210"/>
      <c r="G702" s="212"/>
      <c r="H702" s="212"/>
      <c r="I702" s="255"/>
      <c r="J702" s="999"/>
      <c r="L702" s="939"/>
      <c r="M702" s="945"/>
      <c r="P702" s="942" t="str">
        <f t="shared" si="171"/>
        <v/>
      </c>
      <c r="BB702" s="89"/>
      <c r="BC702" s="89"/>
      <c r="BD702" s="89"/>
    </row>
    <row r="703" spans="2:56" hidden="1" x14ac:dyDescent="0.2">
      <c r="B703" s="90"/>
      <c r="C703" s="53"/>
      <c r="D703" s="53"/>
      <c r="E703" s="42"/>
      <c r="F703" s="218" t="s">
        <v>829</v>
      </c>
      <c r="G703" s="212"/>
      <c r="H703" s="212"/>
      <c r="I703" s="255"/>
      <c r="J703" s="999"/>
      <c r="L703" s="939"/>
      <c r="M703" s="945"/>
      <c r="P703" s="942" t="str">
        <f t="shared" si="171"/>
        <v/>
      </c>
      <c r="BB703" s="89"/>
      <c r="BC703" s="89"/>
      <c r="BD703" s="89"/>
    </row>
    <row r="704" spans="2:56" hidden="1" x14ac:dyDescent="0.2">
      <c r="B704" s="90"/>
      <c r="C704" s="53"/>
      <c r="D704" s="53"/>
      <c r="E704" s="42"/>
      <c r="F704" s="210" t="s">
        <v>771</v>
      </c>
      <c r="G704" s="212">
        <v>10040166</v>
      </c>
      <c r="H704" s="212">
        <v>931061337</v>
      </c>
      <c r="I704" s="255"/>
      <c r="J704" s="568"/>
      <c r="L704" s="939"/>
      <c r="M704" s="946">
        <v>10040166</v>
      </c>
      <c r="N704" s="641" t="s">
        <v>910</v>
      </c>
      <c r="P704" s="942" t="str">
        <f t="shared" si="171"/>
        <v/>
      </c>
    </row>
    <row r="705" spans="2:16" hidden="1" x14ac:dyDescent="0.2">
      <c r="B705" s="90"/>
      <c r="C705" s="53"/>
      <c r="D705" s="53"/>
      <c r="E705" s="42"/>
      <c r="F705" s="210" t="s">
        <v>772</v>
      </c>
      <c r="G705" s="212">
        <v>10020139</v>
      </c>
      <c r="H705" s="212" t="s">
        <v>770</v>
      </c>
      <c r="I705" s="255"/>
      <c r="J705" s="568"/>
      <c r="L705" s="939"/>
      <c r="M705" s="946" t="s">
        <v>907</v>
      </c>
      <c r="N705" s="641" t="s">
        <v>910</v>
      </c>
      <c r="P705" s="942" t="str">
        <f t="shared" si="171"/>
        <v/>
      </c>
    </row>
    <row r="706" spans="2:16" hidden="1" x14ac:dyDescent="0.2">
      <c r="B706" s="90"/>
      <c r="C706" s="53"/>
      <c r="D706" s="53"/>
      <c r="E706" s="42"/>
      <c r="F706" s="210" t="s">
        <v>773</v>
      </c>
      <c r="G706" s="212">
        <v>10040152</v>
      </c>
      <c r="H706" s="212" t="s">
        <v>769</v>
      </c>
      <c r="I706" s="255"/>
      <c r="J706" s="568"/>
      <c r="L706" s="939"/>
      <c r="M706" s="946" t="s">
        <v>908</v>
      </c>
      <c r="N706" s="641" t="s">
        <v>910</v>
      </c>
      <c r="P706" s="942" t="str">
        <f t="shared" si="171"/>
        <v/>
      </c>
    </row>
    <row r="707" spans="2:16" hidden="1" x14ac:dyDescent="0.2">
      <c r="B707" s="90"/>
      <c r="C707" s="53"/>
      <c r="D707" s="53"/>
      <c r="E707" s="42"/>
      <c r="F707" s="210" t="s">
        <v>774</v>
      </c>
      <c r="G707" s="212">
        <v>10040169</v>
      </c>
      <c r="H707" s="212" t="s">
        <v>148</v>
      </c>
      <c r="I707" s="255">
        <v>263</v>
      </c>
      <c r="J707" s="568"/>
      <c r="L707" s="939"/>
      <c r="M707" s="946" t="s">
        <v>909</v>
      </c>
      <c r="N707" s="641" t="s">
        <v>910</v>
      </c>
      <c r="P707" s="942">
        <f t="shared" si="171"/>
        <v>-1</v>
      </c>
    </row>
    <row r="708" spans="2:16" hidden="1" x14ac:dyDescent="0.2">
      <c r="B708" s="90"/>
      <c r="C708" s="53"/>
      <c r="D708" s="53"/>
      <c r="E708" s="42"/>
      <c r="F708" s="210"/>
      <c r="G708" s="212"/>
      <c r="H708" s="212"/>
      <c r="I708" s="255"/>
      <c r="J708" s="568"/>
      <c r="L708" s="939"/>
      <c r="M708" s="945"/>
      <c r="P708" s="942" t="str">
        <f t="shared" si="171"/>
        <v/>
      </c>
    </row>
    <row r="709" spans="2:16" hidden="1" x14ac:dyDescent="0.2">
      <c r="B709" s="90"/>
      <c r="C709" s="53"/>
      <c r="D709" s="53"/>
      <c r="E709" s="42"/>
      <c r="F709" s="210"/>
      <c r="G709" s="212"/>
      <c r="H709" s="212"/>
      <c r="I709" s="255"/>
      <c r="J709" s="568"/>
      <c r="L709" s="939"/>
      <c r="M709" s="945"/>
      <c r="P709" s="942" t="str">
        <f t="shared" si="171"/>
        <v/>
      </c>
    </row>
    <row r="710" spans="2:16" hidden="1" x14ac:dyDescent="0.2">
      <c r="B710" s="90"/>
      <c r="C710" s="53"/>
      <c r="D710" s="53"/>
      <c r="E710" s="42"/>
      <c r="F710" s="210"/>
      <c r="G710" s="212"/>
      <c r="H710" s="212"/>
      <c r="I710" s="255"/>
      <c r="J710" s="568"/>
      <c r="L710" s="939"/>
      <c r="M710" s="945"/>
      <c r="P710" s="942" t="str">
        <f t="shared" si="171"/>
        <v/>
      </c>
    </row>
    <row r="711" spans="2:16" hidden="1" x14ac:dyDescent="0.2">
      <c r="B711" s="90"/>
      <c r="C711" s="53"/>
      <c r="D711" s="53"/>
      <c r="E711" s="42"/>
      <c r="F711" s="210" t="s">
        <v>1373</v>
      </c>
      <c r="G711" s="212">
        <v>13080198</v>
      </c>
      <c r="H711" s="212">
        <v>13080198</v>
      </c>
      <c r="I711" s="255">
        <v>7950</v>
      </c>
      <c r="J711" s="568"/>
      <c r="L711" s="939"/>
      <c r="M711" s="946" t="s">
        <v>911</v>
      </c>
      <c r="N711" s="641" t="s">
        <v>897</v>
      </c>
      <c r="P711" s="942">
        <f t="shared" si="171"/>
        <v>-1</v>
      </c>
    </row>
    <row r="712" spans="2:16" hidden="1" x14ac:dyDescent="0.2">
      <c r="B712" s="90"/>
      <c r="C712" s="53"/>
      <c r="D712" s="53"/>
      <c r="E712" s="42"/>
      <c r="F712" s="210" t="s">
        <v>1326</v>
      </c>
      <c r="G712" s="212" t="s">
        <v>1327</v>
      </c>
      <c r="H712" s="212" t="s">
        <v>1328</v>
      </c>
      <c r="I712" s="255">
        <f>4250+108</f>
        <v>4358</v>
      </c>
      <c r="J712" s="568"/>
      <c r="L712" s="939"/>
      <c r="M712" s="946" t="s">
        <v>862</v>
      </c>
      <c r="N712" s="641" t="s">
        <v>953</v>
      </c>
      <c r="P712" s="942">
        <f t="shared" si="171"/>
        <v>-1</v>
      </c>
    </row>
    <row r="713" spans="2:16" hidden="1" x14ac:dyDescent="0.2">
      <c r="B713" s="90"/>
      <c r="C713" s="53"/>
      <c r="D713" s="53"/>
      <c r="E713" s="42"/>
      <c r="F713" s="210" t="s">
        <v>1320</v>
      </c>
      <c r="G713" s="212">
        <v>10020142</v>
      </c>
      <c r="H713" s="212">
        <v>937600050</v>
      </c>
      <c r="I713" s="255">
        <v>3693</v>
      </c>
      <c r="J713" s="568"/>
      <c r="L713" s="939"/>
      <c r="M713" s="946" t="s">
        <v>912</v>
      </c>
      <c r="N713" s="641" t="s">
        <v>910</v>
      </c>
      <c r="P713" s="942">
        <f t="shared" si="171"/>
        <v>-1</v>
      </c>
    </row>
    <row r="714" spans="2:16" hidden="1" x14ac:dyDescent="0.2">
      <c r="B714" s="90"/>
      <c r="C714" s="53"/>
      <c r="D714" s="53"/>
      <c r="E714" s="42"/>
      <c r="F714" s="210" t="s">
        <v>743</v>
      </c>
      <c r="G714" s="212">
        <v>10020139</v>
      </c>
      <c r="H714" s="212" t="s">
        <v>770</v>
      </c>
      <c r="I714" s="255">
        <v>185</v>
      </c>
      <c r="J714" s="568"/>
      <c r="L714" s="939"/>
      <c r="M714" s="946" t="s">
        <v>907</v>
      </c>
      <c r="N714" s="641" t="s">
        <v>910</v>
      </c>
      <c r="P714" s="942">
        <f t="shared" si="171"/>
        <v>-1</v>
      </c>
    </row>
    <row r="715" spans="2:16" hidden="1" x14ac:dyDescent="0.2">
      <c r="B715" s="90"/>
      <c r="C715" s="53"/>
      <c r="D715" s="53"/>
      <c r="E715" s="42"/>
      <c r="F715" s="210" t="s">
        <v>1322</v>
      </c>
      <c r="G715" s="212">
        <v>10020151</v>
      </c>
      <c r="H715" s="212" t="s">
        <v>1323</v>
      </c>
      <c r="I715" s="255">
        <v>317</v>
      </c>
      <c r="J715" s="568"/>
      <c r="L715" s="939"/>
      <c r="M715" s="946"/>
      <c r="P715" s="942"/>
    </row>
    <row r="716" spans="2:16" hidden="1" x14ac:dyDescent="0.2">
      <c r="B716" s="90"/>
      <c r="C716" s="53"/>
      <c r="D716" s="53"/>
      <c r="E716" s="42"/>
      <c r="F716" s="210" t="s">
        <v>744</v>
      </c>
      <c r="G716" s="212">
        <v>10020149</v>
      </c>
      <c r="H716" s="212" t="s">
        <v>775</v>
      </c>
      <c r="I716" s="255">
        <v>110</v>
      </c>
      <c r="J716" s="568"/>
      <c r="L716" s="939"/>
      <c r="M716" s="946" t="s">
        <v>913</v>
      </c>
      <c r="N716" s="641" t="s">
        <v>910</v>
      </c>
      <c r="P716" s="942">
        <f t="shared" si="171"/>
        <v>-1</v>
      </c>
    </row>
    <row r="717" spans="2:16" hidden="1" x14ac:dyDescent="0.2">
      <c r="B717" s="90"/>
      <c r="C717" s="53"/>
      <c r="D717" s="53"/>
      <c r="E717" s="42"/>
      <c r="F717" s="210" t="s">
        <v>1324</v>
      </c>
      <c r="G717" s="212">
        <v>11060176</v>
      </c>
      <c r="H717" s="212">
        <v>2070427</v>
      </c>
      <c r="I717" s="255">
        <v>317</v>
      </c>
      <c r="J717" s="568"/>
      <c r="L717" s="939"/>
      <c r="M717" s="946"/>
      <c r="P717" s="942"/>
    </row>
    <row r="718" spans="2:16" hidden="1" x14ac:dyDescent="0.2">
      <c r="B718" s="90"/>
      <c r="C718" s="53"/>
      <c r="D718" s="53"/>
      <c r="E718" s="42"/>
      <c r="F718" s="210" t="s">
        <v>741</v>
      </c>
      <c r="G718" s="212">
        <v>13120099</v>
      </c>
      <c r="H718" s="212">
        <v>30081706</v>
      </c>
      <c r="I718" s="255">
        <v>350</v>
      </c>
      <c r="J718" s="568"/>
      <c r="L718" s="939"/>
      <c r="M718" s="945"/>
      <c r="N718" s="641" t="s">
        <v>910</v>
      </c>
      <c r="P718" s="942">
        <f t="shared" si="171"/>
        <v>-1</v>
      </c>
    </row>
    <row r="719" spans="2:16" hidden="1" x14ac:dyDescent="0.2">
      <c r="B719" s="90"/>
      <c r="C719" s="53"/>
      <c r="D719" s="53"/>
      <c r="E719" s="42"/>
      <c r="F719" s="210" t="s">
        <v>742</v>
      </c>
      <c r="G719" s="212">
        <v>13120099</v>
      </c>
      <c r="H719" s="212">
        <v>30081706</v>
      </c>
      <c r="I719" s="255">
        <v>350</v>
      </c>
      <c r="J719" s="568"/>
      <c r="L719" s="939"/>
      <c r="M719" s="945"/>
      <c r="N719" s="641" t="s">
        <v>910</v>
      </c>
      <c r="P719" s="942">
        <f t="shared" si="171"/>
        <v>-1</v>
      </c>
    </row>
    <row r="720" spans="2:16" hidden="1" x14ac:dyDescent="0.2">
      <c r="B720" s="90"/>
      <c r="C720" s="53"/>
      <c r="D720" s="53"/>
      <c r="E720" s="42"/>
      <c r="F720" s="210"/>
      <c r="G720" s="212"/>
      <c r="H720" s="212"/>
      <c r="I720" s="255"/>
      <c r="J720" s="568"/>
      <c r="L720" s="939"/>
      <c r="M720" s="945"/>
      <c r="P720" s="942"/>
    </row>
    <row r="721" spans="2:16" hidden="1" x14ac:dyDescent="0.2">
      <c r="B721" s="90"/>
      <c r="C721" s="53"/>
      <c r="D721" s="53"/>
      <c r="E721" s="42"/>
      <c r="F721" s="210" t="s">
        <v>1321</v>
      </c>
      <c r="G721" s="212">
        <v>10040174</v>
      </c>
      <c r="H721" s="212">
        <v>937600080</v>
      </c>
      <c r="I721" s="255">
        <v>2975</v>
      </c>
      <c r="J721" s="568"/>
      <c r="L721" s="939"/>
      <c r="M721" s="945"/>
      <c r="P721" s="942"/>
    </row>
    <row r="722" spans="2:16" hidden="1" x14ac:dyDescent="0.2">
      <c r="B722" s="90"/>
      <c r="C722" s="53"/>
      <c r="D722" s="53"/>
      <c r="E722" s="42"/>
      <c r="F722" s="210"/>
      <c r="G722" s="212"/>
      <c r="H722" s="212"/>
      <c r="I722" s="255"/>
      <c r="J722" s="568"/>
      <c r="L722" s="939"/>
      <c r="M722" s="945"/>
      <c r="P722" s="942"/>
    </row>
    <row r="723" spans="2:16" hidden="1" x14ac:dyDescent="0.2">
      <c r="B723" s="90"/>
      <c r="C723" s="53"/>
      <c r="D723" s="53"/>
      <c r="E723" s="42"/>
      <c r="F723" s="210"/>
      <c r="G723" s="212"/>
      <c r="H723" s="212"/>
      <c r="I723" s="255"/>
      <c r="J723" s="568"/>
      <c r="L723" s="939"/>
      <c r="M723" s="945"/>
      <c r="P723" s="942"/>
    </row>
    <row r="724" spans="2:16" hidden="1" x14ac:dyDescent="0.2">
      <c r="B724" s="90"/>
      <c r="C724" s="53"/>
      <c r="D724" s="53"/>
      <c r="E724" s="42"/>
      <c r="F724" s="210"/>
      <c r="G724" s="212"/>
      <c r="H724" s="212"/>
      <c r="I724" s="255"/>
      <c r="J724" s="568"/>
      <c r="L724" s="939"/>
      <c r="M724" s="945"/>
      <c r="P724" s="942"/>
    </row>
    <row r="725" spans="2:16" hidden="1" x14ac:dyDescent="0.2">
      <c r="B725" s="90"/>
      <c r="C725" s="53"/>
      <c r="D725" s="53"/>
      <c r="E725" s="42"/>
      <c r="F725" s="210"/>
      <c r="G725" s="212"/>
      <c r="H725" s="212"/>
      <c r="I725" s="255"/>
      <c r="J725" s="568"/>
      <c r="L725" s="939"/>
      <c r="M725" s="945"/>
      <c r="P725" s="942"/>
    </row>
    <row r="726" spans="2:16" hidden="1" x14ac:dyDescent="0.2">
      <c r="B726" s="90"/>
      <c r="C726" s="53"/>
      <c r="D726" s="53"/>
      <c r="E726" s="42"/>
      <c r="F726" s="210"/>
      <c r="G726" s="212"/>
      <c r="H726" s="212"/>
      <c r="I726" s="255"/>
      <c r="J726" s="568"/>
      <c r="L726" s="939"/>
      <c r="M726" s="945"/>
      <c r="P726" s="942" t="str">
        <f t="shared" si="171"/>
        <v/>
      </c>
    </row>
    <row r="727" spans="2:16" hidden="1" x14ac:dyDescent="0.2">
      <c r="B727" s="90"/>
      <c r="C727" s="53"/>
      <c r="D727" s="53"/>
      <c r="E727" s="42"/>
      <c r="F727" s="210" t="s">
        <v>745</v>
      </c>
      <c r="G727" s="212">
        <v>10030004</v>
      </c>
      <c r="H727" s="212"/>
      <c r="I727" s="255">
        <v>4690</v>
      </c>
      <c r="J727" s="568"/>
      <c r="L727" s="939"/>
      <c r="M727" s="946" t="s">
        <v>914</v>
      </c>
      <c r="N727" s="641" t="s">
        <v>910</v>
      </c>
      <c r="P727" s="942">
        <f t="shared" si="171"/>
        <v>-1</v>
      </c>
    </row>
    <row r="728" spans="2:16" hidden="1" x14ac:dyDescent="0.2">
      <c r="B728" s="90"/>
      <c r="C728" s="53"/>
      <c r="D728" s="53"/>
      <c r="E728" s="42"/>
      <c r="F728" s="210" t="s">
        <v>776</v>
      </c>
      <c r="G728" s="212"/>
      <c r="H728" s="212"/>
      <c r="I728" s="255">
        <v>500</v>
      </c>
      <c r="J728" s="568"/>
      <c r="L728" s="939"/>
      <c r="M728" s="945"/>
      <c r="N728" s="641" t="s">
        <v>910</v>
      </c>
      <c r="P728" s="942">
        <f t="shared" si="171"/>
        <v>-1</v>
      </c>
    </row>
    <row r="729" spans="2:16" hidden="1" x14ac:dyDescent="0.2">
      <c r="B729" s="90"/>
      <c r="C729" s="53"/>
      <c r="D729" s="53"/>
      <c r="E729" s="42">
        <v>13090050</v>
      </c>
      <c r="F729" s="534" t="s">
        <v>1287</v>
      </c>
      <c r="G729" s="212">
        <v>13090050</v>
      </c>
      <c r="H729" s="212" t="s">
        <v>1288</v>
      </c>
      <c r="I729" s="255">
        <v>500</v>
      </c>
      <c r="J729" s="568"/>
      <c r="L729" s="939"/>
      <c r="M729" s="945"/>
      <c r="P729" s="942">
        <f t="shared" si="171"/>
        <v>-1</v>
      </c>
    </row>
    <row r="730" spans="2:16" hidden="1" x14ac:dyDescent="0.2">
      <c r="B730" s="90"/>
      <c r="C730" s="53"/>
      <c r="D730" s="53"/>
      <c r="E730" s="42"/>
      <c r="F730" s="210"/>
      <c r="G730" s="212"/>
      <c r="H730" s="212"/>
      <c r="I730" s="255"/>
      <c r="J730" s="568"/>
      <c r="L730" s="939"/>
      <c r="M730" s="945"/>
      <c r="P730" s="942" t="str">
        <f t="shared" si="171"/>
        <v/>
      </c>
    </row>
    <row r="731" spans="2:16" hidden="1" x14ac:dyDescent="0.2">
      <c r="B731" s="90"/>
      <c r="C731" s="53"/>
      <c r="D731" s="53"/>
      <c r="E731" s="42"/>
      <c r="F731" s="210"/>
      <c r="G731" s="212"/>
      <c r="H731" s="212"/>
      <c r="I731" s="255"/>
      <c r="J731" s="568"/>
      <c r="L731" s="939"/>
      <c r="M731" s="945"/>
      <c r="P731" s="942" t="str">
        <f t="shared" si="171"/>
        <v/>
      </c>
    </row>
    <row r="732" spans="2:16" hidden="1" x14ac:dyDescent="0.2">
      <c r="B732" s="90"/>
      <c r="C732" s="53"/>
      <c r="D732" s="53"/>
      <c r="E732" s="42"/>
      <c r="F732" s="210"/>
      <c r="G732" s="216"/>
      <c r="H732" s="212"/>
      <c r="I732" s="255"/>
      <c r="J732" s="568"/>
      <c r="L732" s="939"/>
      <c r="M732" s="947"/>
      <c r="P732" s="942" t="str">
        <f t="shared" si="171"/>
        <v/>
      </c>
    </row>
    <row r="733" spans="2:16" hidden="1" x14ac:dyDescent="0.2">
      <c r="B733" s="90"/>
      <c r="C733" s="53"/>
      <c r="D733" s="53"/>
      <c r="E733" s="42"/>
      <c r="F733" s="210" t="s">
        <v>280</v>
      </c>
      <c r="G733" s="216"/>
      <c r="H733" s="217"/>
      <c r="I733" s="256"/>
      <c r="J733" s="568"/>
      <c r="L733" s="939"/>
      <c r="M733" s="947"/>
      <c r="P733" s="942" t="str">
        <f t="shared" si="171"/>
        <v/>
      </c>
    </row>
    <row r="734" spans="2:16" hidden="1" x14ac:dyDescent="0.2">
      <c r="B734" s="90"/>
      <c r="C734" s="53"/>
      <c r="D734" s="53"/>
      <c r="E734" s="42"/>
      <c r="F734" s="92"/>
      <c r="G734" s="88"/>
      <c r="H734" s="88"/>
      <c r="I734" s="91"/>
      <c r="J734" s="568"/>
      <c r="L734" s="939"/>
      <c r="M734" s="949"/>
      <c r="P734" s="942" t="str">
        <f t="shared" si="171"/>
        <v/>
      </c>
    </row>
    <row r="735" spans="2:16" hidden="1" x14ac:dyDescent="0.2">
      <c r="B735" s="90"/>
      <c r="C735" s="53"/>
      <c r="D735" s="53"/>
      <c r="E735" s="42"/>
      <c r="F735" s="36"/>
      <c r="G735" s="13"/>
      <c r="H735" s="36"/>
      <c r="I735" s="91"/>
      <c r="J735" s="568"/>
      <c r="L735" s="939"/>
      <c r="M735" s="953"/>
      <c r="P735" s="942" t="str">
        <f t="shared" si="171"/>
        <v/>
      </c>
    </row>
    <row r="736" spans="2:16" hidden="1" x14ac:dyDescent="0.2">
      <c r="B736" s="90"/>
      <c r="C736" s="52"/>
      <c r="D736" s="52" t="s">
        <v>9</v>
      </c>
      <c r="E736" s="42"/>
      <c r="F736" s="36"/>
      <c r="G736" s="13"/>
      <c r="H736" s="36"/>
      <c r="I736" s="527"/>
      <c r="J736" s="568"/>
      <c r="L736" s="939"/>
      <c r="M736" s="953"/>
      <c r="P736" s="942" t="str">
        <f t="shared" si="171"/>
        <v/>
      </c>
    </row>
    <row r="737" spans="2:16" hidden="1" x14ac:dyDescent="0.2">
      <c r="B737" s="90"/>
      <c r="C737" s="105"/>
      <c r="D737" s="105"/>
      <c r="E737" s="105"/>
      <c r="F737" s="218" t="s">
        <v>116</v>
      </c>
      <c r="G737" s="94"/>
      <c r="H737" s="94"/>
      <c r="I737" s="528"/>
      <c r="J737" s="568"/>
      <c r="L737" s="939"/>
      <c r="M737" s="954"/>
      <c r="P737" s="942" t="str">
        <f t="shared" si="171"/>
        <v/>
      </c>
    </row>
    <row r="738" spans="2:16" hidden="1" x14ac:dyDescent="0.2">
      <c r="B738" s="90"/>
      <c r="C738" s="105"/>
      <c r="D738" s="105"/>
      <c r="E738" s="105"/>
      <c r="F738" s="210" t="s">
        <v>114</v>
      </c>
      <c r="G738" s="216" t="s">
        <v>125</v>
      </c>
      <c r="H738" s="212" t="s">
        <v>757</v>
      </c>
      <c r="I738" s="213">
        <v>18</v>
      </c>
      <c r="J738" s="568"/>
      <c r="L738" s="939"/>
      <c r="M738" s="947" t="s">
        <v>125</v>
      </c>
      <c r="N738" s="641" t="s">
        <v>955</v>
      </c>
      <c r="P738" s="942">
        <f t="shared" si="171"/>
        <v>-1</v>
      </c>
    </row>
    <row r="739" spans="2:16" hidden="1" x14ac:dyDescent="0.2">
      <c r="B739" s="90"/>
      <c r="C739" s="105"/>
      <c r="D739" s="105"/>
      <c r="E739" s="105"/>
      <c r="F739" s="210" t="s">
        <v>115</v>
      </c>
      <c r="G739" s="216" t="s">
        <v>126</v>
      </c>
      <c r="H739" s="212" t="s">
        <v>756</v>
      </c>
      <c r="I739" s="213">
        <v>34</v>
      </c>
      <c r="J739" s="568"/>
      <c r="L739" s="939"/>
      <c r="M739" s="947" t="s">
        <v>126</v>
      </c>
      <c r="N739" s="641" t="s">
        <v>955</v>
      </c>
      <c r="P739" s="942">
        <f t="shared" si="171"/>
        <v>-1</v>
      </c>
    </row>
    <row r="740" spans="2:16" hidden="1" x14ac:dyDescent="0.2">
      <c r="B740" s="90"/>
      <c r="C740" s="105"/>
      <c r="D740" s="105"/>
      <c r="E740" s="105"/>
      <c r="F740" s="210"/>
      <c r="G740" s="216"/>
      <c r="H740" s="212"/>
      <c r="I740" s="213"/>
      <c r="J740" s="568"/>
      <c r="L740" s="939"/>
      <c r="M740" s="947"/>
      <c r="P740" s="942" t="str">
        <f t="shared" si="171"/>
        <v/>
      </c>
    </row>
    <row r="741" spans="2:16" hidden="1" x14ac:dyDescent="0.2">
      <c r="B741" s="90"/>
      <c r="C741" s="105"/>
      <c r="D741" s="105"/>
      <c r="E741" s="105"/>
      <c r="F741" s="210"/>
      <c r="G741" s="216"/>
      <c r="H741" s="212"/>
      <c r="I741" s="213"/>
      <c r="J741" s="568"/>
      <c r="L741" s="939"/>
      <c r="M741" s="947"/>
      <c r="P741" s="942" t="str">
        <f t="shared" si="171"/>
        <v/>
      </c>
    </row>
    <row r="742" spans="2:16" hidden="1" x14ac:dyDescent="0.2">
      <c r="B742" s="90"/>
      <c r="C742" s="105"/>
      <c r="D742" s="105"/>
      <c r="E742" s="105"/>
      <c r="F742" s="210"/>
      <c r="G742" s="216"/>
      <c r="H742" s="212"/>
      <c r="I742" s="213"/>
      <c r="J742" s="568"/>
      <c r="L742" s="939"/>
      <c r="M742" s="947"/>
      <c r="P742" s="942" t="str">
        <f t="shared" si="171"/>
        <v/>
      </c>
    </row>
    <row r="743" spans="2:16" hidden="1" x14ac:dyDescent="0.2">
      <c r="B743" s="90"/>
      <c r="C743" s="105"/>
      <c r="D743" s="105"/>
      <c r="E743" s="105"/>
      <c r="F743" s="210"/>
      <c r="G743" s="216"/>
      <c r="H743" s="212"/>
      <c r="I743" s="213"/>
      <c r="J743" s="568"/>
      <c r="L743" s="939"/>
      <c r="M743" s="947"/>
      <c r="P743" s="942" t="str">
        <f t="shared" si="171"/>
        <v/>
      </c>
    </row>
    <row r="744" spans="2:16" hidden="1" x14ac:dyDescent="0.2">
      <c r="B744" s="90"/>
      <c r="C744" s="105"/>
      <c r="D744" s="105"/>
      <c r="E744" s="105"/>
      <c r="F744" s="210"/>
      <c r="G744" s="216"/>
      <c r="H744" s="212"/>
      <c r="I744" s="213"/>
      <c r="J744" s="568"/>
      <c r="L744" s="939"/>
      <c r="M744" s="947"/>
      <c r="P744" s="942" t="str">
        <f t="shared" si="171"/>
        <v/>
      </c>
    </row>
    <row r="745" spans="2:16" hidden="1" x14ac:dyDescent="0.2">
      <c r="B745" s="90"/>
      <c r="C745" s="105"/>
      <c r="D745" s="105"/>
      <c r="E745" s="105"/>
      <c r="F745" s="210"/>
      <c r="G745" s="216"/>
      <c r="H745" s="212"/>
      <c r="I745" s="213"/>
      <c r="J745" s="568"/>
      <c r="L745" s="939"/>
      <c r="M745" s="947"/>
      <c r="P745" s="942" t="str">
        <f t="shared" si="171"/>
        <v/>
      </c>
    </row>
    <row r="746" spans="2:16" hidden="1" x14ac:dyDescent="0.2">
      <c r="B746" s="90"/>
      <c r="C746" s="105"/>
      <c r="D746" s="105"/>
      <c r="E746" s="105"/>
      <c r="F746" s="210"/>
      <c r="G746" s="216"/>
      <c r="H746" s="212"/>
      <c r="I746" s="213"/>
      <c r="J746" s="568"/>
      <c r="L746" s="939"/>
      <c r="M746" s="947"/>
      <c r="P746" s="942" t="str">
        <f t="shared" si="171"/>
        <v/>
      </c>
    </row>
    <row r="747" spans="2:16" hidden="1" x14ac:dyDescent="0.2">
      <c r="B747" s="90"/>
      <c r="C747" s="105"/>
      <c r="D747" s="105"/>
      <c r="E747" s="105"/>
      <c r="F747" s="218" t="s">
        <v>117</v>
      </c>
      <c r="G747" s="216"/>
      <c r="H747" s="212"/>
      <c r="I747" s="213"/>
      <c r="J747" s="568"/>
      <c r="L747" s="939"/>
      <c r="M747" s="947"/>
      <c r="P747" s="942" t="str">
        <f t="shared" si="171"/>
        <v/>
      </c>
    </row>
    <row r="748" spans="2:16" hidden="1" x14ac:dyDescent="0.2">
      <c r="B748" s="90"/>
      <c r="C748" s="105"/>
      <c r="D748" s="105"/>
      <c r="E748" s="105"/>
      <c r="F748" s="210" t="s">
        <v>118</v>
      </c>
      <c r="G748" s="216">
        <v>18210027</v>
      </c>
      <c r="H748" s="212" t="s">
        <v>758</v>
      </c>
      <c r="I748" s="213">
        <v>31</v>
      </c>
      <c r="J748" s="568"/>
      <c r="L748" s="939"/>
      <c r="M748" s="948" t="s">
        <v>915</v>
      </c>
      <c r="N748" s="641" t="s">
        <v>956</v>
      </c>
      <c r="P748" s="942">
        <f t="shared" si="171"/>
        <v>-1</v>
      </c>
    </row>
    <row r="749" spans="2:16" hidden="1" x14ac:dyDescent="0.2">
      <c r="B749" s="90"/>
      <c r="C749" s="105"/>
      <c r="D749" s="105"/>
      <c r="E749" s="105"/>
      <c r="F749" s="210" t="s">
        <v>119</v>
      </c>
      <c r="G749" s="216" t="s">
        <v>122</v>
      </c>
      <c r="H749" s="212" t="s">
        <v>759</v>
      </c>
      <c r="I749" s="213">
        <v>17</v>
      </c>
      <c r="J749" s="568"/>
      <c r="L749" s="939"/>
      <c r="M749" s="947" t="s">
        <v>122</v>
      </c>
      <c r="N749" s="641" t="s">
        <v>956</v>
      </c>
      <c r="P749" s="942">
        <f t="shared" ref="P749:P812" si="172">IFERROR((O749/I749)-1,"")</f>
        <v>-1</v>
      </c>
    </row>
    <row r="750" spans="2:16" hidden="1" x14ac:dyDescent="0.2">
      <c r="B750" s="90"/>
      <c r="C750" s="105"/>
      <c r="D750" s="105"/>
      <c r="E750" s="105"/>
      <c r="F750" s="210" t="s">
        <v>120</v>
      </c>
      <c r="G750" s="216" t="s">
        <v>123</v>
      </c>
      <c r="H750" s="212" t="s">
        <v>760</v>
      </c>
      <c r="I750" s="213">
        <v>22</v>
      </c>
      <c r="J750" s="568"/>
      <c r="L750" s="939"/>
      <c r="M750" s="947" t="s">
        <v>123</v>
      </c>
      <c r="N750" s="641" t="s">
        <v>956</v>
      </c>
      <c r="P750" s="942">
        <f t="shared" si="172"/>
        <v>-1</v>
      </c>
    </row>
    <row r="751" spans="2:16" hidden="1" x14ac:dyDescent="0.2">
      <c r="B751" s="90"/>
      <c r="C751" s="105"/>
      <c r="D751" s="105"/>
      <c r="E751" s="105"/>
      <c r="F751" s="210" t="s">
        <v>121</v>
      </c>
      <c r="G751" s="216" t="s">
        <v>124</v>
      </c>
      <c r="H751" s="212" t="s">
        <v>761</v>
      </c>
      <c r="I751" s="213">
        <v>34</v>
      </c>
      <c r="J751" s="568"/>
      <c r="L751" s="939"/>
      <c r="M751" s="947" t="s">
        <v>124</v>
      </c>
      <c r="N751" s="641" t="s">
        <v>956</v>
      </c>
      <c r="P751" s="942">
        <f t="shared" si="172"/>
        <v>-1</v>
      </c>
    </row>
    <row r="752" spans="2:16" hidden="1" x14ac:dyDescent="0.2">
      <c r="B752" s="90"/>
      <c r="C752" s="53"/>
      <c r="D752" s="53"/>
      <c r="E752" s="42"/>
      <c r="F752" s="210"/>
      <c r="G752" s="216"/>
      <c r="H752" s="212"/>
      <c r="I752" s="213"/>
      <c r="J752" s="568"/>
      <c r="L752" s="939"/>
      <c r="M752" s="947"/>
      <c r="P752" s="942" t="str">
        <f t="shared" si="172"/>
        <v/>
      </c>
    </row>
    <row r="753" spans="2:16" hidden="1" x14ac:dyDescent="0.2">
      <c r="B753" s="90"/>
      <c r="C753" s="53"/>
      <c r="D753" s="53"/>
      <c r="E753" s="42"/>
      <c r="F753" s="210"/>
      <c r="G753" s="216"/>
      <c r="H753" s="212"/>
      <c r="I753" s="213"/>
      <c r="J753" s="568"/>
      <c r="L753" s="939"/>
      <c r="M753" s="947"/>
      <c r="P753" s="942" t="str">
        <f t="shared" si="172"/>
        <v/>
      </c>
    </row>
    <row r="754" spans="2:16" hidden="1" x14ac:dyDescent="0.2">
      <c r="B754" s="90"/>
      <c r="C754" s="53"/>
      <c r="D754" s="53"/>
      <c r="E754" s="42"/>
      <c r="F754" s="210"/>
      <c r="G754" s="216"/>
      <c r="H754" s="212"/>
      <c r="I754" s="213"/>
      <c r="J754" s="568"/>
      <c r="L754" s="939"/>
      <c r="M754" s="947"/>
      <c r="P754" s="942" t="str">
        <f t="shared" si="172"/>
        <v/>
      </c>
    </row>
    <row r="755" spans="2:16" hidden="1" x14ac:dyDescent="0.2">
      <c r="B755" s="90"/>
      <c r="C755" s="53"/>
      <c r="D755" s="53"/>
      <c r="E755" s="42"/>
      <c r="F755" s="210"/>
      <c r="G755" s="216"/>
      <c r="H755" s="212"/>
      <c r="I755" s="213"/>
      <c r="J755" s="568"/>
      <c r="L755" s="939"/>
      <c r="M755" s="947"/>
      <c r="P755" s="942" t="str">
        <f t="shared" si="172"/>
        <v/>
      </c>
    </row>
    <row r="756" spans="2:16" hidden="1" x14ac:dyDescent="0.2">
      <c r="B756" s="90"/>
      <c r="C756" s="53"/>
      <c r="D756" s="53"/>
      <c r="E756" s="42"/>
      <c r="F756" s="210"/>
      <c r="G756" s="216"/>
      <c r="H756" s="212"/>
      <c r="I756" s="213"/>
      <c r="J756" s="568"/>
      <c r="L756" s="939"/>
      <c r="M756" s="947"/>
      <c r="P756" s="942" t="str">
        <f t="shared" si="172"/>
        <v/>
      </c>
    </row>
    <row r="757" spans="2:16" hidden="1" x14ac:dyDescent="0.2">
      <c r="B757" s="90"/>
      <c r="C757" s="53"/>
      <c r="D757" s="53"/>
      <c r="E757" s="42"/>
      <c r="F757" s="210"/>
      <c r="G757" s="216"/>
      <c r="H757" s="212"/>
      <c r="I757" s="213"/>
      <c r="J757" s="568"/>
      <c r="L757" s="939"/>
      <c r="M757" s="947"/>
      <c r="P757" s="942" t="str">
        <f t="shared" si="172"/>
        <v/>
      </c>
    </row>
    <row r="758" spans="2:16" hidden="1" x14ac:dyDescent="0.2">
      <c r="B758" s="90"/>
      <c r="C758" s="53"/>
      <c r="D758" s="53"/>
      <c r="E758" s="42"/>
      <c r="F758" s="210"/>
      <c r="G758" s="216"/>
      <c r="H758" s="212"/>
      <c r="I758" s="213"/>
      <c r="J758" s="568"/>
      <c r="L758" s="939"/>
      <c r="M758" s="947"/>
      <c r="P758" s="942" t="str">
        <f t="shared" si="172"/>
        <v/>
      </c>
    </row>
    <row r="759" spans="2:16" hidden="1" x14ac:dyDescent="0.2">
      <c r="B759" s="90"/>
      <c r="C759" s="53"/>
      <c r="D759" s="53"/>
      <c r="E759" s="53"/>
      <c r="F759" s="53"/>
      <c r="G759" s="53"/>
      <c r="H759" s="53"/>
      <c r="I759" s="529"/>
      <c r="J759" s="568"/>
      <c r="L759" s="939"/>
      <c r="M759" s="955"/>
      <c r="P759" s="942" t="str">
        <f t="shared" si="172"/>
        <v/>
      </c>
    </row>
    <row r="760" spans="2:16" hidden="1" x14ac:dyDescent="0.2">
      <c r="B760" s="90"/>
      <c r="C760" s="52"/>
      <c r="D760" s="52" t="s">
        <v>104</v>
      </c>
      <c r="E760" s="42"/>
      <c r="F760" s="210"/>
      <c r="G760" s="216"/>
      <c r="H760" s="212"/>
      <c r="I760" s="213"/>
      <c r="J760" s="568"/>
      <c r="L760" s="939"/>
      <c r="M760" s="947"/>
      <c r="P760" s="942" t="str">
        <f t="shared" si="172"/>
        <v/>
      </c>
    </row>
    <row r="761" spans="2:16" hidden="1" x14ac:dyDescent="0.2">
      <c r="B761" s="90"/>
      <c r="C761" s="53"/>
      <c r="D761" s="53"/>
      <c r="E761" s="232" t="s">
        <v>127</v>
      </c>
      <c r="F761" s="210" t="s">
        <v>787</v>
      </c>
      <c r="G761" s="216">
        <v>12080017</v>
      </c>
      <c r="H761" s="212"/>
      <c r="I761" s="255">
        <v>4850</v>
      </c>
      <c r="J761" s="568"/>
      <c r="L761" s="939"/>
      <c r="M761" s="948" t="s">
        <v>916</v>
      </c>
      <c r="N761" s="641" t="s">
        <v>957</v>
      </c>
      <c r="P761" s="942">
        <f t="shared" si="172"/>
        <v>-1</v>
      </c>
    </row>
    <row r="762" spans="2:16" hidden="1" x14ac:dyDescent="0.2">
      <c r="B762" s="90"/>
      <c r="C762" s="53"/>
      <c r="D762" s="53"/>
      <c r="E762" s="232"/>
      <c r="F762" s="210" t="s">
        <v>747</v>
      </c>
      <c r="G762" s="216">
        <v>12080009</v>
      </c>
      <c r="H762" s="212"/>
      <c r="I762" s="255">
        <v>19500</v>
      </c>
      <c r="J762" s="568"/>
      <c r="L762" s="939"/>
      <c r="M762" s="948" t="s">
        <v>917</v>
      </c>
      <c r="N762" s="641" t="s">
        <v>957</v>
      </c>
      <c r="P762" s="942">
        <f t="shared" si="172"/>
        <v>-1</v>
      </c>
    </row>
    <row r="763" spans="2:16" hidden="1" x14ac:dyDescent="0.2">
      <c r="B763" s="90"/>
      <c r="C763" s="53"/>
      <c r="D763" s="53"/>
      <c r="E763" s="232"/>
      <c r="F763" s="210"/>
      <c r="G763" s="216"/>
      <c r="H763" s="212"/>
      <c r="I763" s="255"/>
      <c r="J763" s="568"/>
      <c r="L763" s="939"/>
      <c r="M763" s="947"/>
      <c r="P763" s="942" t="str">
        <f t="shared" si="172"/>
        <v/>
      </c>
    </row>
    <row r="764" spans="2:16" hidden="1" x14ac:dyDescent="0.2">
      <c r="B764" s="90"/>
      <c r="C764" s="53"/>
      <c r="D764" s="53"/>
      <c r="E764" s="232"/>
      <c r="F764" s="210" t="s">
        <v>748</v>
      </c>
      <c r="G764" s="216" t="s">
        <v>1325</v>
      </c>
      <c r="H764" s="212"/>
      <c r="I764" s="255">
        <v>15000</v>
      </c>
      <c r="J764" s="568"/>
      <c r="L764" s="939"/>
      <c r="M764" s="948" t="s">
        <v>917</v>
      </c>
      <c r="N764" s="641" t="s">
        <v>957</v>
      </c>
      <c r="P764" s="942">
        <f t="shared" si="172"/>
        <v>-1</v>
      </c>
    </row>
    <row r="765" spans="2:16" hidden="1" x14ac:dyDescent="0.2">
      <c r="B765" s="90"/>
      <c r="C765" s="53"/>
      <c r="D765" s="53"/>
      <c r="E765" s="232"/>
      <c r="F765" s="210" t="s">
        <v>749</v>
      </c>
      <c r="G765" s="216">
        <v>12080026</v>
      </c>
      <c r="H765" s="212"/>
      <c r="I765" s="255">
        <v>7850</v>
      </c>
      <c r="J765" s="568"/>
      <c r="L765" s="939"/>
      <c r="M765" s="948" t="s">
        <v>918</v>
      </c>
      <c r="N765" s="641" t="s">
        <v>957</v>
      </c>
      <c r="P765" s="942">
        <f t="shared" si="172"/>
        <v>-1</v>
      </c>
    </row>
    <row r="766" spans="2:16" hidden="1" x14ac:dyDescent="0.2">
      <c r="B766" s="90"/>
      <c r="C766" s="53"/>
      <c r="D766" s="53"/>
      <c r="E766" s="232"/>
      <c r="F766" s="210" t="s">
        <v>750</v>
      </c>
      <c r="G766" s="216">
        <v>12080026</v>
      </c>
      <c r="H766" s="212"/>
      <c r="I766" s="255">
        <v>11250</v>
      </c>
      <c r="J766" s="568"/>
      <c r="L766" s="939"/>
      <c r="M766" s="948" t="s">
        <v>918</v>
      </c>
      <c r="N766" s="641" t="s">
        <v>957</v>
      </c>
      <c r="P766" s="942">
        <f t="shared" si="172"/>
        <v>-1</v>
      </c>
    </row>
    <row r="767" spans="2:16" hidden="1" x14ac:dyDescent="0.2">
      <c r="B767" s="90"/>
      <c r="C767" s="53"/>
      <c r="D767" s="53"/>
      <c r="E767" s="232"/>
      <c r="F767" s="210" t="s">
        <v>751</v>
      </c>
      <c r="G767" s="216">
        <v>12080026</v>
      </c>
      <c r="H767" s="212"/>
      <c r="I767" s="255">
        <v>5000</v>
      </c>
      <c r="J767" s="568"/>
      <c r="L767" s="939"/>
      <c r="M767" s="948" t="s">
        <v>918</v>
      </c>
      <c r="N767" s="641" t="s">
        <v>957</v>
      </c>
      <c r="P767" s="942">
        <f t="shared" si="172"/>
        <v>-1</v>
      </c>
    </row>
    <row r="768" spans="2:16" hidden="1" x14ac:dyDescent="0.2">
      <c r="B768" s="90"/>
      <c r="C768" s="53"/>
      <c r="D768" s="53"/>
      <c r="E768" s="232"/>
      <c r="F768" s="210" t="s">
        <v>752</v>
      </c>
      <c r="G768" s="216">
        <v>12080026</v>
      </c>
      <c r="H768" s="212"/>
      <c r="I768" s="255">
        <v>1850</v>
      </c>
      <c r="J768" s="568"/>
      <c r="L768" s="939"/>
      <c r="M768" s="948" t="s">
        <v>918</v>
      </c>
      <c r="N768" s="641" t="s">
        <v>957</v>
      </c>
      <c r="P768" s="942">
        <f t="shared" si="172"/>
        <v>-1</v>
      </c>
    </row>
    <row r="769" spans="2:16" hidden="1" x14ac:dyDescent="0.2">
      <c r="B769" s="90"/>
      <c r="C769" s="53"/>
      <c r="D769" s="53"/>
      <c r="E769" s="232"/>
      <c r="F769" s="210" t="s">
        <v>753</v>
      </c>
      <c r="G769" s="216">
        <v>12080026</v>
      </c>
      <c r="H769" s="212"/>
      <c r="I769" s="255" t="s">
        <v>17</v>
      </c>
      <c r="J769" s="568"/>
      <c r="L769" s="939"/>
      <c r="M769" s="948" t="s">
        <v>918</v>
      </c>
      <c r="N769" s="641" t="s">
        <v>957</v>
      </c>
      <c r="P769" s="942" t="str">
        <f t="shared" si="172"/>
        <v/>
      </c>
    </row>
    <row r="770" spans="2:16" hidden="1" x14ac:dyDescent="0.2">
      <c r="B770" s="90"/>
      <c r="C770" s="53"/>
      <c r="D770" s="53"/>
      <c r="E770" s="232"/>
      <c r="F770" s="210"/>
      <c r="G770" s="216"/>
      <c r="H770" s="212"/>
      <c r="I770" s="255"/>
      <c r="J770" s="568"/>
      <c r="L770" s="939"/>
      <c r="M770" s="947"/>
      <c r="P770" s="942" t="str">
        <f t="shared" si="172"/>
        <v/>
      </c>
    </row>
    <row r="771" spans="2:16" hidden="1" x14ac:dyDescent="0.2">
      <c r="B771" s="90"/>
      <c r="C771" s="53"/>
      <c r="D771" s="53"/>
      <c r="E771" s="232"/>
      <c r="F771" s="210" t="s">
        <v>782</v>
      </c>
      <c r="G771" s="216">
        <v>12080026</v>
      </c>
      <c r="H771" s="212"/>
      <c r="I771" s="255">
        <v>15000</v>
      </c>
      <c r="J771" s="568"/>
      <c r="L771" s="939"/>
      <c r="M771" s="948" t="s">
        <v>918</v>
      </c>
      <c r="N771" s="641" t="s">
        <v>957</v>
      </c>
      <c r="P771" s="942">
        <f t="shared" si="172"/>
        <v>-1</v>
      </c>
    </row>
    <row r="772" spans="2:16" hidden="1" x14ac:dyDescent="0.2">
      <c r="B772" s="90"/>
      <c r="C772" s="53"/>
      <c r="D772" s="53"/>
      <c r="E772" s="232"/>
      <c r="F772" s="210" t="s">
        <v>783</v>
      </c>
      <c r="G772" s="216">
        <v>12080026</v>
      </c>
      <c r="H772" s="212"/>
      <c r="I772" s="255">
        <v>7500</v>
      </c>
      <c r="J772" s="568"/>
      <c r="L772" s="939"/>
      <c r="M772" s="948" t="s">
        <v>918</v>
      </c>
      <c r="N772" s="641" t="s">
        <v>957</v>
      </c>
      <c r="P772" s="942">
        <f t="shared" si="172"/>
        <v>-1</v>
      </c>
    </row>
    <row r="773" spans="2:16" hidden="1" x14ac:dyDescent="0.2">
      <c r="B773" s="90"/>
      <c r="C773" s="53"/>
      <c r="D773" s="53"/>
      <c r="E773" s="232"/>
      <c r="F773" s="210" t="s">
        <v>784</v>
      </c>
      <c r="G773" s="216" t="s">
        <v>1325</v>
      </c>
      <c r="H773" s="212"/>
      <c r="I773" s="255"/>
      <c r="J773" s="568"/>
      <c r="L773" s="939"/>
      <c r="M773" s="948" t="s">
        <v>918</v>
      </c>
      <c r="N773" s="641" t="s">
        <v>957</v>
      </c>
      <c r="P773" s="942" t="str">
        <f t="shared" si="172"/>
        <v/>
      </c>
    </row>
    <row r="774" spans="2:16" hidden="1" x14ac:dyDescent="0.2">
      <c r="B774" s="90"/>
      <c r="C774" s="53"/>
      <c r="D774" s="53"/>
      <c r="E774" s="232"/>
      <c r="F774" s="210"/>
      <c r="G774" s="216"/>
      <c r="H774" s="212"/>
      <c r="I774" s="255"/>
      <c r="J774" s="568"/>
      <c r="L774" s="939"/>
      <c r="M774" s="947"/>
      <c r="P774" s="942" t="str">
        <f t="shared" si="172"/>
        <v/>
      </c>
    </row>
    <row r="775" spans="2:16" hidden="1" x14ac:dyDescent="0.2">
      <c r="B775" s="90"/>
      <c r="C775" s="53"/>
      <c r="D775" s="53"/>
      <c r="E775" s="232"/>
      <c r="F775" s="210" t="s">
        <v>785</v>
      </c>
      <c r="G775" s="216" t="s">
        <v>1325</v>
      </c>
      <c r="H775" s="212"/>
      <c r="I775" s="255">
        <v>1600</v>
      </c>
      <c r="J775" s="568"/>
      <c r="L775" s="939"/>
      <c r="M775" s="948" t="s">
        <v>918</v>
      </c>
      <c r="N775" s="641" t="s">
        <v>957</v>
      </c>
      <c r="P775" s="942">
        <f t="shared" si="172"/>
        <v>-1</v>
      </c>
    </row>
    <row r="776" spans="2:16" hidden="1" x14ac:dyDescent="0.2">
      <c r="B776" s="90"/>
      <c r="C776" s="53"/>
      <c r="D776" s="53"/>
      <c r="E776" s="232"/>
      <c r="F776" s="210" t="s">
        <v>786</v>
      </c>
      <c r="G776" s="216" t="s">
        <v>1325</v>
      </c>
      <c r="H776" s="212"/>
      <c r="I776" s="255">
        <v>5000</v>
      </c>
      <c r="J776" s="568"/>
      <c r="L776" s="939"/>
      <c r="M776" s="948" t="s">
        <v>918</v>
      </c>
      <c r="N776" s="641" t="s">
        <v>957</v>
      </c>
      <c r="P776" s="942">
        <f t="shared" si="172"/>
        <v>-1</v>
      </c>
    </row>
    <row r="777" spans="2:16" hidden="1" x14ac:dyDescent="0.2">
      <c r="B777" s="90"/>
      <c r="C777" s="53"/>
      <c r="D777" s="53"/>
      <c r="E777" s="232"/>
      <c r="F777" s="210"/>
      <c r="G777" s="216"/>
      <c r="H777" s="212"/>
      <c r="I777" s="255"/>
      <c r="J777" s="568"/>
      <c r="L777" s="939"/>
      <c r="M777" s="947"/>
      <c r="P777" s="942" t="str">
        <f t="shared" si="172"/>
        <v/>
      </c>
    </row>
    <row r="778" spans="2:16" hidden="1" x14ac:dyDescent="0.2">
      <c r="B778" s="90"/>
      <c r="C778" s="53"/>
      <c r="D778" s="53"/>
      <c r="E778" s="232"/>
      <c r="F778" s="210" t="s">
        <v>754</v>
      </c>
      <c r="G778" s="216">
        <v>12080026</v>
      </c>
      <c r="H778" s="212"/>
      <c r="I778" s="255">
        <v>1250</v>
      </c>
      <c r="J778" s="568"/>
      <c r="L778" s="939"/>
      <c r="M778" s="948" t="s">
        <v>918</v>
      </c>
      <c r="N778" s="641" t="s">
        <v>957</v>
      </c>
      <c r="P778" s="942">
        <f t="shared" si="172"/>
        <v>-1</v>
      </c>
    </row>
    <row r="779" spans="2:16" hidden="1" x14ac:dyDescent="0.2">
      <c r="B779" s="90"/>
      <c r="C779" s="53"/>
      <c r="D779" s="53"/>
      <c r="E779" s="232"/>
      <c r="F779" s="210" t="s">
        <v>755</v>
      </c>
      <c r="G779" s="216">
        <v>12080026</v>
      </c>
      <c r="H779" s="212"/>
      <c r="I779" s="255">
        <v>12000</v>
      </c>
      <c r="J779" s="568"/>
      <c r="L779" s="939"/>
      <c r="M779" s="948" t="s">
        <v>918</v>
      </c>
      <c r="N779" s="641" t="s">
        <v>957</v>
      </c>
      <c r="P779" s="942">
        <f t="shared" si="172"/>
        <v>-1</v>
      </c>
    </row>
    <row r="780" spans="2:16" hidden="1" x14ac:dyDescent="0.2">
      <c r="B780" s="90"/>
      <c r="C780" s="53"/>
      <c r="D780" s="53"/>
      <c r="E780" s="232"/>
      <c r="F780" s="210"/>
      <c r="G780" s="216"/>
      <c r="H780" s="212"/>
      <c r="I780" s="255"/>
      <c r="J780" s="568"/>
      <c r="L780" s="939"/>
      <c r="M780" s="947"/>
      <c r="P780" s="942" t="str">
        <f t="shared" si="172"/>
        <v/>
      </c>
    </row>
    <row r="781" spans="2:16" hidden="1" x14ac:dyDescent="0.2">
      <c r="B781" s="90"/>
      <c r="C781" s="53"/>
      <c r="D781" s="53"/>
      <c r="E781" s="232" t="s">
        <v>128</v>
      </c>
      <c r="F781" s="210" t="s">
        <v>790</v>
      </c>
      <c r="G781" s="216">
        <v>12080026</v>
      </c>
      <c r="H781" s="212"/>
      <c r="I781" s="255">
        <v>1950</v>
      </c>
      <c r="J781" s="568"/>
      <c r="L781" s="939"/>
      <c r="M781" s="948" t="s">
        <v>918</v>
      </c>
      <c r="N781" s="641" t="s">
        <v>957</v>
      </c>
      <c r="P781" s="942">
        <f t="shared" si="172"/>
        <v>-1</v>
      </c>
    </row>
    <row r="782" spans="2:16" hidden="1" x14ac:dyDescent="0.2">
      <c r="B782" s="90"/>
      <c r="C782" s="53"/>
      <c r="D782" s="53"/>
      <c r="E782" s="232"/>
      <c r="F782" s="210" t="s">
        <v>791</v>
      </c>
      <c r="G782" s="216">
        <v>12080026</v>
      </c>
      <c r="H782" s="212"/>
      <c r="I782" s="255">
        <v>1950</v>
      </c>
      <c r="J782" s="568"/>
      <c r="L782" s="939"/>
      <c r="M782" s="948" t="s">
        <v>918</v>
      </c>
      <c r="N782" s="641" t="s">
        <v>957</v>
      </c>
      <c r="P782" s="942">
        <f t="shared" si="172"/>
        <v>-1</v>
      </c>
    </row>
    <row r="783" spans="2:16" hidden="1" x14ac:dyDescent="0.2">
      <c r="B783" s="90"/>
      <c r="C783" s="53"/>
      <c r="D783" s="53"/>
      <c r="E783" s="232"/>
      <c r="F783" s="210" t="s">
        <v>792</v>
      </c>
      <c r="G783" s="216">
        <v>12080026</v>
      </c>
      <c r="H783" s="212"/>
      <c r="I783" s="255">
        <v>1950</v>
      </c>
      <c r="J783" s="568"/>
      <c r="L783" s="939"/>
      <c r="M783" s="948" t="s">
        <v>918</v>
      </c>
      <c r="N783" s="641" t="s">
        <v>957</v>
      </c>
      <c r="P783" s="942">
        <f t="shared" si="172"/>
        <v>-1</v>
      </c>
    </row>
    <row r="784" spans="2:16" hidden="1" x14ac:dyDescent="0.2">
      <c r="B784" s="90"/>
      <c r="C784" s="53"/>
      <c r="D784" s="53"/>
      <c r="E784" s="232"/>
      <c r="F784" s="210" t="s">
        <v>793</v>
      </c>
      <c r="G784" s="216">
        <v>12080026</v>
      </c>
      <c r="H784" s="212"/>
      <c r="I784" s="255">
        <v>1950</v>
      </c>
      <c r="J784" s="568"/>
      <c r="L784" s="939"/>
      <c r="M784" s="948" t="s">
        <v>918</v>
      </c>
      <c r="N784" s="641" t="s">
        <v>957</v>
      </c>
      <c r="P784" s="942">
        <f t="shared" si="172"/>
        <v>-1</v>
      </c>
    </row>
    <row r="785" spans="2:16" hidden="1" x14ac:dyDescent="0.2">
      <c r="B785" s="90"/>
      <c r="C785" s="53"/>
      <c r="D785" s="53"/>
      <c r="E785" s="232"/>
      <c r="F785" s="210" t="s">
        <v>832</v>
      </c>
      <c r="G785" s="216">
        <v>12080026</v>
      </c>
      <c r="H785" s="212"/>
      <c r="I785" s="255">
        <v>950</v>
      </c>
      <c r="J785" s="568"/>
      <c r="L785" s="939"/>
      <c r="M785" s="948" t="s">
        <v>918</v>
      </c>
      <c r="N785" s="641" t="s">
        <v>957</v>
      </c>
      <c r="P785" s="942">
        <f t="shared" si="172"/>
        <v>-1</v>
      </c>
    </row>
    <row r="786" spans="2:16" hidden="1" x14ac:dyDescent="0.2">
      <c r="B786" s="90"/>
      <c r="C786" s="53"/>
      <c r="D786" s="53"/>
      <c r="E786" s="232"/>
      <c r="F786" s="210" t="s">
        <v>794</v>
      </c>
      <c r="G786" s="216">
        <v>12080026</v>
      </c>
      <c r="H786" s="212"/>
      <c r="I786" s="255">
        <v>1950</v>
      </c>
      <c r="J786" s="568"/>
      <c r="L786" s="939"/>
      <c r="M786" s="948" t="s">
        <v>918</v>
      </c>
      <c r="N786" s="641" t="s">
        <v>957</v>
      </c>
      <c r="P786" s="942">
        <f t="shared" si="172"/>
        <v>-1</v>
      </c>
    </row>
    <row r="787" spans="2:16" hidden="1" x14ac:dyDescent="0.2">
      <c r="B787" s="90"/>
      <c r="C787" s="53"/>
      <c r="D787" s="53"/>
      <c r="E787" s="232"/>
      <c r="F787" s="210" t="s">
        <v>795</v>
      </c>
      <c r="G787" s="216">
        <v>12080026</v>
      </c>
      <c r="H787" s="212"/>
      <c r="I787" s="255">
        <v>1950</v>
      </c>
      <c r="J787" s="568"/>
      <c r="L787" s="939"/>
      <c r="M787" s="948" t="s">
        <v>918</v>
      </c>
      <c r="N787" s="641" t="s">
        <v>957</v>
      </c>
      <c r="P787" s="942">
        <f t="shared" si="172"/>
        <v>-1</v>
      </c>
    </row>
    <row r="788" spans="2:16" hidden="1" x14ac:dyDescent="0.2">
      <c r="B788" s="90"/>
      <c r="C788" s="53"/>
      <c r="D788" s="53"/>
      <c r="E788" s="232"/>
      <c r="F788" s="210" t="s">
        <v>796</v>
      </c>
      <c r="G788" s="216">
        <v>12080026</v>
      </c>
      <c r="H788" s="212"/>
      <c r="I788" s="255">
        <v>2500</v>
      </c>
      <c r="J788" s="568"/>
      <c r="L788" s="939"/>
      <c r="M788" s="948" t="s">
        <v>918</v>
      </c>
      <c r="N788" s="641" t="s">
        <v>957</v>
      </c>
      <c r="P788" s="942">
        <f t="shared" si="172"/>
        <v>-1</v>
      </c>
    </row>
    <row r="789" spans="2:16" hidden="1" x14ac:dyDescent="0.2">
      <c r="B789" s="90"/>
      <c r="C789" s="53"/>
      <c r="D789" s="53"/>
      <c r="E789" s="232"/>
      <c r="F789" s="210" t="s">
        <v>797</v>
      </c>
      <c r="G789" s="216">
        <v>12080026</v>
      </c>
      <c r="H789" s="212"/>
      <c r="I789" s="255">
        <v>2500</v>
      </c>
      <c r="J789" s="568"/>
      <c r="L789" s="939"/>
      <c r="M789" s="948" t="s">
        <v>918</v>
      </c>
      <c r="N789" s="641" t="s">
        <v>957</v>
      </c>
      <c r="P789" s="942">
        <f t="shared" si="172"/>
        <v>-1</v>
      </c>
    </row>
    <row r="790" spans="2:16" hidden="1" x14ac:dyDescent="0.2">
      <c r="B790" s="90"/>
      <c r="C790" s="53"/>
      <c r="D790" s="53"/>
      <c r="E790" s="232"/>
      <c r="F790" s="210" t="s">
        <v>798</v>
      </c>
      <c r="G790" s="216">
        <v>12080026</v>
      </c>
      <c r="H790" s="212"/>
      <c r="I790" s="255">
        <v>2500</v>
      </c>
      <c r="J790" s="568"/>
      <c r="L790" s="939"/>
      <c r="M790" s="948" t="s">
        <v>918</v>
      </c>
      <c r="N790" s="641" t="s">
        <v>957</v>
      </c>
      <c r="P790" s="942">
        <f t="shared" si="172"/>
        <v>-1</v>
      </c>
    </row>
    <row r="791" spans="2:16" hidden="1" x14ac:dyDescent="0.2">
      <c r="B791" s="90"/>
      <c r="C791" s="53"/>
      <c r="D791" s="53"/>
      <c r="E791" s="232"/>
      <c r="F791" s="210" t="s">
        <v>799</v>
      </c>
      <c r="G791" s="216">
        <v>12080026</v>
      </c>
      <c r="H791" s="212"/>
      <c r="I791" s="255">
        <v>2500</v>
      </c>
      <c r="J791" s="568"/>
      <c r="L791" s="939"/>
      <c r="M791" s="948" t="s">
        <v>918</v>
      </c>
      <c r="N791" s="641" t="s">
        <v>957</v>
      </c>
      <c r="P791" s="942">
        <f t="shared" si="172"/>
        <v>-1</v>
      </c>
    </row>
    <row r="792" spans="2:16" hidden="1" x14ac:dyDescent="0.2">
      <c r="B792" s="90"/>
      <c r="C792" s="53"/>
      <c r="D792" s="53"/>
      <c r="E792" s="232"/>
      <c r="F792" s="210" t="s">
        <v>800</v>
      </c>
      <c r="G792" s="216">
        <v>12080026</v>
      </c>
      <c r="H792" s="212"/>
      <c r="I792" s="255">
        <v>2500</v>
      </c>
      <c r="J792" s="568"/>
      <c r="L792" s="939"/>
      <c r="M792" s="948" t="s">
        <v>918</v>
      </c>
      <c r="N792" s="641" t="s">
        <v>957</v>
      </c>
      <c r="P792" s="942">
        <f t="shared" si="172"/>
        <v>-1</v>
      </c>
    </row>
    <row r="793" spans="2:16" hidden="1" x14ac:dyDescent="0.2">
      <c r="B793" s="90"/>
      <c r="C793" s="53"/>
      <c r="D793" s="53"/>
      <c r="E793" s="232"/>
      <c r="F793" s="210"/>
      <c r="G793" s="216"/>
      <c r="H793" s="212"/>
      <c r="I793" s="255"/>
      <c r="J793" s="568"/>
      <c r="L793" s="939"/>
      <c r="M793" s="947"/>
      <c r="P793" s="942" t="str">
        <f t="shared" si="172"/>
        <v/>
      </c>
    </row>
    <row r="794" spans="2:16" hidden="1" x14ac:dyDescent="0.2">
      <c r="B794" s="90"/>
      <c r="C794" s="53"/>
      <c r="D794" s="53"/>
      <c r="E794" s="232"/>
      <c r="F794" s="210" t="s">
        <v>788</v>
      </c>
      <c r="G794" s="216">
        <v>12080026</v>
      </c>
      <c r="H794" s="212"/>
      <c r="I794" s="255">
        <v>450</v>
      </c>
      <c r="J794" s="568"/>
      <c r="L794" s="939"/>
      <c r="M794" s="948" t="s">
        <v>918</v>
      </c>
      <c r="N794" s="641" t="s">
        <v>957</v>
      </c>
      <c r="P794" s="942">
        <f t="shared" si="172"/>
        <v>-1</v>
      </c>
    </row>
    <row r="795" spans="2:16" hidden="1" x14ac:dyDescent="0.2">
      <c r="B795" s="90"/>
      <c r="C795" s="53"/>
      <c r="D795" s="53"/>
      <c r="E795" s="232"/>
      <c r="F795" s="210" t="s">
        <v>789</v>
      </c>
      <c r="G795" s="216">
        <v>12080026</v>
      </c>
      <c r="H795" s="212"/>
      <c r="I795" s="255">
        <v>950</v>
      </c>
      <c r="J795" s="568"/>
      <c r="L795" s="939"/>
      <c r="M795" s="948" t="s">
        <v>918</v>
      </c>
      <c r="N795" s="641" t="s">
        <v>957</v>
      </c>
      <c r="P795" s="942">
        <f t="shared" si="172"/>
        <v>-1</v>
      </c>
    </row>
    <row r="796" spans="2:16" hidden="1" x14ac:dyDescent="0.2">
      <c r="B796" s="90"/>
      <c r="C796" s="53"/>
      <c r="D796" s="53"/>
      <c r="E796" s="232"/>
      <c r="F796" s="210"/>
      <c r="G796" s="216"/>
      <c r="H796" s="212"/>
      <c r="I796" s="255"/>
      <c r="J796" s="568"/>
      <c r="L796" s="939"/>
      <c r="M796" s="947"/>
      <c r="P796" s="942" t="str">
        <f t="shared" si="172"/>
        <v/>
      </c>
    </row>
    <row r="797" spans="2:16" hidden="1" x14ac:dyDescent="0.2">
      <c r="B797" s="90"/>
      <c r="C797" s="53"/>
      <c r="D797" s="53"/>
      <c r="E797" s="232"/>
      <c r="F797" s="210"/>
      <c r="G797" s="216"/>
      <c r="H797" s="212"/>
      <c r="I797" s="255"/>
      <c r="J797" s="568"/>
      <c r="L797" s="939"/>
      <c r="M797" s="947"/>
      <c r="P797" s="942" t="str">
        <f t="shared" si="172"/>
        <v/>
      </c>
    </row>
    <row r="798" spans="2:16" hidden="1" x14ac:dyDescent="0.2">
      <c r="B798" s="90"/>
      <c r="C798" s="53"/>
      <c r="D798" s="53"/>
      <c r="E798" s="232" t="s">
        <v>128</v>
      </c>
      <c r="F798" s="210" t="s">
        <v>129</v>
      </c>
      <c r="G798" s="216">
        <v>12080011</v>
      </c>
      <c r="H798" s="212"/>
      <c r="I798" s="255">
        <v>1950</v>
      </c>
      <c r="J798" s="568"/>
      <c r="L798" s="939"/>
      <c r="M798" s="948" t="s">
        <v>919</v>
      </c>
      <c r="N798" s="641" t="s">
        <v>958</v>
      </c>
      <c r="P798" s="942">
        <f t="shared" si="172"/>
        <v>-1</v>
      </c>
    </row>
    <row r="799" spans="2:16" hidden="1" x14ac:dyDescent="0.2">
      <c r="B799" s="90"/>
      <c r="C799" s="53"/>
      <c r="D799" s="53"/>
      <c r="E799" s="232"/>
      <c r="F799" s="210" t="s">
        <v>130</v>
      </c>
      <c r="G799" s="216">
        <v>12080011</v>
      </c>
      <c r="H799" s="212"/>
      <c r="I799" s="255">
        <v>1950</v>
      </c>
      <c r="J799" s="568"/>
      <c r="L799" s="939"/>
      <c r="M799" s="948" t="s">
        <v>919</v>
      </c>
      <c r="N799" s="641" t="s">
        <v>958</v>
      </c>
      <c r="P799" s="942">
        <f t="shared" si="172"/>
        <v>-1</v>
      </c>
    </row>
    <row r="800" spans="2:16" hidden="1" x14ac:dyDescent="0.2">
      <c r="B800" s="90"/>
      <c r="C800" s="53"/>
      <c r="D800" s="53"/>
      <c r="E800" s="232"/>
      <c r="F800" s="210" t="s">
        <v>131</v>
      </c>
      <c r="G800" s="216">
        <v>12080011</v>
      </c>
      <c r="H800" s="212"/>
      <c r="I800" s="255">
        <v>1950</v>
      </c>
      <c r="J800" s="568"/>
      <c r="L800" s="939"/>
      <c r="M800" s="948" t="s">
        <v>919</v>
      </c>
      <c r="N800" s="641" t="s">
        <v>958</v>
      </c>
      <c r="P800" s="942">
        <f t="shared" si="172"/>
        <v>-1</v>
      </c>
    </row>
    <row r="801" spans="2:16" hidden="1" x14ac:dyDescent="0.2">
      <c r="B801" s="90"/>
      <c r="C801" s="53"/>
      <c r="D801" s="53"/>
      <c r="E801" s="232"/>
      <c r="F801" s="210" t="s">
        <v>132</v>
      </c>
      <c r="G801" s="216">
        <v>12080011</v>
      </c>
      <c r="H801" s="212"/>
      <c r="I801" s="255">
        <v>2250</v>
      </c>
      <c r="J801" s="568"/>
      <c r="L801" s="939"/>
      <c r="M801" s="948" t="s">
        <v>919</v>
      </c>
      <c r="N801" s="641" t="s">
        <v>958</v>
      </c>
      <c r="P801" s="942">
        <f t="shared" si="172"/>
        <v>-1</v>
      </c>
    </row>
    <row r="802" spans="2:16" hidden="1" x14ac:dyDescent="0.2">
      <c r="B802" s="90"/>
      <c r="C802" s="53"/>
      <c r="D802" s="53"/>
      <c r="E802" s="232"/>
      <c r="F802" s="210" t="s">
        <v>133</v>
      </c>
      <c r="G802" s="216">
        <v>12080011</v>
      </c>
      <c r="H802" s="212"/>
      <c r="I802" s="255">
        <v>2150</v>
      </c>
      <c r="J802" s="568"/>
      <c r="L802" s="939"/>
      <c r="M802" s="948" t="s">
        <v>919</v>
      </c>
      <c r="N802" s="641" t="s">
        <v>958</v>
      </c>
      <c r="P802" s="942">
        <f t="shared" si="172"/>
        <v>-1</v>
      </c>
    </row>
    <row r="803" spans="2:16" hidden="1" x14ac:dyDescent="0.2">
      <c r="B803" s="90"/>
      <c r="C803" s="53"/>
      <c r="D803" s="53"/>
      <c r="E803" s="232"/>
      <c r="F803" s="210"/>
      <c r="G803" s="216"/>
      <c r="H803" s="212"/>
      <c r="I803" s="255"/>
      <c r="J803" s="568"/>
      <c r="L803" s="939"/>
      <c r="M803" s="947"/>
      <c r="P803" s="942" t="str">
        <f t="shared" si="172"/>
        <v/>
      </c>
    </row>
    <row r="804" spans="2:16" hidden="1" x14ac:dyDescent="0.2">
      <c r="B804" s="90"/>
      <c r="C804" s="53"/>
      <c r="D804" s="53"/>
      <c r="E804" s="232"/>
      <c r="F804" s="210" t="s">
        <v>134</v>
      </c>
      <c r="G804" s="216">
        <v>12080011</v>
      </c>
      <c r="H804" s="212"/>
      <c r="I804" s="255">
        <v>1950</v>
      </c>
      <c r="J804" s="568"/>
      <c r="L804" s="939"/>
      <c r="M804" s="948" t="s">
        <v>919</v>
      </c>
      <c r="N804" s="641" t="s">
        <v>958</v>
      </c>
      <c r="P804" s="942">
        <f t="shared" si="172"/>
        <v>-1</v>
      </c>
    </row>
    <row r="805" spans="2:16" hidden="1" x14ac:dyDescent="0.2">
      <c r="B805" s="90"/>
      <c r="C805" s="42"/>
      <c r="D805" s="42"/>
      <c r="E805" s="232"/>
      <c r="F805" s="210" t="s">
        <v>135</v>
      </c>
      <c r="G805" s="216">
        <v>12080011</v>
      </c>
      <c r="H805" s="212"/>
      <c r="I805" s="255">
        <v>1950</v>
      </c>
      <c r="J805" s="568"/>
      <c r="L805" s="939"/>
      <c r="M805" s="948" t="s">
        <v>919</v>
      </c>
      <c r="N805" s="641" t="s">
        <v>958</v>
      </c>
      <c r="P805" s="942">
        <f t="shared" si="172"/>
        <v>-1</v>
      </c>
    </row>
    <row r="806" spans="2:16" hidden="1" x14ac:dyDescent="0.2">
      <c r="B806" s="90"/>
      <c r="C806" s="42"/>
      <c r="D806" s="42"/>
      <c r="E806" s="232"/>
      <c r="F806" s="210"/>
      <c r="G806" s="216"/>
      <c r="H806" s="212"/>
      <c r="I806" s="255"/>
      <c r="J806" s="568"/>
      <c r="L806" s="939"/>
      <c r="M806" s="947"/>
      <c r="P806" s="942" t="str">
        <f t="shared" si="172"/>
        <v/>
      </c>
    </row>
    <row r="807" spans="2:16" hidden="1" x14ac:dyDescent="0.2">
      <c r="B807" s="90"/>
      <c r="C807" s="42"/>
      <c r="D807" s="42"/>
      <c r="E807" s="232"/>
      <c r="F807" s="210" t="s">
        <v>136</v>
      </c>
      <c r="G807" s="216">
        <v>12080011</v>
      </c>
      <c r="H807" s="212"/>
      <c r="I807" s="255">
        <v>2350</v>
      </c>
      <c r="J807" s="568"/>
      <c r="L807" s="939"/>
      <c r="M807" s="948" t="s">
        <v>919</v>
      </c>
      <c r="N807" s="641" t="s">
        <v>958</v>
      </c>
      <c r="P807" s="942">
        <f t="shared" si="172"/>
        <v>-1</v>
      </c>
    </row>
    <row r="808" spans="2:16" hidden="1" x14ac:dyDescent="0.2">
      <c r="B808" s="90"/>
      <c r="C808" s="42"/>
      <c r="D808" s="42"/>
      <c r="E808" s="232"/>
      <c r="F808" s="210" t="s">
        <v>137</v>
      </c>
      <c r="G808" s="216">
        <v>12080011</v>
      </c>
      <c r="H808" s="212"/>
      <c r="I808" s="255">
        <v>2350</v>
      </c>
      <c r="J808" s="568"/>
      <c r="L808" s="939"/>
      <c r="M808" s="948" t="s">
        <v>919</v>
      </c>
      <c r="N808" s="641" t="s">
        <v>958</v>
      </c>
      <c r="P808" s="942">
        <f t="shared" si="172"/>
        <v>-1</v>
      </c>
    </row>
    <row r="809" spans="2:16" hidden="1" x14ac:dyDescent="0.2">
      <c r="B809" s="90"/>
      <c r="C809" s="42"/>
      <c r="D809" s="42"/>
      <c r="E809" s="232"/>
      <c r="F809" s="210"/>
      <c r="G809" s="216"/>
      <c r="H809" s="212"/>
      <c r="I809" s="255"/>
      <c r="J809" s="568"/>
      <c r="L809" s="939"/>
      <c r="M809" s="947"/>
      <c r="P809" s="942" t="str">
        <f t="shared" si="172"/>
        <v/>
      </c>
    </row>
    <row r="810" spans="2:16" hidden="1" x14ac:dyDescent="0.2">
      <c r="B810" s="90"/>
      <c r="C810" s="42"/>
      <c r="D810" s="42"/>
      <c r="E810" s="232" t="s">
        <v>141</v>
      </c>
      <c r="F810" s="210" t="s">
        <v>138</v>
      </c>
      <c r="G810" s="231">
        <v>12080011</v>
      </c>
      <c r="H810" s="212"/>
      <c r="I810" s="255">
        <v>450</v>
      </c>
      <c r="J810" s="568"/>
      <c r="L810" s="939"/>
      <c r="M810" s="948" t="s">
        <v>919</v>
      </c>
      <c r="N810" s="641" t="s">
        <v>958</v>
      </c>
      <c r="P810" s="942">
        <f t="shared" si="172"/>
        <v>-1</v>
      </c>
    </row>
    <row r="811" spans="2:16" hidden="1" x14ac:dyDescent="0.2">
      <c r="B811" s="90"/>
      <c r="C811" s="42"/>
      <c r="D811" s="42"/>
      <c r="E811" s="232"/>
      <c r="F811" s="210" t="s">
        <v>139</v>
      </c>
      <c r="G811" s="231">
        <v>12080011</v>
      </c>
      <c r="H811" s="212"/>
      <c r="I811" s="255">
        <v>850</v>
      </c>
      <c r="J811" s="568"/>
      <c r="L811" s="939"/>
      <c r="M811" s="948" t="s">
        <v>919</v>
      </c>
      <c r="N811" s="641" t="s">
        <v>958</v>
      </c>
      <c r="P811" s="942">
        <f t="shared" si="172"/>
        <v>-1</v>
      </c>
    </row>
    <row r="812" spans="2:16" hidden="1" x14ac:dyDescent="0.2">
      <c r="B812" s="90"/>
      <c r="C812" s="42"/>
      <c r="D812" s="42"/>
      <c r="E812" s="232"/>
      <c r="F812" s="210" t="s">
        <v>140</v>
      </c>
      <c r="G812" s="231">
        <v>12080011</v>
      </c>
      <c r="H812" s="212"/>
      <c r="I812" s="255">
        <v>1250</v>
      </c>
      <c r="J812" s="568"/>
      <c r="L812" s="939"/>
      <c r="M812" s="948" t="s">
        <v>919</v>
      </c>
      <c r="N812" s="641" t="s">
        <v>958</v>
      </c>
      <c r="P812" s="942">
        <f t="shared" si="172"/>
        <v>-1</v>
      </c>
    </row>
    <row r="813" spans="2:16" hidden="1" x14ac:dyDescent="0.2">
      <c r="B813" s="90"/>
      <c r="C813" s="42"/>
      <c r="D813" s="42"/>
      <c r="E813" s="232"/>
      <c r="F813" s="210"/>
      <c r="G813" s="231"/>
      <c r="H813" s="212"/>
      <c r="I813" s="255"/>
      <c r="J813" s="568"/>
      <c r="L813" s="939"/>
      <c r="M813" s="947"/>
      <c r="P813" s="942" t="str">
        <f t="shared" ref="P813:P876" si="173">IFERROR((O813/I813)-1,"")</f>
        <v/>
      </c>
    </row>
    <row r="814" spans="2:16" hidden="1" x14ac:dyDescent="0.2">
      <c r="B814" s="90"/>
      <c r="C814" s="42"/>
      <c r="D814" s="42"/>
      <c r="E814" s="232" t="s">
        <v>142</v>
      </c>
      <c r="F814" s="210" t="s">
        <v>1372</v>
      </c>
      <c r="G814" s="216">
        <v>12990013</v>
      </c>
      <c r="H814" s="212">
        <v>12990013</v>
      </c>
      <c r="I814" s="255">
        <v>4430</v>
      </c>
      <c r="J814" s="568"/>
      <c r="L814" s="939"/>
      <c r="M814" s="948" t="s">
        <v>920</v>
      </c>
      <c r="N814" s="641" t="s">
        <v>897</v>
      </c>
      <c r="P814" s="942">
        <f t="shared" si="173"/>
        <v>-1</v>
      </c>
    </row>
    <row r="815" spans="2:16" hidden="1" x14ac:dyDescent="0.2">
      <c r="B815" s="90"/>
      <c r="C815" s="42"/>
      <c r="D815" s="42"/>
      <c r="E815" s="42"/>
      <c r="F815" s="210"/>
      <c r="G815" s="216"/>
      <c r="H815" s="212"/>
      <c r="I815" s="255"/>
      <c r="J815" s="568"/>
      <c r="L815" s="939"/>
      <c r="M815" s="947"/>
      <c r="P815" s="942" t="str">
        <f t="shared" si="173"/>
        <v/>
      </c>
    </row>
    <row r="816" spans="2:16" hidden="1" x14ac:dyDescent="0.2">
      <c r="B816" s="90"/>
      <c r="C816" s="42"/>
      <c r="D816" s="42"/>
      <c r="E816" s="232"/>
      <c r="F816" s="210" t="s">
        <v>162</v>
      </c>
      <c r="G816" s="216">
        <v>12120002</v>
      </c>
      <c r="H816" s="212">
        <v>12120002</v>
      </c>
      <c r="I816" s="255">
        <v>50</v>
      </c>
      <c r="J816" s="568"/>
      <c r="L816" s="939"/>
      <c r="M816" s="948" t="s">
        <v>921</v>
      </c>
      <c r="N816" s="641" t="s">
        <v>897</v>
      </c>
      <c r="P816" s="942">
        <f t="shared" si="173"/>
        <v>-1</v>
      </c>
    </row>
    <row r="817" spans="2:16" hidden="1" x14ac:dyDescent="0.2">
      <c r="B817" s="90"/>
      <c r="C817" s="42"/>
      <c r="D817" s="42"/>
      <c r="E817" s="232"/>
      <c r="F817" s="210" t="s">
        <v>163</v>
      </c>
      <c r="G817" s="216">
        <v>12990011</v>
      </c>
      <c r="H817" s="212">
        <v>12990011</v>
      </c>
      <c r="I817" s="255">
        <v>175</v>
      </c>
      <c r="J817" s="568"/>
      <c r="L817" s="939"/>
      <c r="M817" s="948" t="s">
        <v>922</v>
      </c>
      <c r="N817" s="641" t="s">
        <v>897</v>
      </c>
      <c r="P817" s="942">
        <f t="shared" si="173"/>
        <v>-1</v>
      </c>
    </row>
    <row r="818" spans="2:16" hidden="1" x14ac:dyDescent="0.2">
      <c r="B818" s="90"/>
      <c r="C818" s="42"/>
      <c r="D818" s="42"/>
      <c r="E818" s="232"/>
      <c r="F818" s="210" t="s">
        <v>164</v>
      </c>
      <c r="G818" s="216">
        <v>13080094</v>
      </c>
      <c r="H818" s="212" t="s">
        <v>143</v>
      </c>
      <c r="I818" s="255">
        <v>291</v>
      </c>
      <c r="J818" s="568"/>
      <c r="L818" s="939"/>
      <c r="M818" s="948" t="s">
        <v>923</v>
      </c>
      <c r="N818" s="641" t="s">
        <v>897</v>
      </c>
      <c r="P818" s="942">
        <f t="shared" si="173"/>
        <v>-1</v>
      </c>
    </row>
    <row r="819" spans="2:16" hidden="1" x14ac:dyDescent="0.2">
      <c r="B819" s="90"/>
      <c r="C819" s="42"/>
      <c r="D819" s="42"/>
      <c r="E819" s="232"/>
      <c r="F819" s="210" t="s">
        <v>239</v>
      </c>
      <c r="G819" s="216">
        <v>13020124</v>
      </c>
      <c r="H819" s="212" t="s">
        <v>238</v>
      </c>
      <c r="I819" s="255">
        <v>1</v>
      </c>
      <c r="J819" s="568"/>
      <c r="L819" s="939"/>
      <c r="M819" s="948" t="s">
        <v>924</v>
      </c>
      <c r="N819" s="641" t="s">
        <v>897</v>
      </c>
      <c r="P819" s="942">
        <f t="shared" si="173"/>
        <v>-1</v>
      </c>
    </row>
    <row r="820" spans="2:16" hidden="1" x14ac:dyDescent="0.2">
      <c r="B820" s="90"/>
      <c r="C820" s="42"/>
      <c r="D820" s="42"/>
      <c r="E820" s="232"/>
      <c r="F820" s="210" t="s">
        <v>240</v>
      </c>
      <c r="G820" s="216" t="s">
        <v>242</v>
      </c>
      <c r="H820" s="212" t="s">
        <v>241</v>
      </c>
      <c r="I820" s="213">
        <v>6</v>
      </c>
      <c r="J820" s="568"/>
      <c r="L820" s="939"/>
      <c r="M820" s="947" t="s">
        <v>242</v>
      </c>
      <c r="N820" s="641" t="s">
        <v>897</v>
      </c>
      <c r="P820" s="942">
        <f t="shared" si="173"/>
        <v>-1</v>
      </c>
    </row>
    <row r="821" spans="2:16" hidden="1" x14ac:dyDescent="0.2">
      <c r="B821" s="90"/>
      <c r="C821" s="42"/>
      <c r="D821" s="42"/>
      <c r="E821" s="232"/>
      <c r="F821" s="210" t="s">
        <v>243</v>
      </c>
      <c r="G821" s="216" t="s">
        <v>245</v>
      </c>
      <c r="H821" s="212" t="s">
        <v>244</v>
      </c>
      <c r="I821" s="255">
        <v>32</v>
      </c>
      <c r="J821" s="568"/>
      <c r="L821" s="939"/>
      <c r="M821" s="947" t="s">
        <v>245</v>
      </c>
      <c r="N821" s="641" t="s">
        <v>897</v>
      </c>
      <c r="P821" s="942">
        <f t="shared" si="173"/>
        <v>-1</v>
      </c>
    </row>
    <row r="822" spans="2:16" hidden="1" x14ac:dyDescent="0.2">
      <c r="B822" s="90"/>
      <c r="C822" s="42"/>
      <c r="D822" s="42"/>
      <c r="E822" s="232"/>
      <c r="F822" s="210" t="s">
        <v>165</v>
      </c>
      <c r="G822" s="216">
        <v>10040032</v>
      </c>
      <c r="H822" s="212" t="s">
        <v>144</v>
      </c>
      <c r="I822" s="255">
        <v>326</v>
      </c>
      <c r="J822" s="568"/>
      <c r="L822" s="939"/>
      <c r="M822" s="948" t="s">
        <v>925</v>
      </c>
      <c r="N822" s="641" t="s">
        <v>910</v>
      </c>
      <c r="P822" s="942">
        <f t="shared" si="173"/>
        <v>-1</v>
      </c>
    </row>
    <row r="823" spans="2:16" hidden="1" x14ac:dyDescent="0.2">
      <c r="B823" s="90"/>
      <c r="C823" s="42"/>
      <c r="D823" s="42"/>
      <c r="E823" s="232"/>
      <c r="F823" s="210" t="s">
        <v>166</v>
      </c>
      <c r="G823" s="216">
        <v>10040079</v>
      </c>
      <c r="H823" s="212" t="s">
        <v>145</v>
      </c>
      <c r="I823" s="255">
        <v>25</v>
      </c>
      <c r="J823" s="568"/>
      <c r="L823" s="939"/>
      <c r="M823" s="948" t="s">
        <v>926</v>
      </c>
      <c r="N823" s="641" t="s">
        <v>910</v>
      </c>
      <c r="P823" s="942">
        <f t="shared" si="173"/>
        <v>-1</v>
      </c>
    </row>
    <row r="824" spans="2:16" hidden="1" x14ac:dyDescent="0.2">
      <c r="B824" s="90"/>
      <c r="C824" s="42"/>
      <c r="D824" s="42"/>
      <c r="E824" s="232"/>
      <c r="F824" s="210" t="s">
        <v>167</v>
      </c>
      <c r="G824" s="216">
        <v>10040076</v>
      </c>
      <c r="H824" s="212" t="s">
        <v>146</v>
      </c>
      <c r="I824" s="255">
        <v>60</v>
      </c>
      <c r="J824" s="568"/>
      <c r="L824" s="939"/>
      <c r="M824" s="948" t="s">
        <v>927</v>
      </c>
      <c r="N824" s="641" t="s">
        <v>910</v>
      </c>
      <c r="P824" s="942">
        <f t="shared" si="173"/>
        <v>-1</v>
      </c>
    </row>
    <row r="825" spans="2:16" hidden="1" x14ac:dyDescent="0.2">
      <c r="B825" s="90"/>
      <c r="C825" s="42"/>
      <c r="D825" s="42"/>
      <c r="E825" s="232"/>
      <c r="F825" s="210" t="s">
        <v>168</v>
      </c>
      <c r="G825" s="216">
        <v>13120005</v>
      </c>
      <c r="H825" s="212" t="s">
        <v>147</v>
      </c>
      <c r="I825" s="255">
        <v>115</v>
      </c>
      <c r="J825" s="568"/>
      <c r="L825" s="939"/>
      <c r="M825" s="948" t="s">
        <v>928</v>
      </c>
      <c r="N825" s="641" t="s">
        <v>897</v>
      </c>
      <c r="P825" s="942">
        <f t="shared" si="173"/>
        <v>-1</v>
      </c>
    </row>
    <row r="826" spans="2:16" hidden="1" x14ac:dyDescent="0.2">
      <c r="B826" s="90"/>
      <c r="C826" s="42"/>
      <c r="D826" s="42"/>
      <c r="E826" s="232"/>
      <c r="F826" s="210"/>
      <c r="G826" s="216"/>
      <c r="H826" s="212"/>
      <c r="I826" s="255"/>
      <c r="J826" s="568"/>
      <c r="L826" s="939"/>
      <c r="M826" s="947"/>
      <c r="P826" s="942" t="str">
        <f t="shared" si="173"/>
        <v/>
      </c>
    </row>
    <row r="827" spans="2:16" hidden="1" x14ac:dyDescent="0.2">
      <c r="B827" s="90"/>
      <c r="C827" s="42"/>
      <c r="D827" s="42"/>
      <c r="E827" s="232" t="s">
        <v>151</v>
      </c>
      <c r="F827" s="210" t="s">
        <v>169</v>
      </c>
      <c r="G827" s="216">
        <v>10020069</v>
      </c>
      <c r="H827" s="212" t="s">
        <v>148</v>
      </c>
      <c r="I827" s="255">
        <v>265</v>
      </c>
      <c r="J827" s="568"/>
      <c r="L827" s="939"/>
      <c r="M827" s="948" t="s">
        <v>929</v>
      </c>
      <c r="N827" s="641" t="s">
        <v>910</v>
      </c>
      <c r="P827" s="942">
        <f t="shared" si="173"/>
        <v>-1</v>
      </c>
    </row>
    <row r="828" spans="2:16" hidden="1" x14ac:dyDescent="0.2">
      <c r="B828" s="90"/>
      <c r="C828" s="42"/>
      <c r="D828" s="42"/>
      <c r="E828" s="232"/>
      <c r="F828" s="210" t="s">
        <v>170</v>
      </c>
      <c r="G828" s="216">
        <v>10020075</v>
      </c>
      <c r="H828" s="212" t="s">
        <v>149</v>
      </c>
      <c r="I828" s="255">
        <v>320</v>
      </c>
      <c r="J828" s="568"/>
      <c r="L828" s="939"/>
      <c r="M828" s="948" t="s">
        <v>930</v>
      </c>
      <c r="N828" s="641" t="s">
        <v>910</v>
      </c>
      <c r="P828" s="942">
        <f t="shared" si="173"/>
        <v>-1</v>
      </c>
    </row>
    <row r="829" spans="2:16" hidden="1" x14ac:dyDescent="0.2">
      <c r="B829" s="90"/>
      <c r="C829" s="42"/>
      <c r="D829" s="42"/>
      <c r="E829" s="232"/>
      <c r="F829" s="210" t="s">
        <v>581</v>
      </c>
      <c r="G829" s="216" t="s">
        <v>583</v>
      </c>
      <c r="H829" s="212" t="s">
        <v>582</v>
      </c>
      <c r="I829" s="255">
        <v>92</v>
      </c>
      <c r="J829" s="568"/>
      <c r="L829" s="939"/>
      <c r="M829" s="947" t="s">
        <v>583</v>
      </c>
      <c r="N829" s="641" t="s">
        <v>897</v>
      </c>
      <c r="P829" s="942">
        <f t="shared" si="173"/>
        <v>-1</v>
      </c>
    </row>
    <row r="830" spans="2:16" hidden="1" x14ac:dyDescent="0.2">
      <c r="B830" s="90"/>
      <c r="C830" s="42"/>
      <c r="D830" s="42"/>
      <c r="E830" s="232"/>
      <c r="F830" s="210"/>
      <c r="G830" s="216"/>
      <c r="H830" s="212"/>
      <c r="I830" s="255"/>
      <c r="J830" s="568"/>
      <c r="L830" s="939"/>
      <c r="M830" s="947"/>
      <c r="P830" s="942" t="str">
        <f t="shared" si="173"/>
        <v/>
      </c>
    </row>
    <row r="831" spans="2:16" hidden="1" x14ac:dyDescent="0.2">
      <c r="B831" s="90"/>
      <c r="C831" s="42"/>
      <c r="D831" s="42"/>
      <c r="E831" s="232" t="s">
        <v>150</v>
      </c>
      <c r="F831" s="210" t="s">
        <v>174</v>
      </c>
      <c r="G831" s="216">
        <v>10040059</v>
      </c>
      <c r="H831" s="212">
        <v>930153185</v>
      </c>
      <c r="I831" s="255">
        <v>1840</v>
      </c>
      <c r="J831" s="568"/>
      <c r="L831" s="939"/>
      <c r="M831" s="948" t="s">
        <v>931</v>
      </c>
      <c r="N831" s="641" t="s">
        <v>910</v>
      </c>
      <c r="P831" s="942">
        <f t="shared" si="173"/>
        <v>-1</v>
      </c>
    </row>
    <row r="832" spans="2:16" hidden="1" x14ac:dyDescent="0.2">
      <c r="B832" s="90"/>
      <c r="C832" s="42"/>
      <c r="D832" s="42"/>
      <c r="E832" s="232"/>
      <c r="F832" s="210" t="s">
        <v>175</v>
      </c>
      <c r="G832" s="216">
        <v>10040024</v>
      </c>
      <c r="H832" s="212">
        <v>930153183</v>
      </c>
      <c r="I832" s="255">
        <v>1840</v>
      </c>
      <c r="J832" s="568"/>
      <c r="L832" s="939"/>
      <c r="M832" s="948" t="s">
        <v>932</v>
      </c>
      <c r="N832" s="641" t="s">
        <v>910</v>
      </c>
      <c r="P832" s="942">
        <f t="shared" si="173"/>
        <v>-1</v>
      </c>
    </row>
    <row r="833" spans="2:16" hidden="1" x14ac:dyDescent="0.2">
      <c r="B833" s="90"/>
      <c r="C833" s="42"/>
      <c r="D833" s="42"/>
      <c r="E833" s="232"/>
      <c r="F833" s="210" t="s">
        <v>176</v>
      </c>
      <c r="G833" s="216">
        <v>10040069</v>
      </c>
      <c r="H833" s="212">
        <v>931061318</v>
      </c>
      <c r="I833" s="255">
        <v>3050</v>
      </c>
      <c r="J833" s="568"/>
      <c r="L833" s="939"/>
      <c r="M833" s="948" t="s">
        <v>933</v>
      </c>
      <c r="N833" s="641" t="s">
        <v>910</v>
      </c>
      <c r="P833" s="942">
        <f t="shared" si="173"/>
        <v>-1</v>
      </c>
    </row>
    <row r="834" spans="2:16" hidden="1" x14ac:dyDescent="0.2">
      <c r="B834" s="90"/>
      <c r="C834" s="42"/>
      <c r="D834" s="42"/>
      <c r="E834" s="232"/>
      <c r="F834" s="210" t="s">
        <v>177</v>
      </c>
      <c r="G834" s="216">
        <v>10040075</v>
      </c>
      <c r="H834" s="212">
        <v>931061321</v>
      </c>
      <c r="I834" s="255">
        <v>3725</v>
      </c>
      <c r="J834" s="568"/>
      <c r="L834" s="939"/>
      <c r="M834" s="948" t="s">
        <v>934</v>
      </c>
      <c r="N834" s="641" t="s">
        <v>910</v>
      </c>
      <c r="P834" s="942">
        <f t="shared" si="173"/>
        <v>-1</v>
      </c>
    </row>
    <row r="835" spans="2:16" hidden="1" x14ac:dyDescent="0.2">
      <c r="B835" s="90"/>
      <c r="C835" s="42"/>
      <c r="D835" s="42"/>
      <c r="E835" s="232"/>
      <c r="F835" s="210" t="s">
        <v>178</v>
      </c>
      <c r="G835" s="216">
        <v>10020065</v>
      </c>
      <c r="H835" s="212">
        <v>937501028</v>
      </c>
      <c r="I835" s="255">
        <v>3950</v>
      </c>
      <c r="J835" s="568"/>
      <c r="L835" s="939"/>
      <c r="M835" s="948" t="s">
        <v>935</v>
      </c>
      <c r="N835" s="641" t="s">
        <v>910</v>
      </c>
      <c r="P835" s="942">
        <f t="shared" si="173"/>
        <v>-1</v>
      </c>
    </row>
    <row r="836" spans="2:16" hidden="1" x14ac:dyDescent="0.2">
      <c r="B836" s="90"/>
      <c r="C836" s="42"/>
      <c r="D836" s="42"/>
      <c r="E836" s="232"/>
      <c r="F836" s="210" t="s">
        <v>179</v>
      </c>
      <c r="G836" s="216">
        <v>10020070</v>
      </c>
      <c r="H836" s="212" t="s">
        <v>152</v>
      </c>
      <c r="I836" s="255">
        <v>6800</v>
      </c>
      <c r="J836" s="568"/>
      <c r="L836" s="939"/>
      <c r="M836" s="948" t="s">
        <v>936</v>
      </c>
      <c r="N836" s="641" t="s">
        <v>910</v>
      </c>
      <c r="P836" s="942">
        <f t="shared" si="173"/>
        <v>-1</v>
      </c>
    </row>
    <row r="837" spans="2:16" hidden="1" x14ac:dyDescent="0.2">
      <c r="B837" s="90"/>
      <c r="C837" s="42"/>
      <c r="D837" s="42"/>
      <c r="E837" s="232"/>
      <c r="F837" s="210" t="s">
        <v>180</v>
      </c>
      <c r="G837" s="216">
        <v>10040043</v>
      </c>
      <c r="H837" s="212">
        <v>931351010</v>
      </c>
      <c r="I837" s="255">
        <v>5175</v>
      </c>
      <c r="J837" s="568"/>
      <c r="L837" s="939"/>
      <c r="M837" s="948" t="s">
        <v>937</v>
      </c>
      <c r="N837" s="641" t="s">
        <v>910</v>
      </c>
      <c r="P837" s="942">
        <f t="shared" si="173"/>
        <v>-1</v>
      </c>
    </row>
    <row r="838" spans="2:16" hidden="1" x14ac:dyDescent="0.2">
      <c r="B838" s="90"/>
      <c r="C838" s="42"/>
      <c r="D838" s="42"/>
      <c r="E838" s="232"/>
      <c r="F838" s="210" t="s">
        <v>181</v>
      </c>
      <c r="G838" s="216">
        <v>10040044</v>
      </c>
      <c r="H838" s="212">
        <v>931351060</v>
      </c>
      <c r="I838" s="255">
        <v>6650</v>
      </c>
      <c r="J838" s="568"/>
      <c r="L838" s="939"/>
      <c r="M838" s="948" t="s">
        <v>938</v>
      </c>
      <c r="N838" s="641" t="s">
        <v>910</v>
      </c>
      <c r="P838" s="942">
        <f t="shared" si="173"/>
        <v>-1</v>
      </c>
    </row>
    <row r="839" spans="2:16" hidden="1" x14ac:dyDescent="0.2">
      <c r="B839" s="90"/>
      <c r="C839" s="42"/>
      <c r="D839" s="42"/>
      <c r="E839" s="232"/>
      <c r="F839" s="210"/>
      <c r="G839" s="216"/>
      <c r="H839" s="212"/>
      <c r="I839" s="255"/>
      <c r="J839" s="568"/>
      <c r="L839" s="939"/>
      <c r="M839" s="947"/>
      <c r="P839" s="942" t="str">
        <f t="shared" si="173"/>
        <v/>
      </c>
    </row>
    <row r="840" spans="2:16" hidden="1" x14ac:dyDescent="0.2">
      <c r="B840" s="90"/>
      <c r="C840" s="42"/>
      <c r="D840" s="42"/>
      <c r="E840" s="232"/>
      <c r="F840" s="210" t="s">
        <v>157</v>
      </c>
      <c r="G840" s="216"/>
      <c r="H840" s="212"/>
      <c r="I840" s="255"/>
      <c r="J840" s="568"/>
      <c r="L840" s="939"/>
      <c r="M840" s="947"/>
      <c r="P840" s="942" t="str">
        <f t="shared" si="173"/>
        <v/>
      </c>
    </row>
    <row r="841" spans="2:16" hidden="1" x14ac:dyDescent="0.2">
      <c r="B841" s="90"/>
      <c r="C841" s="42"/>
      <c r="D841" s="42"/>
      <c r="E841" s="232" t="s">
        <v>156</v>
      </c>
      <c r="F841" s="210" t="s">
        <v>168</v>
      </c>
      <c r="G841" s="216">
        <v>13120005</v>
      </c>
      <c r="H841" s="212" t="s">
        <v>147</v>
      </c>
      <c r="I841" s="255">
        <v>115</v>
      </c>
      <c r="J841" s="568"/>
      <c r="L841" s="939"/>
      <c r="M841" s="948" t="s">
        <v>928</v>
      </c>
      <c r="N841" s="641" t="s">
        <v>897</v>
      </c>
      <c r="P841" s="942">
        <f t="shared" si="173"/>
        <v>-1</v>
      </c>
    </row>
    <row r="842" spans="2:16" hidden="1" x14ac:dyDescent="0.2">
      <c r="B842" s="90"/>
      <c r="C842" s="42"/>
      <c r="D842" s="42"/>
      <c r="E842" s="232"/>
      <c r="F842" s="210" t="s">
        <v>171</v>
      </c>
      <c r="G842" s="216">
        <v>13120026</v>
      </c>
      <c r="H842" s="212" t="s">
        <v>153</v>
      </c>
      <c r="I842" s="255">
        <v>95</v>
      </c>
      <c r="J842" s="568"/>
      <c r="L842" s="939"/>
      <c r="M842" s="948" t="s">
        <v>939</v>
      </c>
      <c r="N842" s="641" t="s">
        <v>897</v>
      </c>
      <c r="P842" s="942">
        <f t="shared" si="173"/>
        <v>-1</v>
      </c>
    </row>
    <row r="843" spans="2:16" hidden="1" x14ac:dyDescent="0.2">
      <c r="B843" s="90"/>
      <c r="C843" s="42"/>
      <c r="D843" s="42"/>
      <c r="E843" s="232"/>
      <c r="F843" s="210" t="s">
        <v>172</v>
      </c>
      <c r="G843" s="216">
        <v>13120027</v>
      </c>
      <c r="H843" s="212" t="s">
        <v>154</v>
      </c>
      <c r="I843" s="255">
        <v>137</v>
      </c>
      <c r="J843" s="568"/>
      <c r="L843" s="939"/>
      <c r="M843" s="948" t="s">
        <v>940</v>
      </c>
      <c r="N843" s="641" t="s">
        <v>897</v>
      </c>
      <c r="P843" s="942">
        <f t="shared" si="173"/>
        <v>-1</v>
      </c>
    </row>
    <row r="844" spans="2:16" hidden="1" x14ac:dyDescent="0.2">
      <c r="B844" s="90"/>
      <c r="C844" s="42"/>
      <c r="D844" s="42"/>
      <c r="E844" s="232"/>
      <c r="F844" s="210" t="s">
        <v>173</v>
      </c>
      <c r="G844" s="216">
        <v>13120028</v>
      </c>
      <c r="H844" s="212" t="s">
        <v>155</v>
      </c>
      <c r="I844" s="255">
        <v>180</v>
      </c>
      <c r="J844" s="568"/>
      <c r="L844" s="939"/>
      <c r="M844" s="948" t="s">
        <v>941</v>
      </c>
      <c r="N844" s="641" t="s">
        <v>897</v>
      </c>
      <c r="P844" s="942">
        <f t="shared" si="173"/>
        <v>-1</v>
      </c>
    </row>
    <row r="845" spans="2:16" hidden="1" x14ac:dyDescent="0.2">
      <c r="B845" s="90"/>
      <c r="C845" s="42"/>
      <c r="D845" s="42"/>
      <c r="E845" s="232"/>
      <c r="F845" s="210"/>
      <c r="G845" s="216"/>
      <c r="H845" s="212"/>
      <c r="I845" s="255"/>
      <c r="J845" s="568"/>
      <c r="L845" s="939"/>
      <c r="M845" s="947"/>
      <c r="P845" s="942" t="str">
        <f t="shared" si="173"/>
        <v/>
      </c>
    </row>
    <row r="846" spans="2:16" hidden="1" x14ac:dyDescent="0.2">
      <c r="B846" s="90"/>
      <c r="C846" s="42"/>
      <c r="D846" s="42"/>
      <c r="E846" s="251" t="s">
        <v>201</v>
      </c>
      <c r="F846" s="210" t="s">
        <v>182</v>
      </c>
      <c r="G846" s="216">
        <v>12990007</v>
      </c>
      <c r="H846" s="212">
        <v>12990007</v>
      </c>
      <c r="I846" s="255">
        <v>6455</v>
      </c>
      <c r="J846" s="568"/>
      <c r="L846" s="939"/>
      <c r="M846" s="948" t="s">
        <v>942</v>
      </c>
      <c r="N846" s="641" t="s">
        <v>897</v>
      </c>
      <c r="P846" s="942">
        <f t="shared" si="173"/>
        <v>-1</v>
      </c>
    </row>
    <row r="847" spans="2:16" hidden="1" x14ac:dyDescent="0.2">
      <c r="B847" s="90"/>
      <c r="C847" s="42"/>
      <c r="D847" s="42"/>
      <c r="E847" s="232"/>
      <c r="F847" s="210" t="s">
        <v>183</v>
      </c>
      <c r="G847" s="216">
        <v>12990002</v>
      </c>
      <c r="H847" s="212">
        <v>12990002</v>
      </c>
      <c r="I847" s="255">
        <v>6725</v>
      </c>
      <c r="J847" s="568"/>
      <c r="L847" s="939"/>
      <c r="M847" s="948" t="s">
        <v>943</v>
      </c>
      <c r="N847" s="641" t="s">
        <v>897</v>
      </c>
      <c r="P847" s="942">
        <f t="shared" si="173"/>
        <v>-1</v>
      </c>
    </row>
    <row r="848" spans="2:16" hidden="1" x14ac:dyDescent="0.2">
      <c r="B848" s="90"/>
      <c r="C848" s="42"/>
      <c r="D848" s="42"/>
      <c r="E848" s="232"/>
      <c r="F848" s="210" t="s">
        <v>184</v>
      </c>
      <c r="G848" s="216">
        <v>12990006</v>
      </c>
      <c r="H848" s="212">
        <v>12990006</v>
      </c>
      <c r="I848" s="255">
        <v>13367</v>
      </c>
      <c r="J848" s="568"/>
      <c r="L848" s="939"/>
      <c r="M848" s="948" t="s">
        <v>944</v>
      </c>
      <c r="N848" s="641" t="s">
        <v>897</v>
      </c>
      <c r="P848" s="942">
        <f t="shared" si="173"/>
        <v>-1</v>
      </c>
    </row>
    <row r="849" spans="2:16" hidden="1" x14ac:dyDescent="0.2">
      <c r="B849" s="90"/>
      <c r="C849" s="42"/>
      <c r="D849" s="42"/>
      <c r="E849" s="232"/>
      <c r="F849" s="210" t="s">
        <v>182</v>
      </c>
      <c r="G849" s="216">
        <v>12990003</v>
      </c>
      <c r="H849" s="212">
        <v>12990003</v>
      </c>
      <c r="I849" s="255">
        <v>6925</v>
      </c>
      <c r="J849" s="568"/>
      <c r="L849" s="939"/>
      <c r="M849" s="948" t="s">
        <v>945</v>
      </c>
      <c r="N849" s="641" t="s">
        <v>897</v>
      </c>
      <c r="P849" s="942">
        <f t="shared" si="173"/>
        <v>-1</v>
      </c>
    </row>
    <row r="850" spans="2:16" hidden="1" x14ac:dyDescent="0.2">
      <c r="B850" s="90"/>
      <c r="C850" s="42"/>
      <c r="D850" s="42"/>
      <c r="E850" s="232"/>
      <c r="F850" s="210" t="s">
        <v>185</v>
      </c>
      <c r="G850" s="216">
        <v>12990004</v>
      </c>
      <c r="H850" s="212">
        <v>12990004</v>
      </c>
      <c r="I850" s="255">
        <v>7835</v>
      </c>
      <c r="J850" s="568"/>
      <c r="L850" s="939"/>
      <c r="M850" s="948" t="s">
        <v>946</v>
      </c>
      <c r="N850" s="641" t="s">
        <v>897</v>
      </c>
      <c r="P850" s="942">
        <f t="shared" si="173"/>
        <v>-1</v>
      </c>
    </row>
    <row r="851" spans="2:16" hidden="1" x14ac:dyDescent="0.2">
      <c r="B851" s="90"/>
      <c r="C851" s="42"/>
      <c r="D851" s="42"/>
      <c r="E851" s="232"/>
      <c r="F851" s="210"/>
      <c r="G851" s="216"/>
      <c r="H851" s="212"/>
      <c r="I851" s="255"/>
      <c r="J851" s="568"/>
      <c r="L851" s="939"/>
      <c r="M851" s="947"/>
      <c r="P851" s="942" t="str">
        <f t="shared" si="173"/>
        <v/>
      </c>
    </row>
    <row r="852" spans="2:16" hidden="1" x14ac:dyDescent="0.2">
      <c r="B852" s="90"/>
      <c r="C852" s="42"/>
      <c r="D852" s="42"/>
      <c r="E852" s="232"/>
      <c r="F852" s="210" t="s">
        <v>260</v>
      </c>
      <c r="G852" s="216" t="s">
        <v>250</v>
      </c>
      <c r="H852" s="212" t="s">
        <v>251</v>
      </c>
      <c r="I852" s="255">
        <v>3950</v>
      </c>
      <c r="J852" s="568"/>
      <c r="L852" s="939"/>
      <c r="M852" s="947" t="s">
        <v>250</v>
      </c>
      <c r="N852" s="641" t="s">
        <v>897</v>
      </c>
      <c r="P852" s="942">
        <f t="shared" si="173"/>
        <v>-1</v>
      </c>
    </row>
    <row r="853" spans="2:16" hidden="1" x14ac:dyDescent="0.2">
      <c r="B853" s="90"/>
      <c r="C853" s="42"/>
      <c r="D853" s="42"/>
      <c r="E853" s="232"/>
      <c r="F853" s="210" t="s">
        <v>259</v>
      </c>
      <c r="G853" s="216" t="s">
        <v>1454</v>
      </c>
      <c r="H853" s="212" t="s">
        <v>1455</v>
      </c>
      <c r="I853" s="255">
        <v>4990</v>
      </c>
      <c r="J853" s="568"/>
      <c r="L853" s="939"/>
      <c r="M853" s="947" t="s">
        <v>252</v>
      </c>
      <c r="N853" s="641" t="s">
        <v>897</v>
      </c>
      <c r="P853" s="942">
        <f t="shared" si="173"/>
        <v>-1</v>
      </c>
    </row>
    <row r="854" spans="2:16" hidden="1" x14ac:dyDescent="0.2">
      <c r="B854" s="90"/>
      <c r="C854" s="42"/>
      <c r="D854" s="42"/>
      <c r="E854" s="232"/>
      <c r="F854" s="210" t="s">
        <v>258</v>
      </c>
      <c r="G854" s="216" t="s">
        <v>253</v>
      </c>
      <c r="H854" s="212" t="s">
        <v>254</v>
      </c>
      <c r="I854" s="255">
        <v>2090</v>
      </c>
      <c r="J854" s="568"/>
      <c r="L854" s="939"/>
      <c r="M854" s="947" t="s">
        <v>253</v>
      </c>
      <c r="N854" s="641" t="s">
        <v>897</v>
      </c>
      <c r="P854" s="942">
        <f t="shared" si="173"/>
        <v>-1</v>
      </c>
    </row>
    <row r="855" spans="2:16" hidden="1" x14ac:dyDescent="0.2">
      <c r="B855" s="90"/>
      <c r="C855" s="42"/>
      <c r="D855" s="42"/>
      <c r="E855" s="232"/>
      <c r="F855" s="210" t="s">
        <v>257</v>
      </c>
      <c r="G855" s="216" t="s">
        <v>255</v>
      </c>
      <c r="H855" s="212" t="s">
        <v>256</v>
      </c>
      <c r="I855" s="255">
        <v>2035</v>
      </c>
      <c r="J855" s="568"/>
      <c r="L855" s="939"/>
      <c r="M855" s="947" t="s">
        <v>255</v>
      </c>
      <c r="N855" s="641" t="s">
        <v>897</v>
      </c>
      <c r="P855" s="942">
        <f t="shared" si="173"/>
        <v>-1</v>
      </c>
    </row>
    <row r="856" spans="2:16" hidden="1" x14ac:dyDescent="0.2">
      <c r="B856" s="90"/>
      <c r="C856" s="42"/>
      <c r="D856" s="42"/>
      <c r="E856" s="232"/>
      <c r="F856" s="210" t="s">
        <v>264</v>
      </c>
      <c r="G856" s="216" t="s">
        <v>262</v>
      </c>
      <c r="H856" s="212">
        <v>1041547</v>
      </c>
      <c r="I856" s="255">
        <v>225</v>
      </c>
      <c r="J856" s="568"/>
      <c r="L856" s="939"/>
      <c r="M856" s="947" t="s">
        <v>262</v>
      </c>
      <c r="N856" s="641" t="s">
        <v>910</v>
      </c>
      <c r="P856" s="942">
        <f t="shared" si="173"/>
        <v>-1</v>
      </c>
    </row>
    <row r="857" spans="2:16" hidden="1" x14ac:dyDescent="0.2">
      <c r="B857" s="90"/>
      <c r="C857" s="42"/>
      <c r="D857" s="42"/>
      <c r="E857" s="232"/>
      <c r="F857" s="210" t="s">
        <v>268</v>
      </c>
      <c r="G857" s="216" t="s">
        <v>267</v>
      </c>
      <c r="H857" s="212">
        <v>2020410</v>
      </c>
      <c r="I857" s="255">
        <v>15</v>
      </c>
      <c r="J857" s="568"/>
      <c r="L857" s="939"/>
      <c r="M857" s="947" t="s">
        <v>267</v>
      </c>
      <c r="N857" s="641" t="s">
        <v>910</v>
      </c>
      <c r="P857" s="942">
        <f t="shared" si="173"/>
        <v>-1</v>
      </c>
    </row>
    <row r="858" spans="2:16" hidden="1" x14ac:dyDescent="0.2">
      <c r="B858" s="90"/>
      <c r="C858" s="42"/>
      <c r="D858" s="42"/>
      <c r="E858" s="232"/>
      <c r="F858" s="210" t="s">
        <v>265</v>
      </c>
      <c r="G858" s="216" t="s">
        <v>263</v>
      </c>
      <c r="H858" s="212">
        <v>1042023</v>
      </c>
      <c r="I858" s="255">
        <v>4390</v>
      </c>
      <c r="J858" s="568"/>
      <c r="L858" s="939"/>
      <c r="M858" s="947" t="s">
        <v>263</v>
      </c>
      <c r="N858" s="641" t="s">
        <v>910</v>
      </c>
      <c r="P858" s="942">
        <f t="shared" si="173"/>
        <v>-1</v>
      </c>
    </row>
    <row r="859" spans="2:16" hidden="1" x14ac:dyDescent="0.2">
      <c r="B859" s="90"/>
      <c r="C859" s="42"/>
      <c r="D859" s="42"/>
      <c r="E859" s="232"/>
      <c r="F859" s="210" t="s">
        <v>269</v>
      </c>
      <c r="G859" s="216" t="s">
        <v>266</v>
      </c>
      <c r="H859" s="212">
        <v>2042800</v>
      </c>
      <c r="I859" s="255">
        <v>39</v>
      </c>
      <c r="J859" s="568"/>
      <c r="L859" s="939"/>
      <c r="M859" s="947" t="s">
        <v>266</v>
      </c>
      <c r="N859" s="641" t="s">
        <v>910</v>
      </c>
      <c r="P859" s="942">
        <f t="shared" si="173"/>
        <v>-1</v>
      </c>
    </row>
    <row r="860" spans="2:16" hidden="1" x14ac:dyDescent="0.2">
      <c r="B860" s="90"/>
      <c r="C860" s="42"/>
      <c r="D860" s="42"/>
      <c r="E860" s="232"/>
      <c r="F860" s="210" t="s">
        <v>272</v>
      </c>
      <c r="G860" s="216" t="s">
        <v>270</v>
      </c>
      <c r="H860" s="212" t="s">
        <v>271</v>
      </c>
      <c r="I860" s="255">
        <v>47</v>
      </c>
      <c r="J860" s="568"/>
      <c r="L860" s="939"/>
      <c r="M860" s="947" t="s">
        <v>270</v>
      </c>
      <c r="N860" s="641" t="s">
        <v>897</v>
      </c>
      <c r="P860" s="942">
        <f t="shared" si="173"/>
        <v>-1</v>
      </c>
    </row>
    <row r="861" spans="2:16" hidden="1" x14ac:dyDescent="0.2">
      <c r="B861" s="90"/>
      <c r="C861" s="42"/>
      <c r="D861" s="42"/>
      <c r="E861" s="232"/>
      <c r="F861" s="210" t="s">
        <v>276</v>
      </c>
      <c r="G861" s="216" t="s">
        <v>273</v>
      </c>
      <c r="H861" s="212" t="s">
        <v>274</v>
      </c>
      <c r="I861" s="255">
        <v>225</v>
      </c>
      <c r="J861" s="568"/>
      <c r="L861" s="939"/>
      <c r="M861" s="947" t="s">
        <v>273</v>
      </c>
      <c r="N861" s="641" t="s">
        <v>910</v>
      </c>
      <c r="P861" s="942">
        <f t="shared" si="173"/>
        <v>-1</v>
      </c>
    </row>
    <row r="862" spans="2:16" hidden="1" x14ac:dyDescent="0.2">
      <c r="B862" s="90"/>
      <c r="C862" s="42"/>
      <c r="D862" s="42"/>
      <c r="E862" s="232"/>
      <c r="F862" s="210" t="s">
        <v>277</v>
      </c>
      <c r="G862" s="216" t="s">
        <v>275</v>
      </c>
      <c r="H862" s="212">
        <v>6030928</v>
      </c>
      <c r="I862" s="255">
        <v>197</v>
      </c>
      <c r="J862" s="568"/>
      <c r="L862" s="939"/>
      <c r="M862" s="947" t="s">
        <v>275</v>
      </c>
      <c r="N862" s="641" t="s">
        <v>910</v>
      </c>
      <c r="P862" s="942">
        <f t="shared" si="173"/>
        <v>-1</v>
      </c>
    </row>
    <row r="863" spans="2:16" hidden="1" x14ac:dyDescent="0.2">
      <c r="B863" s="90"/>
      <c r="C863" s="42"/>
      <c r="D863" s="42"/>
      <c r="E863" s="232"/>
      <c r="F863" s="210" t="s">
        <v>279</v>
      </c>
      <c r="G863" s="216" t="s">
        <v>278</v>
      </c>
      <c r="H863" s="212">
        <v>6034415</v>
      </c>
      <c r="I863" s="255">
        <v>130</v>
      </c>
      <c r="J863" s="568"/>
      <c r="L863" s="939"/>
      <c r="M863" s="947" t="s">
        <v>278</v>
      </c>
      <c r="N863" s="641" t="s">
        <v>910</v>
      </c>
      <c r="P863" s="942">
        <f t="shared" si="173"/>
        <v>-1</v>
      </c>
    </row>
    <row r="864" spans="2:16" hidden="1" x14ac:dyDescent="0.2">
      <c r="B864" s="90"/>
      <c r="C864" s="42"/>
      <c r="D864" s="42"/>
      <c r="E864" s="232"/>
      <c r="F864" s="210"/>
      <c r="G864" s="216"/>
      <c r="H864" s="212"/>
      <c r="I864" s="255"/>
      <c r="J864" s="568"/>
      <c r="L864" s="939"/>
      <c r="M864" s="947"/>
      <c r="P864" s="942" t="str">
        <f t="shared" si="173"/>
        <v/>
      </c>
    </row>
    <row r="865" spans="2:16" hidden="1" x14ac:dyDescent="0.2">
      <c r="B865" s="90"/>
      <c r="C865" s="42"/>
      <c r="D865" s="42"/>
      <c r="E865" s="232" t="s">
        <v>802</v>
      </c>
      <c r="F865" s="210" t="s">
        <v>807</v>
      </c>
      <c r="G865" s="216" t="s">
        <v>803</v>
      </c>
      <c r="H865" s="212" t="s">
        <v>828</v>
      </c>
      <c r="I865" s="255">
        <v>1500</v>
      </c>
      <c r="J865" s="568"/>
      <c r="L865" s="939"/>
      <c r="M865" s="947" t="s">
        <v>803</v>
      </c>
      <c r="N865" s="641" t="s">
        <v>897</v>
      </c>
      <c r="P865" s="942">
        <f t="shared" si="173"/>
        <v>-1</v>
      </c>
    </row>
    <row r="866" spans="2:16" hidden="1" x14ac:dyDescent="0.2">
      <c r="B866" s="90"/>
      <c r="C866" s="42"/>
      <c r="D866" s="42"/>
      <c r="E866" s="232"/>
      <c r="F866" s="210" t="s">
        <v>808</v>
      </c>
      <c r="G866" s="216" t="s">
        <v>804</v>
      </c>
      <c r="H866" s="212" t="s">
        <v>195</v>
      </c>
      <c r="I866" s="255">
        <v>900</v>
      </c>
      <c r="J866" s="568"/>
      <c r="L866" s="939"/>
      <c r="M866" s="947" t="s">
        <v>804</v>
      </c>
      <c r="N866" s="641" t="s">
        <v>910</v>
      </c>
      <c r="P866" s="942">
        <f t="shared" si="173"/>
        <v>-1</v>
      </c>
    </row>
    <row r="867" spans="2:16" hidden="1" x14ac:dyDescent="0.2">
      <c r="B867" s="90"/>
      <c r="C867" s="42"/>
      <c r="D867" s="42"/>
      <c r="E867" s="232"/>
      <c r="F867" s="210" t="s">
        <v>824</v>
      </c>
      <c r="G867" s="216" t="s">
        <v>822</v>
      </c>
      <c r="H867" s="212" t="s">
        <v>823</v>
      </c>
      <c r="I867" s="255">
        <f>325+35</f>
        <v>360</v>
      </c>
      <c r="J867" s="568"/>
      <c r="L867" s="939"/>
      <c r="M867" s="947" t="s">
        <v>822</v>
      </c>
      <c r="N867" s="641" t="s">
        <v>910</v>
      </c>
      <c r="P867" s="942">
        <f t="shared" si="173"/>
        <v>-1</v>
      </c>
    </row>
    <row r="868" spans="2:16" hidden="1" x14ac:dyDescent="0.2">
      <c r="B868" s="90"/>
      <c r="C868" s="42"/>
      <c r="D868" s="42"/>
      <c r="E868" s="232"/>
      <c r="F868" s="210"/>
      <c r="G868" s="216"/>
      <c r="H868" s="212"/>
      <c r="I868" s="255"/>
      <c r="J868" s="568"/>
      <c r="L868" s="939"/>
      <c r="M868" s="947"/>
      <c r="P868" s="942" t="str">
        <f t="shared" si="173"/>
        <v/>
      </c>
    </row>
    <row r="869" spans="2:16" hidden="1" x14ac:dyDescent="0.2">
      <c r="B869" s="90"/>
      <c r="C869" s="42"/>
      <c r="D869" s="42"/>
      <c r="E869" s="232"/>
      <c r="F869" s="210" t="s">
        <v>809</v>
      </c>
      <c r="G869" s="216" t="s">
        <v>805</v>
      </c>
      <c r="H869" s="212" t="s">
        <v>827</v>
      </c>
      <c r="I869" s="255">
        <v>2150</v>
      </c>
      <c r="J869" s="568"/>
      <c r="L869" s="939"/>
      <c r="M869" s="947" t="s">
        <v>805</v>
      </c>
      <c r="N869" s="641" t="s">
        <v>959</v>
      </c>
      <c r="P869" s="942">
        <f t="shared" si="173"/>
        <v>-1</v>
      </c>
    </row>
    <row r="870" spans="2:16" hidden="1" x14ac:dyDescent="0.2">
      <c r="B870" s="90"/>
      <c r="C870" s="42"/>
      <c r="D870" s="42"/>
      <c r="E870" s="232"/>
      <c r="F870" s="210" t="s">
        <v>1009</v>
      </c>
      <c r="G870" s="216" t="s">
        <v>806</v>
      </c>
      <c r="H870" s="212"/>
      <c r="I870" s="255">
        <v>950</v>
      </c>
      <c r="J870" s="568"/>
      <c r="L870" s="939"/>
      <c r="M870" s="947" t="s">
        <v>806</v>
      </c>
      <c r="N870" s="641" t="s">
        <v>958</v>
      </c>
      <c r="P870" s="942">
        <f t="shared" si="173"/>
        <v>-1</v>
      </c>
    </row>
    <row r="871" spans="2:16" hidden="1" x14ac:dyDescent="0.2">
      <c r="B871" s="90"/>
      <c r="C871" s="42"/>
      <c r="D871" s="42"/>
      <c r="E871" s="232"/>
      <c r="F871" s="210"/>
      <c r="G871" s="216"/>
      <c r="H871" s="212"/>
      <c r="I871" s="255"/>
      <c r="J871" s="568"/>
      <c r="L871" s="939"/>
      <c r="M871" s="947"/>
      <c r="P871" s="942" t="str">
        <f t="shared" si="173"/>
        <v/>
      </c>
    </row>
    <row r="872" spans="2:16" hidden="1" x14ac:dyDescent="0.2">
      <c r="B872" s="90"/>
      <c r="C872" s="42"/>
      <c r="D872" s="42"/>
      <c r="E872" s="232"/>
      <c r="F872" s="210"/>
      <c r="G872" s="216"/>
      <c r="H872" s="212"/>
      <c r="I872" s="255"/>
      <c r="J872" s="568"/>
      <c r="L872" s="939"/>
      <c r="M872" s="947"/>
      <c r="P872" s="942" t="str">
        <f t="shared" si="173"/>
        <v/>
      </c>
    </row>
    <row r="873" spans="2:16" hidden="1" x14ac:dyDescent="0.2">
      <c r="B873" s="90"/>
      <c r="C873" s="42"/>
      <c r="D873" s="42"/>
      <c r="E873" s="232"/>
      <c r="F873" s="210"/>
      <c r="G873" s="216"/>
      <c r="H873" s="212"/>
      <c r="I873" s="255"/>
      <c r="J873" s="568"/>
      <c r="L873" s="939"/>
      <c r="M873" s="947"/>
      <c r="P873" s="942" t="str">
        <f t="shared" si="173"/>
        <v/>
      </c>
    </row>
    <row r="874" spans="2:16" hidden="1" x14ac:dyDescent="0.2">
      <c r="B874" s="90"/>
      <c r="C874" s="42"/>
      <c r="D874" s="42"/>
      <c r="E874" s="232"/>
      <c r="F874" s="210"/>
      <c r="G874" s="216"/>
      <c r="H874" s="212"/>
      <c r="I874" s="255"/>
      <c r="J874" s="568"/>
      <c r="L874" s="939"/>
      <c r="M874" s="947"/>
      <c r="P874" s="942" t="str">
        <f t="shared" si="173"/>
        <v/>
      </c>
    </row>
    <row r="875" spans="2:16" hidden="1" x14ac:dyDescent="0.2">
      <c r="B875" s="90"/>
      <c r="C875" s="42"/>
      <c r="D875" s="42"/>
      <c r="E875" s="232"/>
      <c r="F875" s="210"/>
      <c r="G875" s="216"/>
      <c r="H875" s="212"/>
      <c r="I875" s="255"/>
      <c r="J875" s="568"/>
      <c r="L875" s="939"/>
      <c r="M875" s="947"/>
      <c r="P875" s="942" t="str">
        <f t="shared" si="173"/>
        <v/>
      </c>
    </row>
    <row r="876" spans="2:16" hidden="1" x14ac:dyDescent="0.2">
      <c r="B876" s="90"/>
      <c r="C876" s="42"/>
      <c r="D876" s="42"/>
      <c r="E876" s="232"/>
      <c r="F876" s="210"/>
      <c r="G876" s="216"/>
      <c r="H876" s="212"/>
      <c r="I876" s="255"/>
      <c r="J876" s="568"/>
      <c r="L876" s="939"/>
      <c r="M876" s="947"/>
      <c r="P876" s="942" t="str">
        <f t="shared" si="173"/>
        <v/>
      </c>
    </row>
    <row r="877" spans="2:16" hidden="1" x14ac:dyDescent="0.2">
      <c r="B877" s="90"/>
      <c r="C877" s="42"/>
      <c r="D877" s="42"/>
      <c r="E877" s="232"/>
      <c r="F877" s="210"/>
      <c r="G877" s="216"/>
      <c r="H877" s="212"/>
      <c r="I877" s="255"/>
      <c r="J877" s="568"/>
      <c r="L877" s="939"/>
      <c r="M877" s="947"/>
      <c r="P877" s="942" t="str">
        <f t="shared" ref="P877:P891" si="174">IFERROR((O877/I877)-1,"")</f>
        <v/>
      </c>
    </row>
    <row r="878" spans="2:16" hidden="1" x14ac:dyDescent="0.2">
      <c r="B878" s="90"/>
      <c r="C878" s="42"/>
      <c r="D878" s="42"/>
      <c r="E878" s="232"/>
      <c r="F878" s="210"/>
      <c r="G878" s="216"/>
      <c r="H878" s="212"/>
      <c r="I878" s="255"/>
      <c r="J878" s="568"/>
      <c r="L878" s="939"/>
      <c r="M878" s="947"/>
      <c r="P878" s="942" t="str">
        <f t="shared" si="174"/>
        <v/>
      </c>
    </row>
    <row r="879" spans="2:16" hidden="1" x14ac:dyDescent="0.2">
      <c r="B879" s="90"/>
      <c r="C879" s="42"/>
      <c r="D879" s="42"/>
      <c r="E879" s="232"/>
      <c r="F879" s="210" t="s">
        <v>186</v>
      </c>
      <c r="G879" s="216">
        <v>10040032</v>
      </c>
      <c r="H879" s="212" t="s">
        <v>144</v>
      </c>
      <c r="I879" s="255">
        <v>326</v>
      </c>
      <c r="J879" s="568"/>
      <c r="L879" s="939"/>
      <c r="M879" s="948" t="s">
        <v>925</v>
      </c>
      <c r="N879" s="641" t="s">
        <v>910</v>
      </c>
      <c r="P879" s="942">
        <f t="shared" si="174"/>
        <v>-1</v>
      </c>
    </row>
    <row r="880" spans="2:16" hidden="1" x14ac:dyDescent="0.2">
      <c r="B880" s="90"/>
      <c r="C880" s="42"/>
      <c r="D880" s="42"/>
      <c r="E880" s="232"/>
      <c r="F880" s="210" t="s">
        <v>187</v>
      </c>
      <c r="G880" s="216">
        <v>10040079</v>
      </c>
      <c r="H880" s="212" t="s">
        <v>145</v>
      </c>
      <c r="I880" s="255">
        <v>25</v>
      </c>
      <c r="J880" s="568"/>
      <c r="L880" s="939"/>
      <c r="M880" s="948" t="s">
        <v>926</v>
      </c>
      <c r="N880" s="641" t="s">
        <v>910</v>
      </c>
      <c r="P880" s="942">
        <f t="shared" si="174"/>
        <v>-1</v>
      </c>
    </row>
    <row r="881" spans="2:16" hidden="1" x14ac:dyDescent="0.2">
      <c r="B881" s="90"/>
      <c r="C881" s="42"/>
      <c r="D881" s="42"/>
      <c r="E881" s="232"/>
      <c r="F881" s="210" t="s">
        <v>188</v>
      </c>
      <c r="G881" s="216">
        <v>10020022</v>
      </c>
      <c r="H881" s="212" t="s">
        <v>194</v>
      </c>
      <c r="I881" s="255">
        <v>25</v>
      </c>
      <c r="J881" s="568"/>
      <c r="L881" s="939"/>
      <c r="M881" s="948" t="s">
        <v>947</v>
      </c>
      <c r="N881" s="641" t="s">
        <v>910</v>
      </c>
      <c r="P881" s="942">
        <f t="shared" si="174"/>
        <v>-1</v>
      </c>
    </row>
    <row r="882" spans="2:16" hidden="1" x14ac:dyDescent="0.2">
      <c r="B882" s="90"/>
      <c r="C882" s="42"/>
      <c r="D882" s="42"/>
      <c r="E882" s="232"/>
      <c r="F882" s="210"/>
      <c r="G882" s="216"/>
      <c r="H882" s="212"/>
      <c r="I882" s="255"/>
      <c r="J882" s="568"/>
      <c r="L882" s="939"/>
      <c r="M882" s="947"/>
      <c r="P882" s="942" t="str">
        <f t="shared" si="174"/>
        <v/>
      </c>
    </row>
    <row r="883" spans="2:16" hidden="1" x14ac:dyDescent="0.2">
      <c r="B883" s="90"/>
      <c r="C883" s="42"/>
      <c r="D883" s="42"/>
      <c r="E883" s="232"/>
      <c r="F883" s="210" t="s">
        <v>261</v>
      </c>
      <c r="G883" s="216">
        <v>10040052</v>
      </c>
      <c r="H883" s="212" t="s">
        <v>195</v>
      </c>
      <c r="I883" s="255">
        <v>1000</v>
      </c>
      <c r="J883" s="568"/>
      <c r="L883" s="939"/>
      <c r="M883" s="948" t="s">
        <v>804</v>
      </c>
      <c r="N883" s="641" t="s">
        <v>910</v>
      </c>
      <c r="P883" s="942">
        <f t="shared" si="174"/>
        <v>-1</v>
      </c>
    </row>
    <row r="884" spans="2:16" hidden="1" x14ac:dyDescent="0.2">
      <c r="B884" s="90"/>
      <c r="C884" s="42"/>
      <c r="D884" s="42"/>
      <c r="E884" s="232"/>
      <c r="F884" s="210"/>
      <c r="G884" s="216"/>
      <c r="H884" s="212"/>
      <c r="I884" s="255"/>
      <c r="J884" s="568"/>
      <c r="L884" s="939"/>
      <c r="M884" s="947"/>
      <c r="P884" s="942" t="str">
        <f t="shared" si="174"/>
        <v/>
      </c>
    </row>
    <row r="885" spans="2:16" hidden="1" x14ac:dyDescent="0.2">
      <c r="B885" s="90"/>
      <c r="C885" s="42"/>
      <c r="D885" s="42"/>
      <c r="E885" s="232"/>
      <c r="F885" s="210" t="s">
        <v>189</v>
      </c>
      <c r="G885" s="216">
        <v>10040085</v>
      </c>
      <c r="H885" s="212" t="s">
        <v>196</v>
      </c>
      <c r="I885" s="255">
        <v>1143</v>
      </c>
      <c r="J885" s="568"/>
      <c r="L885" s="939"/>
      <c r="M885" s="948" t="s">
        <v>948</v>
      </c>
      <c r="N885" s="641" t="s">
        <v>910</v>
      </c>
      <c r="P885" s="942">
        <f t="shared" si="174"/>
        <v>-1</v>
      </c>
    </row>
    <row r="886" spans="2:16" hidden="1" x14ac:dyDescent="0.2">
      <c r="B886" s="90"/>
      <c r="C886" s="42"/>
      <c r="D886" s="42"/>
      <c r="E886" s="232"/>
      <c r="F886" s="210" t="s">
        <v>190</v>
      </c>
      <c r="G886" s="216">
        <v>10040082</v>
      </c>
      <c r="H886" s="212" t="s">
        <v>197</v>
      </c>
      <c r="I886" s="255">
        <v>1400</v>
      </c>
      <c r="J886" s="568"/>
      <c r="L886" s="939"/>
      <c r="M886" s="948" t="s">
        <v>949</v>
      </c>
      <c r="N886" s="641" t="s">
        <v>910</v>
      </c>
      <c r="P886" s="942">
        <f t="shared" si="174"/>
        <v>-1</v>
      </c>
    </row>
    <row r="887" spans="2:16" hidden="1" x14ac:dyDescent="0.2">
      <c r="B887" s="90"/>
      <c r="C887" s="42"/>
      <c r="D887" s="42"/>
      <c r="E887" s="232"/>
      <c r="F887" s="210" t="s">
        <v>191</v>
      </c>
      <c r="G887" s="216">
        <v>10040081</v>
      </c>
      <c r="H887" s="212" t="s">
        <v>198</v>
      </c>
      <c r="I887" s="255">
        <v>1543</v>
      </c>
      <c r="J887" s="568"/>
      <c r="L887" s="939"/>
      <c r="M887" s="948" t="s">
        <v>950</v>
      </c>
      <c r="N887" s="641" t="s">
        <v>910</v>
      </c>
      <c r="P887" s="942">
        <f t="shared" si="174"/>
        <v>-1</v>
      </c>
    </row>
    <row r="888" spans="2:16" hidden="1" x14ac:dyDescent="0.2">
      <c r="B888" s="90"/>
      <c r="C888" s="42"/>
      <c r="D888" s="42"/>
      <c r="E888" s="232"/>
      <c r="F888" s="210"/>
      <c r="G888" s="216"/>
      <c r="H888" s="212"/>
      <c r="I888" s="255"/>
      <c r="J888" s="568"/>
      <c r="L888" s="939"/>
      <c r="M888" s="947"/>
      <c r="P888" s="942" t="str">
        <f t="shared" si="174"/>
        <v/>
      </c>
    </row>
    <row r="889" spans="2:16" hidden="1" x14ac:dyDescent="0.2">
      <c r="B889" s="90"/>
      <c r="C889" s="42"/>
      <c r="D889" s="42"/>
      <c r="E889" s="232"/>
      <c r="F889" s="210" t="s">
        <v>192</v>
      </c>
      <c r="G889" s="216">
        <v>10040084</v>
      </c>
      <c r="H889" s="212" t="s">
        <v>199</v>
      </c>
      <c r="I889" s="255">
        <v>476</v>
      </c>
      <c r="J889" s="568"/>
      <c r="L889" s="939"/>
      <c r="M889" s="948" t="s">
        <v>951</v>
      </c>
      <c r="N889" s="641" t="s">
        <v>910</v>
      </c>
      <c r="P889" s="942">
        <f t="shared" si="174"/>
        <v>-1</v>
      </c>
    </row>
    <row r="890" spans="2:16" hidden="1" x14ac:dyDescent="0.2">
      <c r="B890" s="90"/>
      <c r="C890" s="42"/>
      <c r="D890" s="42"/>
      <c r="E890" s="42"/>
      <c r="F890" s="210" t="s">
        <v>193</v>
      </c>
      <c r="G890" s="216">
        <v>10040085</v>
      </c>
      <c r="H890" s="212" t="s">
        <v>200</v>
      </c>
      <c r="I890" s="255">
        <v>36</v>
      </c>
      <c r="J890" s="568"/>
      <c r="L890" s="939"/>
      <c r="M890" s="948" t="s">
        <v>948</v>
      </c>
      <c r="N890" s="641" t="s">
        <v>910</v>
      </c>
      <c r="P890" s="942">
        <f t="shared" si="174"/>
        <v>-1</v>
      </c>
    </row>
    <row r="891" spans="2:16" hidden="1" x14ac:dyDescent="0.2">
      <c r="B891" s="90"/>
      <c r="C891" s="42"/>
      <c r="D891" s="42"/>
      <c r="E891" s="42"/>
      <c r="F891" s="210"/>
      <c r="G891" s="216"/>
      <c r="H891" s="212"/>
      <c r="I891" s="255"/>
      <c r="J891" s="568"/>
      <c r="L891" s="939"/>
      <c r="M891" s="947"/>
      <c r="P891" s="942" t="str">
        <f t="shared" si="174"/>
        <v/>
      </c>
    </row>
    <row r="892" spans="2:16" hidden="1" x14ac:dyDescent="0.2">
      <c r="B892" s="90"/>
      <c r="C892" s="42"/>
      <c r="D892" s="42"/>
      <c r="E892" s="42"/>
      <c r="F892" s="36"/>
      <c r="G892" s="13"/>
      <c r="H892" s="36"/>
      <c r="I892" s="161"/>
      <c r="J892" s="568"/>
      <c r="L892" s="939"/>
    </row>
    <row r="893" spans="2:16" hidden="1" x14ac:dyDescent="0.2">
      <c r="B893" s="90"/>
      <c r="C893" s="42"/>
      <c r="D893" s="42"/>
      <c r="E893" s="42"/>
      <c r="F893" s="36"/>
      <c r="G893" s="13"/>
      <c r="H893" s="36"/>
      <c r="I893" s="161"/>
      <c r="J893" s="568"/>
      <c r="L893" s="939"/>
    </row>
    <row r="894" spans="2:16" hidden="1" x14ac:dyDescent="0.2">
      <c r="B894" s="90"/>
      <c r="C894" s="42"/>
      <c r="D894" s="42"/>
      <c r="E894" s="42"/>
      <c r="F894" s="36"/>
      <c r="G894" s="13"/>
      <c r="H894" s="36"/>
      <c r="I894" s="161"/>
      <c r="J894" s="568"/>
      <c r="L894" s="939"/>
    </row>
    <row r="895" spans="2:16" hidden="1" x14ac:dyDescent="0.2">
      <c r="B895" s="90"/>
      <c r="C895" s="42"/>
      <c r="D895" s="42"/>
      <c r="E895" s="42"/>
      <c r="F895" s="36"/>
      <c r="G895" s="13"/>
      <c r="H895" s="36"/>
      <c r="I895" s="161"/>
      <c r="J895" s="568"/>
      <c r="L895" s="939"/>
    </row>
    <row r="896" spans="2:16" hidden="1" x14ac:dyDescent="0.2">
      <c r="B896" s="90"/>
      <c r="C896" s="42"/>
      <c r="D896" s="42"/>
      <c r="E896" s="210"/>
      <c r="F896" s="876" t="s">
        <v>306</v>
      </c>
      <c r="G896" s="212"/>
      <c r="H896" s="255"/>
      <c r="I896" s="210">
        <v>270</v>
      </c>
      <c r="J896" s="568"/>
      <c r="L896" s="939"/>
    </row>
    <row r="897" spans="2:12" hidden="1" x14ac:dyDescent="0.2">
      <c r="B897" s="90"/>
      <c r="C897" s="42"/>
      <c r="D897" s="42"/>
      <c r="E897" s="210" t="s">
        <v>475</v>
      </c>
      <c r="F897" s="876" t="s">
        <v>476</v>
      </c>
      <c r="G897" s="212"/>
      <c r="H897" s="255"/>
      <c r="I897" s="210">
        <v>720</v>
      </c>
      <c r="J897" s="568"/>
      <c r="L897" s="939"/>
    </row>
    <row r="898" spans="2:12" hidden="1" x14ac:dyDescent="0.2">
      <c r="B898" s="90"/>
      <c r="C898" s="42"/>
      <c r="D898" s="42"/>
      <c r="E898" s="210" t="s">
        <v>477</v>
      </c>
      <c r="F898" s="876" t="s">
        <v>478</v>
      </c>
      <c r="G898" s="212"/>
      <c r="H898" s="255"/>
      <c r="I898" s="210">
        <v>1800</v>
      </c>
      <c r="J898" s="568"/>
      <c r="L898" s="939"/>
    </row>
    <row r="899" spans="2:12" hidden="1" x14ac:dyDescent="0.2">
      <c r="B899" s="90"/>
      <c r="C899" s="42"/>
      <c r="D899" s="42"/>
      <c r="E899" s="210" t="s">
        <v>479</v>
      </c>
      <c r="F899" s="876" t="s">
        <v>480</v>
      </c>
      <c r="G899" s="212"/>
      <c r="H899" s="255"/>
      <c r="I899" s="210">
        <v>2520</v>
      </c>
      <c r="J899" s="568"/>
      <c r="L899" s="939"/>
    </row>
    <row r="900" spans="2:12" hidden="1" x14ac:dyDescent="0.2">
      <c r="B900" s="90"/>
      <c r="C900" s="42"/>
      <c r="D900" s="42"/>
      <c r="E900" s="210" t="s">
        <v>481</v>
      </c>
      <c r="F900" s="876" t="s">
        <v>482</v>
      </c>
      <c r="G900" s="212"/>
      <c r="H900" s="255"/>
      <c r="I900" s="210">
        <v>1440</v>
      </c>
      <c r="J900" s="568"/>
      <c r="L900" s="939"/>
    </row>
    <row r="901" spans="2:12" hidden="1" x14ac:dyDescent="0.2">
      <c r="B901" s="90"/>
      <c r="C901" s="42"/>
      <c r="D901" s="42"/>
      <c r="E901" s="210" t="s">
        <v>483</v>
      </c>
      <c r="F901" s="876" t="s">
        <v>484</v>
      </c>
      <c r="G901" s="212"/>
      <c r="H901" s="255"/>
      <c r="I901" s="210">
        <v>2160</v>
      </c>
      <c r="J901" s="568"/>
      <c r="L901" s="939"/>
    </row>
    <row r="902" spans="2:12" hidden="1" x14ac:dyDescent="0.2">
      <c r="B902" s="90"/>
      <c r="C902" s="42"/>
      <c r="D902" s="42"/>
      <c r="E902" s="210" t="s">
        <v>485</v>
      </c>
      <c r="F902" s="876" t="s">
        <v>486</v>
      </c>
      <c r="G902" s="212"/>
      <c r="H902" s="255"/>
      <c r="I902" s="210">
        <v>4320</v>
      </c>
      <c r="J902" s="568"/>
      <c r="L902" s="939"/>
    </row>
    <row r="903" spans="2:12" hidden="1" x14ac:dyDescent="0.2">
      <c r="B903" s="90"/>
      <c r="C903" s="42"/>
      <c r="D903" s="42"/>
      <c r="E903" s="210" t="s">
        <v>487</v>
      </c>
      <c r="F903" s="876" t="s">
        <v>488</v>
      </c>
      <c r="G903" s="212"/>
      <c r="H903" s="255"/>
      <c r="I903" s="210">
        <v>3600</v>
      </c>
      <c r="J903" s="568"/>
      <c r="L903" s="939"/>
    </row>
    <row r="904" spans="2:12" hidden="1" x14ac:dyDescent="0.2">
      <c r="B904" s="90"/>
      <c r="C904" s="42"/>
      <c r="D904" s="42"/>
      <c r="E904" s="210" t="s">
        <v>489</v>
      </c>
      <c r="F904" s="876" t="s">
        <v>490</v>
      </c>
      <c r="G904" s="212"/>
      <c r="H904" s="255"/>
      <c r="I904" s="210">
        <v>2520</v>
      </c>
      <c r="J904" s="568"/>
      <c r="L904" s="939"/>
    </row>
    <row r="905" spans="2:12" hidden="1" x14ac:dyDescent="0.2">
      <c r="B905" s="90"/>
      <c r="C905" s="42"/>
      <c r="D905" s="42"/>
      <c r="E905" s="210" t="s">
        <v>491</v>
      </c>
      <c r="F905" s="876" t="s">
        <v>492</v>
      </c>
      <c r="G905" s="212"/>
      <c r="H905" s="255"/>
      <c r="I905" s="210">
        <v>7200</v>
      </c>
      <c r="J905" s="568"/>
      <c r="L905" s="939"/>
    </row>
    <row r="906" spans="2:12" hidden="1" x14ac:dyDescent="0.2">
      <c r="B906" s="90"/>
      <c r="C906" s="42"/>
      <c r="D906" s="42"/>
      <c r="E906" s="210" t="s">
        <v>493</v>
      </c>
      <c r="F906" s="876" t="s">
        <v>494</v>
      </c>
      <c r="G906" s="212"/>
      <c r="H906" s="255"/>
      <c r="I906" s="210">
        <v>720</v>
      </c>
      <c r="J906" s="568"/>
      <c r="L906" s="939"/>
    </row>
    <row r="907" spans="2:12" hidden="1" x14ac:dyDescent="0.2">
      <c r="B907" s="90"/>
      <c r="C907" s="42"/>
      <c r="D907" s="42"/>
      <c r="E907" s="210" t="s">
        <v>495</v>
      </c>
      <c r="F907" s="876" t="s">
        <v>496</v>
      </c>
      <c r="G907" s="212"/>
      <c r="H907" s="255"/>
      <c r="I907" s="210">
        <v>1440</v>
      </c>
      <c r="J907" s="568"/>
      <c r="L907" s="939"/>
    </row>
    <row r="908" spans="2:12" hidden="1" x14ac:dyDescent="0.2">
      <c r="B908" s="90"/>
      <c r="C908" s="42"/>
      <c r="D908" s="42"/>
      <c r="E908" s="210" t="s">
        <v>497</v>
      </c>
      <c r="F908" s="876" t="s">
        <v>498</v>
      </c>
      <c r="G908" s="212"/>
      <c r="H908" s="255"/>
      <c r="I908" s="210">
        <v>540</v>
      </c>
      <c r="J908" s="568"/>
      <c r="L908" s="939"/>
    </row>
    <row r="909" spans="2:12" hidden="1" x14ac:dyDescent="0.2">
      <c r="B909" s="90"/>
      <c r="C909" s="42"/>
      <c r="D909" s="42"/>
      <c r="E909" s="210" t="s">
        <v>499</v>
      </c>
      <c r="F909" s="876" t="s">
        <v>500</v>
      </c>
      <c r="G909" s="212"/>
      <c r="H909" s="255"/>
      <c r="I909" s="210">
        <v>360</v>
      </c>
      <c r="J909" s="568"/>
      <c r="L909" s="939"/>
    </row>
    <row r="910" spans="2:12" hidden="1" x14ac:dyDescent="0.2">
      <c r="B910" s="90"/>
      <c r="C910" s="42"/>
      <c r="D910" s="42"/>
      <c r="E910" s="210" t="s">
        <v>501</v>
      </c>
      <c r="F910" s="876" t="s">
        <v>502</v>
      </c>
      <c r="G910" s="212"/>
      <c r="H910" s="255"/>
      <c r="I910" s="210">
        <v>1800</v>
      </c>
      <c r="J910" s="568"/>
      <c r="L910" s="939"/>
    </row>
    <row r="911" spans="2:12" hidden="1" x14ac:dyDescent="0.2">
      <c r="B911" s="90"/>
      <c r="C911" s="42"/>
      <c r="D911" s="42"/>
      <c r="E911" s="210" t="s">
        <v>503</v>
      </c>
      <c r="F911" s="876" t="s">
        <v>504</v>
      </c>
      <c r="G911" s="212"/>
      <c r="H911" s="255"/>
      <c r="I911" s="210">
        <v>360</v>
      </c>
      <c r="J911" s="568"/>
      <c r="L911" s="939"/>
    </row>
    <row r="912" spans="2:12" hidden="1" x14ac:dyDescent="0.2">
      <c r="B912" s="90"/>
      <c r="C912" s="42"/>
      <c r="D912" s="42"/>
      <c r="E912" s="210" t="s">
        <v>505</v>
      </c>
      <c r="F912" s="876" t="s">
        <v>506</v>
      </c>
      <c r="G912" s="212"/>
      <c r="H912" s="255"/>
      <c r="I912" s="210">
        <v>2700</v>
      </c>
      <c r="J912" s="568"/>
      <c r="L912" s="939"/>
    </row>
    <row r="913" spans="1:53" hidden="1" x14ac:dyDescent="0.2">
      <c r="B913" s="90"/>
      <c r="C913" s="42"/>
      <c r="D913" s="42"/>
      <c r="E913" s="42"/>
      <c r="F913" s="36"/>
      <c r="G913" s="13"/>
      <c r="H913" s="36"/>
      <c r="I913" s="164"/>
      <c r="J913" s="568"/>
      <c r="L913" s="939"/>
    </row>
    <row r="914" spans="1:53" hidden="1" x14ac:dyDescent="0.2">
      <c r="B914" s="90"/>
      <c r="C914" s="42"/>
      <c r="D914" s="42"/>
      <c r="E914" s="42"/>
      <c r="F914" s="36"/>
      <c r="G914" s="13"/>
      <c r="H914" s="36"/>
      <c r="I914" s="164"/>
      <c r="J914" s="568"/>
      <c r="L914" s="939"/>
    </row>
    <row r="915" spans="1:53" hidden="1" x14ac:dyDescent="0.2">
      <c r="B915" s="90"/>
      <c r="C915" s="42"/>
      <c r="D915" s="42"/>
      <c r="E915" s="42"/>
      <c r="F915" s="36"/>
      <c r="G915" s="13"/>
      <c r="H915" s="36"/>
      <c r="I915" s="164"/>
      <c r="J915" s="568"/>
      <c r="L915" s="939"/>
    </row>
    <row r="916" spans="1:53" hidden="1" x14ac:dyDescent="0.2">
      <c r="B916" s="90"/>
      <c r="C916" s="42"/>
      <c r="D916" s="42"/>
      <c r="E916" s="42"/>
      <c r="F916" s="36"/>
      <c r="G916" s="13"/>
      <c r="H916" s="36"/>
      <c r="I916" s="164"/>
      <c r="J916" s="568"/>
      <c r="L916" s="939"/>
    </row>
    <row r="917" spans="1:53" hidden="1" x14ac:dyDescent="0.2">
      <c r="B917" s="90"/>
      <c r="C917" s="42"/>
      <c r="D917" s="42"/>
      <c r="E917" s="42"/>
      <c r="F917" s="36"/>
      <c r="G917" s="13"/>
      <c r="H917" s="36"/>
      <c r="I917" s="164"/>
      <c r="J917" s="568"/>
      <c r="L917" s="939"/>
    </row>
    <row r="918" spans="1:53" hidden="1" x14ac:dyDescent="0.2">
      <c r="B918" s="90"/>
      <c r="C918" s="42"/>
      <c r="D918" s="42"/>
      <c r="E918" s="42"/>
      <c r="F918" s="36"/>
      <c r="G918" s="13"/>
      <c r="H918" s="36"/>
      <c r="I918" s="164"/>
      <c r="J918" s="568"/>
      <c r="L918" s="939"/>
    </row>
    <row r="919" spans="1:53" hidden="1" x14ac:dyDescent="0.2">
      <c r="B919" s="90"/>
      <c r="C919" s="42"/>
      <c r="D919" s="42"/>
      <c r="E919" s="42"/>
      <c r="F919" s="36"/>
      <c r="G919" s="13"/>
      <c r="H919" s="36"/>
      <c r="I919" s="164"/>
      <c r="J919" s="568"/>
      <c r="L919" s="939"/>
    </row>
    <row r="920" spans="1:53" hidden="1" x14ac:dyDescent="0.2">
      <c r="B920" s="90"/>
      <c r="C920" s="42"/>
      <c r="D920" s="42"/>
      <c r="E920" s="42"/>
      <c r="F920" s="36"/>
      <c r="G920" s="13"/>
      <c r="H920" s="36"/>
      <c r="I920" s="164"/>
      <c r="J920" s="568"/>
      <c r="L920" s="939"/>
    </row>
    <row r="921" spans="1:53" hidden="1" x14ac:dyDescent="0.2">
      <c r="B921" s="90"/>
      <c r="C921" s="42"/>
      <c r="D921" s="42"/>
      <c r="E921" s="42"/>
      <c r="F921" s="36"/>
      <c r="G921" s="13"/>
      <c r="H921" s="36"/>
      <c r="I921" s="164"/>
      <c r="J921" s="568"/>
      <c r="L921" s="939"/>
    </row>
    <row r="922" spans="1:53" hidden="1" x14ac:dyDescent="0.2">
      <c r="B922" s="90"/>
      <c r="C922" s="42"/>
      <c r="D922" s="42"/>
      <c r="E922" s="42"/>
      <c r="F922" s="36"/>
      <c r="G922" s="13"/>
      <c r="H922" s="36"/>
      <c r="I922" s="164"/>
      <c r="J922" s="568"/>
      <c r="L922" s="939"/>
    </row>
    <row r="923" spans="1:53" hidden="1" x14ac:dyDescent="0.2">
      <c r="B923" s="90"/>
      <c r="C923" s="42"/>
      <c r="D923" s="42"/>
      <c r="E923" s="42"/>
      <c r="F923" s="36"/>
      <c r="G923" s="13"/>
      <c r="H923" s="36"/>
      <c r="I923" s="164"/>
      <c r="J923" s="568"/>
      <c r="L923" s="939"/>
    </row>
    <row r="924" spans="1:53" hidden="1" x14ac:dyDescent="0.2">
      <c r="B924" s="90"/>
      <c r="C924" s="42"/>
      <c r="D924" s="42"/>
      <c r="E924" s="42"/>
      <c r="F924" s="36"/>
      <c r="G924" s="13"/>
      <c r="H924" s="36"/>
      <c r="I924" s="164"/>
      <c r="J924" s="568"/>
      <c r="L924" s="939"/>
    </row>
    <row r="925" spans="1:53" hidden="1" x14ac:dyDescent="0.2">
      <c r="B925" s="90"/>
      <c r="C925" s="42"/>
      <c r="D925" s="42"/>
      <c r="E925" s="42"/>
      <c r="F925" s="36"/>
      <c r="G925" s="13"/>
      <c r="H925" s="36"/>
      <c r="I925" s="164"/>
      <c r="J925" s="568"/>
      <c r="L925" s="939"/>
    </row>
    <row r="926" spans="1:53" hidden="1" x14ac:dyDescent="0.2">
      <c r="B926" s="90"/>
      <c r="C926" s="42"/>
      <c r="D926" s="42"/>
      <c r="E926" s="42"/>
      <c r="F926" s="36"/>
      <c r="G926" s="13"/>
      <c r="H926" s="36"/>
      <c r="I926" s="164"/>
      <c r="J926" s="568"/>
      <c r="L926" s="939"/>
    </row>
    <row r="927" spans="1:53" hidden="1" x14ac:dyDescent="0.2">
      <c r="B927" s="90"/>
      <c r="C927" s="42"/>
      <c r="D927" s="42"/>
      <c r="E927" s="42"/>
      <c r="F927" s="36"/>
      <c r="G927" s="13"/>
      <c r="H927" s="36"/>
      <c r="I927" s="164"/>
      <c r="J927" s="568"/>
      <c r="L927" s="939"/>
    </row>
    <row r="928" spans="1:53" s="40" customFormat="1" hidden="1" x14ac:dyDescent="0.2">
      <c r="A928" s="127"/>
      <c r="B928" s="51"/>
      <c r="C928" s="53"/>
      <c r="D928" s="53"/>
      <c r="E928" s="42"/>
      <c r="F928" s="72"/>
      <c r="G928" s="13"/>
      <c r="H928" s="36"/>
      <c r="I928" s="163"/>
      <c r="J928" s="568"/>
      <c r="K928" s="117"/>
      <c r="L928" s="939"/>
      <c r="M928" s="641"/>
      <c r="N928" s="929"/>
      <c r="O928" s="929"/>
      <c r="P928" s="930"/>
      <c r="Q928" s="929"/>
      <c r="R928" s="929"/>
      <c r="S928" s="929"/>
      <c r="T928" s="929"/>
      <c r="U928" s="929"/>
      <c r="V928" s="929"/>
      <c r="W928" s="929"/>
      <c r="X928" s="929"/>
      <c r="Y928" s="929"/>
      <c r="Z928" s="929"/>
      <c r="AA928" s="929"/>
      <c r="AB928" s="929"/>
      <c r="AC928" s="929"/>
      <c r="AD928" s="929"/>
      <c r="AE928" s="929"/>
      <c r="AF928" s="929"/>
      <c r="AG928" s="929"/>
      <c r="AH928" s="929"/>
      <c r="AI928" s="929"/>
      <c r="AJ928" s="929"/>
      <c r="AK928" s="931"/>
      <c r="AL928" s="929"/>
      <c r="AM928" s="929"/>
      <c r="AN928" s="929"/>
      <c r="AO928" s="929"/>
      <c r="AP928" s="929"/>
      <c r="AQ928" s="929"/>
      <c r="AR928" s="929"/>
      <c r="AS928" s="127"/>
      <c r="AT928" s="127"/>
      <c r="AU928" s="127"/>
      <c r="AV928" s="127"/>
      <c r="AW928" s="127"/>
      <c r="AX928" s="127"/>
      <c r="AY928" s="127"/>
      <c r="AZ928" s="127"/>
      <c r="BA928" s="127"/>
    </row>
    <row r="929" spans="1:53" s="40" customFormat="1" hidden="1" x14ac:dyDescent="0.2">
      <c r="A929" s="127"/>
      <c r="B929" s="51"/>
      <c r="C929" s="53"/>
      <c r="D929" s="53"/>
      <c r="E929" s="42"/>
      <c r="F929" s="72"/>
      <c r="G929" s="13"/>
      <c r="H929" s="36"/>
      <c r="I929" s="163"/>
      <c r="J929" s="568"/>
      <c r="K929" s="117"/>
      <c r="L929" s="939"/>
      <c r="M929" s="641"/>
      <c r="N929" s="929"/>
      <c r="O929" s="929"/>
      <c r="P929" s="930"/>
      <c r="Q929" s="929"/>
      <c r="R929" s="929"/>
      <c r="S929" s="929"/>
      <c r="T929" s="929"/>
      <c r="U929" s="929"/>
      <c r="V929" s="929"/>
      <c r="W929" s="929"/>
      <c r="X929" s="929"/>
      <c r="Y929" s="929"/>
      <c r="Z929" s="929"/>
      <c r="AA929" s="929"/>
      <c r="AB929" s="929"/>
      <c r="AC929" s="929"/>
      <c r="AD929" s="929"/>
      <c r="AE929" s="929"/>
      <c r="AF929" s="929"/>
      <c r="AG929" s="929"/>
      <c r="AH929" s="929"/>
      <c r="AI929" s="929"/>
      <c r="AJ929" s="929"/>
      <c r="AK929" s="931"/>
      <c r="AL929" s="929"/>
      <c r="AM929" s="929"/>
      <c r="AN929" s="929"/>
      <c r="AO929" s="929"/>
      <c r="AP929" s="929"/>
      <c r="AQ929" s="929"/>
      <c r="AR929" s="929"/>
      <c r="AS929" s="127"/>
      <c r="AT929" s="127"/>
      <c r="AU929" s="127"/>
      <c r="AV929" s="127"/>
      <c r="AW929" s="127"/>
      <c r="AX929" s="127"/>
      <c r="AY929" s="127"/>
      <c r="AZ929" s="127"/>
      <c r="BA929" s="127"/>
    </row>
    <row r="930" spans="1:53" s="40" customFormat="1" hidden="1" x14ac:dyDescent="0.2">
      <c r="A930" s="127"/>
      <c r="B930" s="51"/>
      <c r="C930" s="53"/>
      <c r="D930" s="53"/>
      <c r="E930" s="42"/>
      <c r="F930" s="72"/>
      <c r="G930" s="13"/>
      <c r="H930" s="36"/>
      <c r="I930" s="163"/>
      <c r="J930" s="568"/>
      <c r="K930" s="117"/>
      <c r="L930" s="939"/>
      <c r="M930" s="641"/>
      <c r="N930" s="929"/>
      <c r="O930" s="929"/>
      <c r="P930" s="930"/>
      <c r="Q930" s="929"/>
      <c r="R930" s="929"/>
      <c r="S930" s="929"/>
      <c r="T930" s="929"/>
      <c r="U930" s="929"/>
      <c r="V930" s="929"/>
      <c r="W930" s="929"/>
      <c r="X930" s="929"/>
      <c r="Y930" s="929"/>
      <c r="Z930" s="929"/>
      <c r="AA930" s="929"/>
      <c r="AB930" s="929"/>
      <c r="AC930" s="929"/>
      <c r="AD930" s="929"/>
      <c r="AE930" s="929"/>
      <c r="AF930" s="929"/>
      <c r="AG930" s="929"/>
      <c r="AH930" s="929"/>
      <c r="AI930" s="929"/>
      <c r="AJ930" s="929"/>
      <c r="AK930" s="931"/>
      <c r="AL930" s="929"/>
      <c r="AM930" s="929"/>
      <c r="AN930" s="929"/>
      <c r="AO930" s="929"/>
      <c r="AP930" s="929"/>
      <c r="AQ930" s="929"/>
      <c r="AR930" s="929"/>
      <c r="AS930" s="127"/>
      <c r="AT930" s="127"/>
      <c r="AU930" s="127"/>
      <c r="AV930" s="127"/>
      <c r="AW930" s="127"/>
      <c r="AX930" s="127"/>
      <c r="AY930" s="127"/>
      <c r="AZ930" s="127"/>
      <c r="BA930" s="127"/>
    </row>
    <row r="931" spans="1:53" s="40" customFormat="1" hidden="1" x14ac:dyDescent="0.2">
      <c r="A931" s="127"/>
      <c r="B931" s="51"/>
      <c r="C931" s="53"/>
      <c r="D931" s="53"/>
      <c r="E931" s="53"/>
      <c r="F931" s="53"/>
      <c r="G931" s="53"/>
      <c r="H931" s="53"/>
      <c r="I931" s="165"/>
      <c r="J931" s="568"/>
      <c r="K931" s="117"/>
      <c r="L931" s="939"/>
      <c r="M931" s="641"/>
      <c r="N931" s="929"/>
      <c r="O931" s="929"/>
      <c r="P931" s="930"/>
      <c r="Q931" s="929"/>
      <c r="R931" s="929"/>
      <c r="S931" s="929"/>
      <c r="T931" s="929"/>
      <c r="U931" s="929"/>
      <c r="V931" s="929"/>
      <c r="W931" s="929"/>
      <c r="X931" s="929"/>
      <c r="Y931" s="929"/>
      <c r="Z931" s="929"/>
      <c r="AA931" s="929"/>
      <c r="AB931" s="929"/>
      <c r="AC931" s="929"/>
      <c r="AD931" s="929"/>
      <c r="AE931" s="929"/>
      <c r="AF931" s="929"/>
      <c r="AG931" s="929"/>
      <c r="AH931" s="929"/>
      <c r="AI931" s="929"/>
      <c r="AJ931" s="929"/>
      <c r="AK931" s="931"/>
      <c r="AL931" s="929"/>
      <c r="AM931" s="929"/>
      <c r="AN931" s="929"/>
      <c r="AO931" s="929"/>
      <c r="AP931" s="929"/>
      <c r="AQ931" s="929"/>
      <c r="AR931" s="929"/>
      <c r="AS931" s="127"/>
      <c r="AT931" s="127"/>
      <c r="AU931" s="127"/>
      <c r="AV931" s="127"/>
      <c r="AW931" s="127"/>
      <c r="AX931" s="127"/>
      <c r="AY931" s="127"/>
      <c r="AZ931" s="127"/>
      <c r="BA931" s="127"/>
    </row>
    <row r="932" spans="1:53" s="40" customFormat="1" hidden="1" x14ac:dyDescent="0.2">
      <c r="A932" s="127"/>
      <c r="B932" s="51"/>
      <c r="C932" s="42"/>
      <c r="D932" s="42"/>
      <c r="E932" s="42"/>
      <c r="F932" s="36"/>
      <c r="G932" s="13"/>
      <c r="H932" s="36"/>
      <c r="I932" s="164"/>
      <c r="J932" s="568"/>
      <c r="K932" s="117"/>
      <c r="L932" s="939"/>
      <c r="M932" s="641"/>
      <c r="N932" s="929"/>
      <c r="O932" s="929"/>
      <c r="P932" s="930"/>
      <c r="Q932" s="929"/>
      <c r="R932" s="929"/>
      <c r="S932" s="929"/>
      <c r="T932" s="929"/>
      <c r="U932" s="929"/>
      <c r="V932" s="929"/>
      <c r="W932" s="929"/>
      <c r="X932" s="929"/>
      <c r="Y932" s="929"/>
      <c r="Z932" s="929"/>
      <c r="AA932" s="929"/>
      <c r="AB932" s="929"/>
      <c r="AC932" s="929"/>
      <c r="AD932" s="929"/>
      <c r="AE932" s="929"/>
      <c r="AF932" s="929"/>
      <c r="AG932" s="929"/>
      <c r="AH932" s="929"/>
      <c r="AI932" s="929"/>
      <c r="AJ932" s="929"/>
      <c r="AK932" s="931"/>
      <c r="AL932" s="929"/>
      <c r="AM932" s="929"/>
      <c r="AN932" s="929"/>
      <c r="AO932" s="929"/>
      <c r="AP932" s="929"/>
      <c r="AQ932" s="929"/>
      <c r="AR932" s="929"/>
      <c r="AS932" s="127"/>
      <c r="AT932" s="127"/>
      <c r="AU932" s="127"/>
      <c r="AV932" s="127"/>
      <c r="AW932" s="127"/>
      <c r="AX932" s="127"/>
      <c r="AY932" s="127"/>
      <c r="AZ932" s="127"/>
      <c r="BA932" s="127"/>
    </row>
    <row r="933" spans="1:53" hidden="1" x14ac:dyDescent="0.2">
      <c r="B933" s="51"/>
      <c r="C933" s="42"/>
      <c r="D933" s="42"/>
      <c r="E933" s="42"/>
      <c r="F933" s="36"/>
      <c r="G933" s="262" t="s">
        <v>209</v>
      </c>
      <c r="H933" s="262">
        <f>H939/4</f>
        <v>2500</v>
      </c>
      <c r="I933" s="263">
        <v>950</v>
      </c>
      <c r="J933" s="568"/>
      <c r="L933" s="939"/>
    </row>
    <row r="934" spans="1:53" s="40" customFormat="1" hidden="1" x14ac:dyDescent="0.2">
      <c r="A934" s="127"/>
      <c r="B934" s="51"/>
      <c r="C934" s="52"/>
      <c r="D934" s="52" t="s">
        <v>13</v>
      </c>
      <c r="E934" s="42"/>
      <c r="F934" s="36"/>
      <c r="G934" s="13"/>
      <c r="H934" s="36"/>
      <c r="I934" s="164"/>
      <c r="J934" s="568"/>
      <c r="K934" s="117"/>
      <c r="L934" s="939"/>
      <c r="M934" s="641"/>
      <c r="N934" s="929"/>
      <c r="O934" s="929"/>
      <c r="P934" s="930"/>
      <c r="Q934" s="929"/>
      <c r="R934" s="929"/>
      <c r="S934" s="929"/>
      <c r="T934" s="929"/>
      <c r="U934" s="929"/>
      <c r="V934" s="929"/>
      <c r="W934" s="929"/>
      <c r="X934" s="929"/>
      <c r="Y934" s="929"/>
      <c r="Z934" s="929"/>
      <c r="AA934" s="929"/>
      <c r="AB934" s="929"/>
      <c r="AC934" s="929"/>
      <c r="AD934" s="929"/>
      <c r="AE934" s="929"/>
      <c r="AF934" s="929"/>
      <c r="AG934" s="929"/>
      <c r="AH934" s="929"/>
      <c r="AI934" s="929"/>
      <c r="AJ934" s="929"/>
      <c r="AK934" s="931"/>
      <c r="AL934" s="929"/>
      <c r="AM934" s="929"/>
      <c r="AN934" s="929"/>
      <c r="AO934" s="929"/>
      <c r="AP934" s="929"/>
      <c r="AQ934" s="929"/>
      <c r="AR934" s="929"/>
      <c r="AS934" s="127"/>
      <c r="AT934" s="127"/>
      <c r="AU934" s="127"/>
      <c r="AV934" s="127"/>
      <c r="AW934" s="127"/>
      <c r="AX934" s="127"/>
      <c r="AY934" s="127"/>
      <c r="AZ934" s="127"/>
      <c r="BA934" s="127"/>
    </row>
    <row r="935" spans="1:53" s="40" customFormat="1" hidden="1" x14ac:dyDescent="0.2">
      <c r="A935" s="127"/>
      <c r="B935" s="51"/>
      <c r="C935" s="42"/>
      <c r="D935" s="42"/>
      <c r="E935" s="53" t="s">
        <v>15</v>
      </c>
      <c r="F935" s="87" t="s">
        <v>206</v>
      </c>
      <c r="G935" s="62"/>
      <c r="H935" s="260" t="s">
        <v>208</v>
      </c>
      <c r="I935" s="261" t="s">
        <v>207</v>
      </c>
      <c r="J935" s="568"/>
      <c r="K935" s="117"/>
      <c r="L935" s="939"/>
      <c r="M935" s="641"/>
      <c r="N935" s="929"/>
      <c r="O935" s="929"/>
      <c r="P935" s="930"/>
      <c r="Q935" s="929"/>
      <c r="R935" s="929"/>
      <c r="S935" s="929"/>
      <c r="T935" s="929"/>
      <c r="U935" s="929"/>
      <c r="V935" s="929"/>
      <c r="W935" s="929"/>
      <c r="X935" s="929"/>
      <c r="Y935" s="929"/>
      <c r="Z935" s="929"/>
      <c r="AA935" s="929"/>
      <c r="AB935" s="929"/>
      <c r="AC935" s="929"/>
      <c r="AD935" s="929"/>
      <c r="AE935" s="929"/>
      <c r="AF935" s="929"/>
      <c r="AG935" s="929"/>
      <c r="AH935" s="929"/>
      <c r="AI935" s="929"/>
      <c r="AJ935" s="929"/>
      <c r="AK935" s="931"/>
      <c r="AL935" s="929"/>
      <c r="AM935" s="929"/>
      <c r="AN935" s="929"/>
      <c r="AO935" s="929"/>
      <c r="AP935" s="929"/>
      <c r="AQ935" s="929"/>
      <c r="AR935" s="929"/>
      <c r="AS935" s="127"/>
      <c r="AT935" s="127"/>
      <c r="AU935" s="127"/>
      <c r="AV935" s="127"/>
      <c r="AW935" s="127"/>
      <c r="AX935" s="127"/>
      <c r="AY935" s="127"/>
      <c r="AZ935" s="127"/>
      <c r="BA935" s="127"/>
    </row>
    <row r="936" spans="1:53" s="40" customFormat="1" hidden="1" x14ac:dyDescent="0.2">
      <c r="A936" s="127"/>
      <c r="B936" s="51"/>
      <c r="C936" s="42"/>
      <c r="D936" s="42"/>
      <c r="E936" s="53"/>
      <c r="F936" s="53"/>
      <c r="G936" s="211">
        <v>1</v>
      </c>
      <c r="H936" s="211">
        <v>3000</v>
      </c>
      <c r="I936" s="257">
        <v>1900</v>
      </c>
      <c r="J936" s="568"/>
      <c r="K936" s="117"/>
      <c r="L936" s="939"/>
      <c r="M936" s="641"/>
      <c r="N936" s="929"/>
      <c r="O936" s="929"/>
      <c r="P936" s="930"/>
      <c r="Q936" s="929"/>
      <c r="R936" s="929"/>
      <c r="S936" s="929"/>
      <c r="T936" s="929"/>
      <c r="U936" s="929"/>
      <c r="V936" s="929"/>
      <c r="W936" s="929"/>
      <c r="X936" s="929"/>
      <c r="Y936" s="929"/>
      <c r="Z936" s="929"/>
      <c r="AA936" s="929"/>
      <c r="AB936" s="929"/>
      <c r="AC936" s="929"/>
      <c r="AD936" s="929"/>
      <c r="AE936" s="929"/>
      <c r="AF936" s="929"/>
      <c r="AG936" s="929"/>
      <c r="AH936" s="929"/>
      <c r="AI936" s="929"/>
      <c r="AJ936" s="929"/>
      <c r="AK936" s="931"/>
      <c r="AL936" s="929"/>
      <c r="AM936" s="929"/>
      <c r="AN936" s="929"/>
      <c r="AO936" s="929"/>
      <c r="AP936" s="929"/>
      <c r="AQ936" s="929"/>
      <c r="AR936" s="929"/>
      <c r="AS936" s="127"/>
      <c r="AT936" s="127"/>
      <c r="AU936" s="127"/>
      <c r="AV936" s="127"/>
      <c r="AW936" s="127"/>
      <c r="AX936" s="127"/>
      <c r="AY936" s="127"/>
      <c r="AZ936" s="127"/>
      <c r="BA936" s="127"/>
    </row>
    <row r="937" spans="1:53" s="40" customFormat="1" hidden="1" x14ac:dyDescent="0.2">
      <c r="A937" s="127"/>
      <c r="B937" s="51"/>
      <c r="C937" s="42"/>
      <c r="D937" s="42"/>
      <c r="E937" s="53"/>
      <c r="F937" s="53"/>
      <c r="G937" s="211">
        <v>2</v>
      </c>
      <c r="H937" s="211">
        <v>5000</v>
      </c>
      <c r="I937" s="257">
        <f>I936+$I$933</f>
        <v>2850</v>
      </c>
      <c r="J937" s="568"/>
      <c r="K937" s="117"/>
      <c r="L937" s="939"/>
      <c r="M937" s="641"/>
      <c r="N937" s="929"/>
      <c r="O937" s="929"/>
      <c r="P937" s="930"/>
      <c r="Q937" s="929"/>
      <c r="R937" s="929"/>
      <c r="S937" s="929"/>
      <c r="T937" s="929"/>
      <c r="U937" s="929"/>
      <c r="V937" s="929"/>
      <c r="W937" s="929"/>
      <c r="X937" s="929"/>
      <c r="Y937" s="929"/>
      <c r="Z937" s="929"/>
      <c r="AA937" s="929"/>
      <c r="AB937" s="929"/>
      <c r="AC937" s="929"/>
      <c r="AD937" s="929"/>
      <c r="AE937" s="929"/>
      <c r="AF937" s="929"/>
      <c r="AG937" s="929"/>
      <c r="AH937" s="929"/>
      <c r="AI937" s="929"/>
      <c r="AJ937" s="929"/>
      <c r="AK937" s="931"/>
      <c r="AL937" s="929"/>
      <c r="AM937" s="929"/>
      <c r="AN937" s="929"/>
      <c r="AO937" s="929"/>
      <c r="AP937" s="929"/>
      <c r="AQ937" s="929"/>
      <c r="AR937" s="929"/>
      <c r="AS937" s="127"/>
      <c r="AT937" s="127"/>
      <c r="AU937" s="127"/>
      <c r="AV937" s="127"/>
      <c r="AW937" s="127"/>
      <c r="AX937" s="127"/>
      <c r="AY937" s="127"/>
      <c r="AZ937" s="127"/>
      <c r="BA937" s="127"/>
    </row>
    <row r="938" spans="1:53" s="40" customFormat="1" hidden="1" x14ac:dyDescent="0.2">
      <c r="A938" s="127"/>
      <c r="B938" s="51"/>
      <c r="C938" s="42"/>
      <c r="D938" s="42"/>
      <c r="E938" s="53"/>
      <c r="F938" s="53"/>
      <c r="G938" s="211">
        <v>3</v>
      </c>
      <c r="H938" s="211">
        <v>8000</v>
      </c>
      <c r="I938" s="257">
        <f t="shared" ref="I938:I958" si="175">I937+$I$933</f>
        <v>3800</v>
      </c>
      <c r="J938" s="568"/>
      <c r="K938" s="117"/>
      <c r="L938" s="939"/>
      <c r="M938" s="641"/>
      <c r="N938" s="929"/>
      <c r="O938" s="929"/>
      <c r="P938" s="930"/>
      <c r="Q938" s="929"/>
      <c r="R938" s="929"/>
      <c r="S938" s="929"/>
      <c r="T938" s="929"/>
      <c r="U938" s="929"/>
      <c r="V938" s="929"/>
      <c r="W938" s="929"/>
      <c r="X938" s="929"/>
      <c r="Y938" s="929"/>
      <c r="Z938" s="929"/>
      <c r="AA938" s="929"/>
      <c r="AB938" s="929"/>
      <c r="AC938" s="929"/>
      <c r="AD938" s="929"/>
      <c r="AE938" s="929"/>
      <c r="AF938" s="929"/>
      <c r="AG938" s="929"/>
      <c r="AH938" s="929"/>
      <c r="AI938" s="929"/>
      <c r="AJ938" s="929"/>
      <c r="AK938" s="931"/>
      <c r="AL938" s="929"/>
      <c r="AM938" s="929"/>
      <c r="AN938" s="929"/>
      <c r="AO938" s="929"/>
      <c r="AP938" s="929"/>
      <c r="AQ938" s="929"/>
      <c r="AR938" s="929"/>
      <c r="AS938" s="127"/>
      <c r="AT938" s="127"/>
      <c r="AU938" s="127"/>
      <c r="AV938" s="127"/>
      <c r="AW938" s="127"/>
      <c r="AX938" s="127"/>
      <c r="AY938" s="127"/>
      <c r="AZ938" s="127"/>
      <c r="BA938" s="127"/>
    </row>
    <row r="939" spans="1:53" s="40" customFormat="1" hidden="1" x14ac:dyDescent="0.2">
      <c r="A939" s="127"/>
      <c r="B939" s="51"/>
      <c r="C939" s="42"/>
      <c r="D939" s="42"/>
      <c r="E939" s="53"/>
      <c r="F939" s="53"/>
      <c r="G939" s="258">
        <v>4</v>
      </c>
      <c r="H939" s="258">
        <v>10000</v>
      </c>
      <c r="I939" s="257">
        <f t="shared" si="175"/>
        <v>4750</v>
      </c>
      <c r="J939" s="568"/>
      <c r="K939" s="117"/>
      <c r="L939" s="939"/>
      <c r="M939" s="641"/>
      <c r="N939" s="929"/>
      <c r="O939" s="929"/>
      <c r="P939" s="930"/>
      <c r="Q939" s="929"/>
      <c r="R939" s="929"/>
      <c r="S939" s="929"/>
      <c r="T939" s="929"/>
      <c r="U939" s="929"/>
      <c r="V939" s="929"/>
      <c r="W939" s="929"/>
      <c r="X939" s="929"/>
      <c r="Y939" s="929"/>
      <c r="Z939" s="929"/>
      <c r="AA939" s="929"/>
      <c r="AB939" s="929"/>
      <c r="AC939" s="929"/>
      <c r="AD939" s="929"/>
      <c r="AE939" s="929"/>
      <c r="AF939" s="929"/>
      <c r="AG939" s="929"/>
      <c r="AH939" s="929"/>
      <c r="AI939" s="929"/>
      <c r="AJ939" s="929"/>
      <c r="AK939" s="931"/>
      <c r="AL939" s="929"/>
      <c r="AM939" s="929"/>
      <c r="AN939" s="929"/>
      <c r="AO939" s="929"/>
      <c r="AP939" s="929"/>
      <c r="AQ939" s="929"/>
      <c r="AR939" s="929"/>
      <c r="AS939" s="127"/>
      <c r="AT939" s="127"/>
      <c r="AU939" s="127"/>
      <c r="AV939" s="127"/>
      <c r="AW939" s="127"/>
      <c r="AX939" s="127"/>
      <c r="AY939" s="127"/>
      <c r="AZ939" s="127"/>
      <c r="BA939" s="127"/>
    </row>
    <row r="940" spans="1:53" s="40" customFormat="1" hidden="1" x14ac:dyDescent="0.2">
      <c r="A940" s="127"/>
      <c r="B940" s="51"/>
      <c r="C940" s="42"/>
      <c r="D940" s="42"/>
      <c r="E940" s="53"/>
      <c r="F940" s="53"/>
      <c r="G940" s="258">
        <f>G939+1</f>
        <v>5</v>
      </c>
      <c r="H940" s="258">
        <f t="shared" ref="H940:H958" si="176">G940*$H$933</f>
        <v>12500</v>
      </c>
      <c r="I940" s="257">
        <f t="shared" si="175"/>
        <v>5700</v>
      </c>
      <c r="J940" s="568"/>
      <c r="K940" s="117"/>
      <c r="L940" s="939"/>
      <c r="M940" s="641"/>
      <c r="N940" s="929"/>
      <c r="O940" s="929"/>
      <c r="P940" s="930"/>
      <c r="Q940" s="929"/>
      <c r="R940" s="929"/>
      <c r="S940" s="929"/>
      <c r="T940" s="929"/>
      <c r="U940" s="929"/>
      <c r="V940" s="929"/>
      <c r="W940" s="929"/>
      <c r="X940" s="929"/>
      <c r="Y940" s="929"/>
      <c r="Z940" s="929"/>
      <c r="AA940" s="929"/>
      <c r="AB940" s="929"/>
      <c r="AC940" s="929"/>
      <c r="AD940" s="929"/>
      <c r="AE940" s="929"/>
      <c r="AF940" s="929"/>
      <c r="AG940" s="929"/>
      <c r="AH940" s="929"/>
      <c r="AI940" s="929"/>
      <c r="AJ940" s="929"/>
      <c r="AK940" s="931"/>
      <c r="AL940" s="929"/>
      <c r="AM940" s="929"/>
      <c r="AN940" s="929"/>
      <c r="AO940" s="929"/>
      <c r="AP940" s="929"/>
      <c r="AQ940" s="929"/>
      <c r="AR940" s="929"/>
      <c r="AS940" s="127"/>
      <c r="AT940" s="127"/>
      <c r="AU940" s="127"/>
      <c r="AV940" s="127"/>
      <c r="AW940" s="127"/>
      <c r="AX940" s="127"/>
      <c r="AY940" s="127"/>
      <c r="AZ940" s="127"/>
      <c r="BA940" s="127"/>
    </row>
    <row r="941" spans="1:53" s="40" customFormat="1" hidden="1" x14ac:dyDescent="0.2">
      <c r="A941" s="127"/>
      <c r="B941" s="51"/>
      <c r="C941" s="42"/>
      <c r="D941" s="42"/>
      <c r="E941" s="53"/>
      <c r="F941" s="53"/>
      <c r="G941" s="258">
        <f t="shared" ref="G941:G958" si="177">G940+1</f>
        <v>6</v>
      </c>
      <c r="H941" s="258">
        <f t="shared" si="176"/>
        <v>15000</v>
      </c>
      <c r="I941" s="257">
        <f t="shared" si="175"/>
        <v>6650</v>
      </c>
      <c r="J941" s="568"/>
      <c r="K941" s="117"/>
      <c r="L941" s="939"/>
      <c r="M941" s="641"/>
      <c r="N941" s="929"/>
      <c r="O941" s="929"/>
      <c r="P941" s="930"/>
      <c r="Q941" s="929"/>
      <c r="R941" s="929"/>
      <c r="S941" s="929"/>
      <c r="T941" s="929"/>
      <c r="U941" s="929"/>
      <c r="V941" s="929"/>
      <c r="W941" s="929"/>
      <c r="X941" s="929"/>
      <c r="Y941" s="929"/>
      <c r="Z941" s="929"/>
      <c r="AA941" s="929"/>
      <c r="AB941" s="929"/>
      <c r="AC941" s="929"/>
      <c r="AD941" s="929"/>
      <c r="AE941" s="929"/>
      <c r="AF941" s="929"/>
      <c r="AG941" s="929"/>
      <c r="AH941" s="929"/>
      <c r="AI941" s="929"/>
      <c r="AJ941" s="929"/>
      <c r="AK941" s="931"/>
      <c r="AL941" s="929"/>
      <c r="AM941" s="929"/>
      <c r="AN941" s="929"/>
      <c r="AO941" s="929"/>
      <c r="AP941" s="929"/>
      <c r="AQ941" s="929"/>
      <c r="AR941" s="929"/>
      <c r="AS941" s="127"/>
      <c r="AT941" s="127"/>
      <c r="AU941" s="127"/>
      <c r="AV941" s="127"/>
      <c r="AW941" s="127"/>
      <c r="AX941" s="127"/>
      <c r="AY941" s="127"/>
      <c r="AZ941" s="127"/>
      <c r="BA941" s="127"/>
    </row>
    <row r="942" spans="1:53" s="40" customFormat="1" hidden="1" x14ac:dyDescent="0.2">
      <c r="A942" s="127"/>
      <c r="B942" s="51"/>
      <c r="C942" s="42"/>
      <c r="D942" s="42"/>
      <c r="E942" s="53"/>
      <c r="F942" s="53"/>
      <c r="G942" s="258">
        <f t="shared" si="177"/>
        <v>7</v>
      </c>
      <c r="H942" s="258">
        <f t="shared" si="176"/>
        <v>17500</v>
      </c>
      <c r="I942" s="257">
        <f t="shared" si="175"/>
        <v>7600</v>
      </c>
      <c r="J942" s="568"/>
      <c r="K942" s="117"/>
      <c r="L942" s="939"/>
      <c r="M942" s="641"/>
      <c r="N942" s="929"/>
      <c r="O942" s="929"/>
      <c r="P942" s="930"/>
      <c r="Q942" s="929"/>
      <c r="R942" s="929"/>
      <c r="S942" s="929"/>
      <c r="T942" s="929"/>
      <c r="U942" s="929"/>
      <c r="V942" s="929"/>
      <c r="W942" s="929"/>
      <c r="X942" s="929"/>
      <c r="Y942" s="929"/>
      <c r="Z942" s="929"/>
      <c r="AA942" s="929"/>
      <c r="AB942" s="929"/>
      <c r="AC942" s="929"/>
      <c r="AD942" s="929"/>
      <c r="AE942" s="929"/>
      <c r="AF942" s="929"/>
      <c r="AG942" s="929"/>
      <c r="AH942" s="929"/>
      <c r="AI942" s="929"/>
      <c r="AJ942" s="929"/>
      <c r="AK942" s="931"/>
      <c r="AL942" s="929"/>
      <c r="AM942" s="929"/>
      <c r="AN942" s="929"/>
      <c r="AO942" s="929"/>
      <c r="AP942" s="929"/>
      <c r="AQ942" s="929"/>
      <c r="AR942" s="929"/>
      <c r="AS942" s="127"/>
      <c r="AT942" s="127"/>
      <c r="AU942" s="127"/>
      <c r="AV942" s="127"/>
      <c r="AW942" s="127"/>
      <c r="AX942" s="127"/>
      <c r="AY942" s="127"/>
      <c r="AZ942" s="127"/>
      <c r="BA942" s="127"/>
    </row>
    <row r="943" spans="1:53" s="40" customFormat="1" hidden="1" x14ac:dyDescent="0.2">
      <c r="A943" s="127"/>
      <c r="B943" s="51"/>
      <c r="C943" s="42"/>
      <c r="D943" s="42"/>
      <c r="E943" s="53"/>
      <c r="F943" s="53"/>
      <c r="G943" s="258">
        <f t="shared" si="177"/>
        <v>8</v>
      </c>
      <c r="H943" s="258">
        <f t="shared" si="176"/>
        <v>20000</v>
      </c>
      <c r="I943" s="257">
        <f t="shared" si="175"/>
        <v>8550</v>
      </c>
      <c r="J943" s="568"/>
      <c r="K943" s="117"/>
      <c r="L943" s="939"/>
      <c r="M943" s="641"/>
      <c r="N943" s="929"/>
      <c r="O943" s="929"/>
      <c r="P943" s="930"/>
      <c r="Q943" s="929"/>
      <c r="R943" s="929"/>
      <c r="S943" s="929"/>
      <c r="T943" s="929"/>
      <c r="U943" s="929"/>
      <c r="V943" s="929"/>
      <c r="W943" s="929"/>
      <c r="X943" s="929"/>
      <c r="Y943" s="929"/>
      <c r="Z943" s="929"/>
      <c r="AA943" s="929"/>
      <c r="AB943" s="929"/>
      <c r="AC943" s="929"/>
      <c r="AD943" s="929"/>
      <c r="AE943" s="929"/>
      <c r="AF943" s="929"/>
      <c r="AG943" s="929"/>
      <c r="AH943" s="929"/>
      <c r="AI943" s="929"/>
      <c r="AJ943" s="929"/>
      <c r="AK943" s="931"/>
      <c r="AL943" s="929"/>
      <c r="AM943" s="929"/>
      <c r="AN943" s="929"/>
      <c r="AO943" s="929"/>
      <c r="AP943" s="929"/>
      <c r="AQ943" s="929"/>
      <c r="AR943" s="929"/>
      <c r="AS943" s="127"/>
      <c r="AT943" s="127"/>
      <c r="AU943" s="127"/>
      <c r="AV943" s="127"/>
      <c r="AW943" s="127"/>
      <c r="AX943" s="127"/>
      <c r="AY943" s="127"/>
      <c r="AZ943" s="127"/>
      <c r="BA943" s="127"/>
    </row>
    <row r="944" spans="1:53" s="40" customFormat="1" hidden="1" x14ac:dyDescent="0.2">
      <c r="A944" s="127"/>
      <c r="B944" s="51"/>
      <c r="C944" s="42"/>
      <c r="D944" s="42"/>
      <c r="E944" s="53"/>
      <c r="F944" s="53"/>
      <c r="G944" s="258">
        <f t="shared" si="177"/>
        <v>9</v>
      </c>
      <c r="H944" s="258">
        <f t="shared" si="176"/>
        <v>22500</v>
      </c>
      <c r="I944" s="257">
        <f t="shared" si="175"/>
        <v>9500</v>
      </c>
      <c r="J944" s="568"/>
      <c r="K944" s="117"/>
      <c r="L944" s="939"/>
      <c r="M944" s="641"/>
      <c r="N944" s="929"/>
      <c r="O944" s="929"/>
      <c r="P944" s="930"/>
      <c r="Q944" s="929"/>
      <c r="R944" s="929"/>
      <c r="S944" s="929"/>
      <c r="T944" s="929"/>
      <c r="U944" s="929"/>
      <c r="V944" s="929"/>
      <c r="W944" s="929"/>
      <c r="X944" s="929"/>
      <c r="Y944" s="929"/>
      <c r="Z944" s="929"/>
      <c r="AA944" s="929"/>
      <c r="AB944" s="929"/>
      <c r="AC944" s="929"/>
      <c r="AD944" s="929"/>
      <c r="AE944" s="929"/>
      <c r="AF944" s="929"/>
      <c r="AG944" s="929"/>
      <c r="AH944" s="929"/>
      <c r="AI944" s="929"/>
      <c r="AJ944" s="929"/>
      <c r="AK944" s="931"/>
      <c r="AL944" s="929"/>
      <c r="AM944" s="929"/>
      <c r="AN944" s="929"/>
      <c r="AO944" s="929"/>
      <c r="AP944" s="929"/>
      <c r="AQ944" s="929"/>
      <c r="AR944" s="929"/>
      <c r="AS944" s="127"/>
      <c r="AT944" s="127"/>
      <c r="AU944" s="127"/>
      <c r="AV944" s="127"/>
      <c r="AW944" s="127"/>
      <c r="AX944" s="127"/>
      <c r="AY944" s="127"/>
      <c r="AZ944" s="127"/>
      <c r="BA944" s="127"/>
    </row>
    <row r="945" spans="1:53" s="40" customFormat="1" hidden="1" x14ac:dyDescent="0.2">
      <c r="A945" s="127"/>
      <c r="B945" s="51"/>
      <c r="C945" s="42"/>
      <c r="D945" s="42"/>
      <c r="E945" s="53"/>
      <c r="F945" s="53"/>
      <c r="G945" s="258">
        <f t="shared" si="177"/>
        <v>10</v>
      </c>
      <c r="H945" s="258">
        <f t="shared" si="176"/>
        <v>25000</v>
      </c>
      <c r="I945" s="257">
        <f t="shared" si="175"/>
        <v>10450</v>
      </c>
      <c r="J945" s="568"/>
      <c r="K945" s="117"/>
      <c r="L945" s="939"/>
      <c r="M945" s="641"/>
      <c r="N945" s="929"/>
      <c r="O945" s="929"/>
      <c r="P945" s="930"/>
      <c r="Q945" s="929"/>
      <c r="R945" s="929"/>
      <c r="S945" s="929"/>
      <c r="T945" s="929"/>
      <c r="U945" s="929"/>
      <c r="V945" s="929"/>
      <c r="W945" s="929"/>
      <c r="X945" s="929"/>
      <c r="Y945" s="929"/>
      <c r="Z945" s="929"/>
      <c r="AA945" s="929"/>
      <c r="AB945" s="929"/>
      <c r="AC945" s="929"/>
      <c r="AD945" s="929"/>
      <c r="AE945" s="929"/>
      <c r="AF945" s="929"/>
      <c r="AG945" s="929"/>
      <c r="AH945" s="929"/>
      <c r="AI945" s="929"/>
      <c r="AJ945" s="929"/>
      <c r="AK945" s="931"/>
      <c r="AL945" s="929"/>
      <c r="AM945" s="929"/>
      <c r="AN945" s="929"/>
      <c r="AO945" s="929"/>
      <c r="AP945" s="929"/>
      <c r="AQ945" s="929"/>
      <c r="AR945" s="929"/>
      <c r="AS945" s="127"/>
      <c r="AT945" s="127"/>
      <c r="AU945" s="127"/>
      <c r="AV945" s="127"/>
      <c r="AW945" s="127"/>
      <c r="AX945" s="127"/>
      <c r="AY945" s="127"/>
      <c r="AZ945" s="127"/>
      <c r="BA945" s="127"/>
    </row>
    <row r="946" spans="1:53" s="40" customFormat="1" hidden="1" x14ac:dyDescent="0.2">
      <c r="A946" s="127"/>
      <c r="B946" s="51"/>
      <c r="C946" s="42"/>
      <c r="D946" s="42"/>
      <c r="E946" s="53"/>
      <c r="F946" s="53"/>
      <c r="G946" s="258">
        <f t="shared" si="177"/>
        <v>11</v>
      </c>
      <c r="H946" s="258">
        <f t="shared" si="176"/>
        <v>27500</v>
      </c>
      <c r="I946" s="257">
        <f t="shared" si="175"/>
        <v>11400</v>
      </c>
      <c r="J946" s="568"/>
      <c r="K946" s="117"/>
      <c r="L946" s="939"/>
      <c r="M946" s="641"/>
      <c r="N946" s="929"/>
      <c r="O946" s="929"/>
      <c r="P946" s="930"/>
      <c r="Q946" s="929"/>
      <c r="R946" s="929"/>
      <c r="S946" s="929"/>
      <c r="T946" s="929"/>
      <c r="U946" s="929"/>
      <c r="V946" s="929"/>
      <c r="W946" s="929"/>
      <c r="X946" s="929"/>
      <c r="Y946" s="929"/>
      <c r="Z946" s="929"/>
      <c r="AA946" s="929"/>
      <c r="AB946" s="929"/>
      <c r="AC946" s="929"/>
      <c r="AD946" s="929"/>
      <c r="AE946" s="929"/>
      <c r="AF946" s="929"/>
      <c r="AG946" s="929"/>
      <c r="AH946" s="929"/>
      <c r="AI946" s="929"/>
      <c r="AJ946" s="929"/>
      <c r="AK946" s="931"/>
      <c r="AL946" s="929"/>
      <c r="AM946" s="929"/>
      <c r="AN946" s="929"/>
      <c r="AO946" s="929"/>
      <c r="AP946" s="929"/>
      <c r="AQ946" s="929"/>
      <c r="AR946" s="929"/>
      <c r="AS946" s="127"/>
      <c r="AT946" s="127"/>
      <c r="AU946" s="127"/>
      <c r="AV946" s="127"/>
      <c r="AW946" s="127"/>
      <c r="AX946" s="127"/>
      <c r="AY946" s="127"/>
      <c r="AZ946" s="127"/>
      <c r="BA946" s="127"/>
    </row>
    <row r="947" spans="1:53" s="40" customFormat="1" hidden="1" x14ac:dyDescent="0.2">
      <c r="A947" s="127"/>
      <c r="B947" s="51"/>
      <c r="C947" s="42"/>
      <c r="D947" s="42"/>
      <c r="E947" s="53"/>
      <c r="F947" s="53"/>
      <c r="G947" s="258">
        <f t="shared" si="177"/>
        <v>12</v>
      </c>
      <c r="H947" s="258">
        <f t="shared" si="176"/>
        <v>30000</v>
      </c>
      <c r="I947" s="257">
        <f t="shared" si="175"/>
        <v>12350</v>
      </c>
      <c r="J947" s="568"/>
      <c r="K947" s="117"/>
      <c r="L947" s="939"/>
      <c r="M947" s="641"/>
      <c r="N947" s="929"/>
      <c r="O947" s="929"/>
      <c r="P947" s="930"/>
      <c r="Q947" s="929"/>
      <c r="R947" s="929"/>
      <c r="S947" s="929"/>
      <c r="T947" s="929"/>
      <c r="U947" s="929"/>
      <c r="V947" s="929"/>
      <c r="W947" s="929"/>
      <c r="X947" s="929"/>
      <c r="Y947" s="929"/>
      <c r="Z947" s="929"/>
      <c r="AA947" s="929"/>
      <c r="AB947" s="929"/>
      <c r="AC947" s="929"/>
      <c r="AD947" s="929"/>
      <c r="AE947" s="929"/>
      <c r="AF947" s="929"/>
      <c r="AG947" s="929"/>
      <c r="AH947" s="929"/>
      <c r="AI947" s="929"/>
      <c r="AJ947" s="929"/>
      <c r="AK947" s="931"/>
      <c r="AL947" s="929"/>
      <c r="AM947" s="929"/>
      <c r="AN947" s="929"/>
      <c r="AO947" s="929"/>
      <c r="AP947" s="929"/>
      <c r="AQ947" s="929"/>
      <c r="AR947" s="929"/>
      <c r="AS947" s="127"/>
      <c r="AT947" s="127"/>
      <c r="AU947" s="127"/>
      <c r="AV947" s="127"/>
      <c r="AW947" s="127"/>
      <c r="AX947" s="127"/>
      <c r="AY947" s="127"/>
      <c r="AZ947" s="127"/>
      <c r="BA947" s="127"/>
    </row>
    <row r="948" spans="1:53" s="40" customFormat="1" hidden="1" x14ac:dyDescent="0.2">
      <c r="A948" s="127"/>
      <c r="B948" s="51"/>
      <c r="C948" s="42"/>
      <c r="D948" s="42"/>
      <c r="E948" s="53"/>
      <c r="F948" s="53"/>
      <c r="G948" s="258">
        <f t="shared" si="177"/>
        <v>13</v>
      </c>
      <c r="H948" s="258">
        <f t="shared" si="176"/>
        <v>32500</v>
      </c>
      <c r="I948" s="257">
        <f t="shared" si="175"/>
        <v>13300</v>
      </c>
      <c r="J948" s="568"/>
      <c r="K948" s="117"/>
      <c r="L948" s="939"/>
      <c r="M948" s="641"/>
      <c r="N948" s="929"/>
      <c r="O948" s="929"/>
      <c r="P948" s="930"/>
      <c r="Q948" s="929"/>
      <c r="R948" s="929"/>
      <c r="S948" s="929"/>
      <c r="T948" s="929"/>
      <c r="U948" s="929"/>
      <c r="V948" s="929"/>
      <c r="W948" s="929"/>
      <c r="X948" s="929"/>
      <c r="Y948" s="929"/>
      <c r="Z948" s="929"/>
      <c r="AA948" s="929"/>
      <c r="AB948" s="929"/>
      <c r="AC948" s="929"/>
      <c r="AD948" s="929"/>
      <c r="AE948" s="929"/>
      <c r="AF948" s="929"/>
      <c r="AG948" s="929"/>
      <c r="AH948" s="929"/>
      <c r="AI948" s="929"/>
      <c r="AJ948" s="929"/>
      <c r="AK948" s="931"/>
      <c r="AL948" s="929"/>
      <c r="AM948" s="929"/>
      <c r="AN948" s="929"/>
      <c r="AO948" s="929"/>
      <c r="AP948" s="929"/>
      <c r="AQ948" s="929"/>
      <c r="AR948" s="929"/>
      <c r="AS948" s="127"/>
      <c r="AT948" s="127"/>
      <c r="AU948" s="127"/>
      <c r="AV948" s="127"/>
      <c r="AW948" s="127"/>
      <c r="AX948" s="127"/>
      <c r="AY948" s="127"/>
      <c r="AZ948" s="127"/>
      <c r="BA948" s="127"/>
    </row>
    <row r="949" spans="1:53" s="40" customFormat="1" hidden="1" x14ac:dyDescent="0.2">
      <c r="A949" s="127"/>
      <c r="B949" s="51"/>
      <c r="C949" s="42"/>
      <c r="D949" s="42"/>
      <c r="E949" s="53"/>
      <c r="F949" s="53"/>
      <c r="G949" s="258">
        <f t="shared" si="177"/>
        <v>14</v>
      </c>
      <c r="H949" s="258">
        <f t="shared" si="176"/>
        <v>35000</v>
      </c>
      <c r="I949" s="257">
        <f t="shared" si="175"/>
        <v>14250</v>
      </c>
      <c r="J949" s="568"/>
      <c r="K949" s="117"/>
      <c r="L949" s="939"/>
      <c r="M949" s="641"/>
      <c r="N949" s="929"/>
      <c r="O949" s="929"/>
      <c r="P949" s="930"/>
      <c r="Q949" s="929"/>
      <c r="R949" s="929"/>
      <c r="S949" s="929"/>
      <c r="T949" s="929"/>
      <c r="U949" s="929"/>
      <c r="V949" s="929"/>
      <c r="W949" s="929"/>
      <c r="X949" s="929"/>
      <c r="Y949" s="929"/>
      <c r="Z949" s="929"/>
      <c r="AA949" s="929"/>
      <c r="AB949" s="929"/>
      <c r="AC949" s="929"/>
      <c r="AD949" s="929"/>
      <c r="AE949" s="929"/>
      <c r="AF949" s="929"/>
      <c r="AG949" s="929"/>
      <c r="AH949" s="929"/>
      <c r="AI949" s="929"/>
      <c r="AJ949" s="929"/>
      <c r="AK949" s="931"/>
      <c r="AL949" s="929"/>
      <c r="AM949" s="929"/>
      <c r="AN949" s="929"/>
      <c r="AO949" s="929"/>
      <c r="AP949" s="929"/>
      <c r="AQ949" s="929"/>
      <c r="AR949" s="929"/>
      <c r="AS949" s="127"/>
      <c r="AT949" s="127"/>
      <c r="AU949" s="127"/>
      <c r="AV949" s="127"/>
      <c r="AW949" s="127"/>
      <c r="AX949" s="127"/>
      <c r="AY949" s="127"/>
      <c r="AZ949" s="127"/>
      <c r="BA949" s="127"/>
    </row>
    <row r="950" spans="1:53" s="40" customFormat="1" hidden="1" x14ac:dyDescent="0.2">
      <c r="A950" s="127"/>
      <c r="B950" s="51"/>
      <c r="C950" s="42"/>
      <c r="D950" s="42"/>
      <c r="E950" s="53"/>
      <c r="F950" s="53"/>
      <c r="G950" s="258">
        <f t="shared" si="177"/>
        <v>15</v>
      </c>
      <c r="H950" s="258">
        <f t="shared" si="176"/>
        <v>37500</v>
      </c>
      <c r="I950" s="257">
        <f t="shared" si="175"/>
        <v>15200</v>
      </c>
      <c r="J950" s="568"/>
      <c r="K950" s="117"/>
      <c r="L950" s="939"/>
      <c r="M950" s="641"/>
      <c r="N950" s="929"/>
      <c r="O950" s="929"/>
      <c r="P950" s="930"/>
      <c r="Q950" s="929"/>
      <c r="R950" s="929"/>
      <c r="S950" s="929"/>
      <c r="T950" s="929"/>
      <c r="U950" s="929"/>
      <c r="V950" s="929"/>
      <c r="W950" s="929"/>
      <c r="X950" s="929"/>
      <c r="Y950" s="929"/>
      <c r="Z950" s="929"/>
      <c r="AA950" s="929"/>
      <c r="AB950" s="929"/>
      <c r="AC950" s="929"/>
      <c r="AD950" s="929"/>
      <c r="AE950" s="929"/>
      <c r="AF950" s="929"/>
      <c r="AG950" s="929"/>
      <c r="AH950" s="929"/>
      <c r="AI950" s="929"/>
      <c r="AJ950" s="929"/>
      <c r="AK950" s="931"/>
      <c r="AL950" s="929"/>
      <c r="AM950" s="929"/>
      <c r="AN950" s="929"/>
      <c r="AO950" s="929"/>
      <c r="AP950" s="929"/>
      <c r="AQ950" s="929"/>
      <c r="AR950" s="929"/>
      <c r="AS950" s="127"/>
      <c r="AT950" s="127"/>
      <c r="AU950" s="127"/>
      <c r="AV950" s="127"/>
      <c r="AW950" s="127"/>
      <c r="AX950" s="127"/>
      <c r="AY950" s="127"/>
      <c r="AZ950" s="127"/>
      <c r="BA950" s="127"/>
    </row>
    <row r="951" spans="1:53" s="40" customFormat="1" hidden="1" x14ac:dyDescent="0.2">
      <c r="A951" s="127"/>
      <c r="B951" s="51"/>
      <c r="C951" s="42"/>
      <c r="D951" s="42"/>
      <c r="E951" s="53"/>
      <c r="F951" s="53"/>
      <c r="G951" s="258">
        <f t="shared" si="177"/>
        <v>16</v>
      </c>
      <c r="H951" s="258">
        <f t="shared" si="176"/>
        <v>40000</v>
      </c>
      <c r="I951" s="257">
        <f t="shared" si="175"/>
        <v>16150</v>
      </c>
      <c r="J951" s="568"/>
      <c r="K951" s="117"/>
      <c r="L951" s="939"/>
      <c r="M951" s="641"/>
      <c r="N951" s="929"/>
      <c r="O951" s="929"/>
      <c r="P951" s="930"/>
      <c r="Q951" s="929"/>
      <c r="R951" s="929"/>
      <c r="S951" s="929"/>
      <c r="T951" s="929"/>
      <c r="U951" s="929"/>
      <c r="V951" s="929"/>
      <c r="W951" s="929"/>
      <c r="X951" s="929"/>
      <c r="Y951" s="929"/>
      <c r="Z951" s="929"/>
      <c r="AA951" s="929"/>
      <c r="AB951" s="929"/>
      <c r="AC951" s="929"/>
      <c r="AD951" s="929"/>
      <c r="AE951" s="929"/>
      <c r="AF951" s="929"/>
      <c r="AG951" s="929"/>
      <c r="AH951" s="929"/>
      <c r="AI951" s="929"/>
      <c r="AJ951" s="929"/>
      <c r="AK951" s="931"/>
      <c r="AL951" s="929"/>
      <c r="AM951" s="929"/>
      <c r="AN951" s="929"/>
      <c r="AO951" s="929"/>
      <c r="AP951" s="929"/>
      <c r="AQ951" s="929"/>
      <c r="AR951" s="929"/>
      <c r="AS951" s="127"/>
      <c r="AT951" s="127"/>
      <c r="AU951" s="127"/>
      <c r="AV951" s="127"/>
      <c r="AW951" s="127"/>
      <c r="AX951" s="127"/>
      <c r="AY951" s="127"/>
      <c r="AZ951" s="127"/>
      <c r="BA951" s="127"/>
    </row>
    <row r="952" spans="1:53" s="40" customFormat="1" hidden="1" x14ac:dyDescent="0.2">
      <c r="A952" s="127"/>
      <c r="B952" s="51"/>
      <c r="C952" s="42"/>
      <c r="D952" s="42"/>
      <c r="E952" s="53"/>
      <c r="F952" s="53"/>
      <c r="G952" s="258">
        <f t="shared" si="177"/>
        <v>17</v>
      </c>
      <c r="H952" s="258">
        <f t="shared" si="176"/>
        <v>42500</v>
      </c>
      <c r="I952" s="257">
        <f t="shared" si="175"/>
        <v>17100</v>
      </c>
      <c r="J952" s="568"/>
      <c r="K952" s="117"/>
      <c r="L952" s="939"/>
      <c r="M952" s="641"/>
      <c r="N952" s="929"/>
      <c r="O952" s="929"/>
      <c r="P952" s="930"/>
      <c r="Q952" s="929"/>
      <c r="R952" s="929"/>
      <c r="S952" s="929"/>
      <c r="T952" s="929"/>
      <c r="U952" s="929"/>
      <c r="V952" s="929"/>
      <c r="W952" s="929"/>
      <c r="X952" s="929"/>
      <c r="Y952" s="929"/>
      <c r="Z952" s="929"/>
      <c r="AA952" s="929"/>
      <c r="AB952" s="929"/>
      <c r="AC952" s="929"/>
      <c r="AD952" s="929"/>
      <c r="AE952" s="929"/>
      <c r="AF952" s="929"/>
      <c r="AG952" s="929"/>
      <c r="AH952" s="929"/>
      <c r="AI952" s="929"/>
      <c r="AJ952" s="929"/>
      <c r="AK952" s="931"/>
      <c r="AL952" s="929"/>
      <c r="AM952" s="929"/>
      <c r="AN952" s="929"/>
      <c r="AO952" s="929"/>
      <c r="AP952" s="929"/>
      <c r="AQ952" s="929"/>
      <c r="AR952" s="929"/>
      <c r="AS952" s="127"/>
      <c r="AT952" s="127"/>
      <c r="AU952" s="127"/>
      <c r="AV952" s="127"/>
      <c r="AW952" s="127"/>
      <c r="AX952" s="127"/>
      <c r="AY952" s="127"/>
      <c r="AZ952" s="127"/>
      <c r="BA952" s="127"/>
    </row>
    <row r="953" spans="1:53" s="40" customFormat="1" hidden="1" x14ac:dyDescent="0.2">
      <c r="A953" s="127"/>
      <c r="B953" s="51"/>
      <c r="C953" s="42"/>
      <c r="D953" s="42"/>
      <c r="E953" s="53"/>
      <c r="F953" s="53"/>
      <c r="G953" s="258">
        <f t="shared" si="177"/>
        <v>18</v>
      </c>
      <c r="H953" s="258">
        <f t="shared" si="176"/>
        <v>45000</v>
      </c>
      <c r="I953" s="257">
        <f t="shared" si="175"/>
        <v>18050</v>
      </c>
      <c r="J953" s="568"/>
      <c r="K953" s="117"/>
      <c r="L953" s="939"/>
      <c r="M953" s="641"/>
      <c r="N953" s="929"/>
      <c r="O953" s="929"/>
      <c r="P953" s="930"/>
      <c r="Q953" s="929"/>
      <c r="R953" s="929"/>
      <c r="S953" s="929"/>
      <c r="T953" s="929"/>
      <c r="U953" s="929"/>
      <c r="V953" s="929"/>
      <c r="W953" s="929"/>
      <c r="X953" s="929"/>
      <c r="Y953" s="929"/>
      <c r="Z953" s="929"/>
      <c r="AA953" s="929"/>
      <c r="AB953" s="929"/>
      <c r="AC953" s="929"/>
      <c r="AD953" s="929"/>
      <c r="AE953" s="929"/>
      <c r="AF953" s="929"/>
      <c r="AG953" s="929"/>
      <c r="AH953" s="929"/>
      <c r="AI953" s="929"/>
      <c r="AJ953" s="929"/>
      <c r="AK953" s="931"/>
      <c r="AL953" s="929"/>
      <c r="AM953" s="929"/>
      <c r="AN953" s="929"/>
      <c r="AO953" s="929"/>
      <c r="AP953" s="929"/>
      <c r="AQ953" s="929"/>
      <c r="AR953" s="929"/>
      <c r="AS953" s="127"/>
      <c r="AT953" s="127"/>
      <c r="AU953" s="127"/>
      <c r="AV953" s="127"/>
      <c r="AW953" s="127"/>
      <c r="AX953" s="127"/>
      <c r="AY953" s="127"/>
      <c r="AZ953" s="127"/>
      <c r="BA953" s="127"/>
    </row>
    <row r="954" spans="1:53" s="40" customFormat="1" hidden="1" x14ac:dyDescent="0.2">
      <c r="A954" s="127"/>
      <c r="B954" s="51"/>
      <c r="C954" s="42"/>
      <c r="D954" s="42"/>
      <c r="E954" s="53"/>
      <c r="F954" s="53"/>
      <c r="G954" s="258">
        <f t="shared" si="177"/>
        <v>19</v>
      </c>
      <c r="H954" s="258">
        <f t="shared" si="176"/>
        <v>47500</v>
      </c>
      <c r="I954" s="257">
        <f t="shared" si="175"/>
        <v>19000</v>
      </c>
      <c r="J954" s="568"/>
      <c r="K954" s="117"/>
      <c r="L954" s="939"/>
      <c r="M954" s="641"/>
      <c r="N954" s="929"/>
      <c r="O954" s="929"/>
      <c r="P954" s="930"/>
      <c r="Q954" s="929"/>
      <c r="R954" s="929"/>
      <c r="S954" s="929"/>
      <c r="T954" s="929"/>
      <c r="U954" s="929"/>
      <c r="V954" s="929"/>
      <c r="W954" s="929"/>
      <c r="X954" s="929"/>
      <c r="Y954" s="929"/>
      <c r="Z954" s="929"/>
      <c r="AA954" s="929"/>
      <c r="AB954" s="929"/>
      <c r="AC954" s="929"/>
      <c r="AD954" s="929"/>
      <c r="AE954" s="929"/>
      <c r="AF954" s="929"/>
      <c r="AG954" s="929"/>
      <c r="AH954" s="929"/>
      <c r="AI954" s="929"/>
      <c r="AJ954" s="929"/>
      <c r="AK954" s="931"/>
      <c r="AL954" s="929"/>
      <c r="AM954" s="929"/>
      <c r="AN954" s="929"/>
      <c r="AO954" s="929"/>
      <c r="AP954" s="929"/>
      <c r="AQ954" s="929"/>
      <c r="AR954" s="929"/>
      <c r="AS954" s="127"/>
      <c r="AT954" s="127"/>
      <c r="AU954" s="127"/>
      <c r="AV954" s="127"/>
      <c r="AW954" s="127"/>
      <c r="AX954" s="127"/>
      <c r="AY954" s="127"/>
      <c r="AZ954" s="127"/>
      <c r="BA954" s="127"/>
    </row>
    <row r="955" spans="1:53" s="40" customFormat="1" hidden="1" x14ac:dyDescent="0.2">
      <c r="A955" s="127"/>
      <c r="B955" s="51"/>
      <c r="C955" s="42"/>
      <c r="D955" s="42"/>
      <c r="E955" s="53"/>
      <c r="F955" s="53"/>
      <c r="G955" s="258">
        <f t="shared" si="177"/>
        <v>20</v>
      </c>
      <c r="H955" s="258">
        <f t="shared" si="176"/>
        <v>50000</v>
      </c>
      <c r="I955" s="257">
        <f t="shared" si="175"/>
        <v>19950</v>
      </c>
      <c r="J955" s="568"/>
      <c r="K955" s="117"/>
      <c r="L955" s="939"/>
      <c r="M955" s="641"/>
      <c r="N955" s="929"/>
      <c r="O955" s="929"/>
      <c r="P955" s="930"/>
      <c r="Q955" s="929"/>
      <c r="R955" s="929"/>
      <c r="S955" s="929"/>
      <c r="T955" s="929"/>
      <c r="U955" s="929"/>
      <c r="V955" s="929"/>
      <c r="W955" s="929"/>
      <c r="X955" s="929"/>
      <c r="Y955" s="929"/>
      <c r="Z955" s="929"/>
      <c r="AA955" s="929"/>
      <c r="AB955" s="929"/>
      <c r="AC955" s="929"/>
      <c r="AD955" s="929"/>
      <c r="AE955" s="929"/>
      <c r="AF955" s="929"/>
      <c r="AG955" s="929"/>
      <c r="AH955" s="929"/>
      <c r="AI955" s="929"/>
      <c r="AJ955" s="929"/>
      <c r="AK955" s="931"/>
      <c r="AL955" s="929"/>
      <c r="AM955" s="929"/>
      <c r="AN955" s="929"/>
      <c r="AO955" s="929"/>
      <c r="AP955" s="929"/>
      <c r="AQ955" s="929"/>
      <c r="AR955" s="929"/>
      <c r="AS955" s="127"/>
      <c r="AT955" s="127"/>
      <c r="AU955" s="127"/>
      <c r="AV955" s="127"/>
      <c r="AW955" s="127"/>
      <c r="AX955" s="127"/>
      <c r="AY955" s="127"/>
      <c r="AZ955" s="127"/>
      <c r="BA955" s="127"/>
    </row>
    <row r="956" spans="1:53" s="40" customFormat="1" hidden="1" x14ac:dyDescent="0.2">
      <c r="A956" s="127"/>
      <c r="B956" s="51"/>
      <c r="C956" s="42"/>
      <c r="D956" s="42"/>
      <c r="E956" s="53"/>
      <c r="F956" s="53"/>
      <c r="G956" s="258">
        <f t="shared" si="177"/>
        <v>21</v>
      </c>
      <c r="H956" s="258">
        <f t="shared" si="176"/>
        <v>52500</v>
      </c>
      <c r="I956" s="257">
        <f t="shared" si="175"/>
        <v>20900</v>
      </c>
      <c r="J956" s="568"/>
      <c r="K956" s="117"/>
      <c r="L956" s="939"/>
      <c r="M956" s="641"/>
      <c r="N956" s="929"/>
      <c r="O956" s="929"/>
      <c r="P956" s="930"/>
      <c r="Q956" s="929"/>
      <c r="R956" s="929"/>
      <c r="S956" s="929"/>
      <c r="T956" s="929"/>
      <c r="U956" s="929"/>
      <c r="V956" s="929"/>
      <c r="W956" s="929"/>
      <c r="X956" s="929"/>
      <c r="Y956" s="929"/>
      <c r="Z956" s="929"/>
      <c r="AA956" s="929"/>
      <c r="AB956" s="929"/>
      <c r="AC956" s="929"/>
      <c r="AD956" s="929"/>
      <c r="AE956" s="929"/>
      <c r="AF956" s="929"/>
      <c r="AG956" s="929"/>
      <c r="AH956" s="929"/>
      <c r="AI956" s="929"/>
      <c r="AJ956" s="929"/>
      <c r="AK956" s="931"/>
      <c r="AL956" s="929"/>
      <c r="AM956" s="929"/>
      <c r="AN956" s="929"/>
      <c r="AO956" s="929"/>
      <c r="AP956" s="929"/>
      <c r="AQ956" s="929"/>
      <c r="AR956" s="929"/>
      <c r="AS956" s="127"/>
      <c r="AT956" s="127"/>
      <c r="AU956" s="127"/>
      <c r="AV956" s="127"/>
      <c r="AW956" s="127"/>
      <c r="AX956" s="127"/>
      <c r="AY956" s="127"/>
      <c r="AZ956" s="127"/>
      <c r="BA956" s="127"/>
    </row>
    <row r="957" spans="1:53" s="40" customFormat="1" hidden="1" x14ac:dyDescent="0.2">
      <c r="A957" s="127"/>
      <c r="B957" s="51"/>
      <c r="C957" s="42"/>
      <c r="D957" s="42"/>
      <c r="E957" s="53"/>
      <c r="F957" s="53"/>
      <c r="G957" s="258">
        <f t="shared" si="177"/>
        <v>22</v>
      </c>
      <c r="H957" s="258">
        <f t="shared" si="176"/>
        <v>55000</v>
      </c>
      <c r="I957" s="257">
        <f t="shared" si="175"/>
        <v>21850</v>
      </c>
      <c r="J957" s="568"/>
      <c r="K957" s="117"/>
      <c r="L957" s="939"/>
      <c r="M957" s="641"/>
      <c r="N957" s="929"/>
      <c r="O957" s="929"/>
      <c r="P957" s="930"/>
      <c r="Q957" s="929"/>
      <c r="R957" s="929"/>
      <c r="S957" s="929"/>
      <c r="T957" s="929"/>
      <c r="U957" s="929"/>
      <c r="V957" s="929"/>
      <c r="W957" s="929"/>
      <c r="X957" s="929"/>
      <c r="Y957" s="929"/>
      <c r="Z957" s="929"/>
      <c r="AA957" s="929"/>
      <c r="AB957" s="929"/>
      <c r="AC957" s="929"/>
      <c r="AD957" s="929"/>
      <c r="AE957" s="929"/>
      <c r="AF957" s="929"/>
      <c r="AG957" s="929"/>
      <c r="AH957" s="929"/>
      <c r="AI957" s="929"/>
      <c r="AJ957" s="929"/>
      <c r="AK957" s="931"/>
      <c r="AL957" s="929"/>
      <c r="AM957" s="929"/>
      <c r="AN957" s="929"/>
      <c r="AO957" s="929"/>
      <c r="AP957" s="929"/>
      <c r="AQ957" s="929"/>
      <c r="AR957" s="929"/>
      <c r="AS957" s="127"/>
      <c r="AT957" s="127"/>
      <c r="AU957" s="127"/>
      <c r="AV957" s="127"/>
      <c r="AW957" s="127"/>
      <c r="AX957" s="127"/>
      <c r="AY957" s="127"/>
      <c r="AZ957" s="127"/>
      <c r="BA957" s="127"/>
    </row>
    <row r="958" spans="1:53" s="40" customFormat="1" hidden="1" x14ac:dyDescent="0.2">
      <c r="A958" s="127"/>
      <c r="B958" s="51"/>
      <c r="C958" s="42"/>
      <c r="D958" s="42"/>
      <c r="E958" s="53"/>
      <c r="F958" s="53"/>
      <c r="G958" s="258">
        <f t="shared" si="177"/>
        <v>23</v>
      </c>
      <c r="H958" s="258">
        <f t="shared" si="176"/>
        <v>57500</v>
      </c>
      <c r="I958" s="257">
        <f t="shared" si="175"/>
        <v>22800</v>
      </c>
      <c r="J958" s="568"/>
      <c r="K958" s="117"/>
      <c r="L958" s="939"/>
      <c r="M958" s="641"/>
      <c r="N958" s="929"/>
      <c r="O958" s="929"/>
      <c r="P958" s="930"/>
      <c r="Q958" s="929"/>
      <c r="R958" s="929"/>
      <c r="S958" s="929"/>
      <c r="T958" s="929"/>
      <c r="U958" s="929"/>
      <c r="V958" s="929"/>
      <c r="W958" s="929"/>
      <c r="X958" s="929"/>
      <c r="Y958" s="929"/>
      <c r="Z958" s="929"/>
      <c r="AA958" s="929"/>
      <c r="AB958" s="929"/>
      <c r="AC958" s="929"/>
      <c r="AD958" s="929"/>
      <c r="AE958" s="929"/>
      <c r="AF958" s="929"/>
      <c r="AG958" s="929"/>
      <c r="AH958" s="929"/>
      <c r="AI958" s="929"/>
      <c r="AJ958" s="929"/>
      <c r="AK958" s="931"/>
      <c r="AL958" s="929"/>
      <c r="AM958" s="929"/>
      <c r="AN958" s="929"/>
      <c r="AO958" s="929"/>
      <c r="AP958" s="929"/>
      <c r="AQ958" s="929"/>
      <c r="AR958" s="929"/>
      <c r="AS958" s="127"/>
      <c r="AT958" s="127"/>
      <c r="AU958" s="127"/>
      <c r="AV958" s="127"/>
      <c r="AW958" s="127"/>
      <c r="AX958" s="127"/>
      <c r="AY958" s="127"/>
      <c r="AZ958" s="127"/>
      <c r="BA958" s="127"/>
    </row>
    <row r="959" spans="1:53" s="40" customFormat="1" hidden="1" x14ac:dyDescent="0.2">
      <c r="A959" s="127"/>
      <c r="B959" s="51"/>
      <c r="C959" s="42"/>
      <c r="D959" s="42"/>
      <c r="E959" s="53"/>
      <c r="F959" s="87" t="s">
        <v>205</v>
      </c>
      <c r="G959" s="258"/>
      <c r="H959" s="258"/>
      <c r="I959" s="257" t="s">
        <v>17</v>
      </c>
      <c r="J959" s="568"/>
      <c r="K959" s="117"/>
      <c r="L959" s="939"/>
      <c r="M959" s="641"/>
      <c r="N959" s="929"/>
      <c r="O959" s="929"/>
      <c r="P959" s="930"/>
      <c r="Q959" s="929"/>
      <c r="R959" s="929"/>
      <c r="S959" s="929"/>
      <c r="T959" s="929"/>
      <c r="U959" s="929"/>
      <c r="V959" s="929"/>
      <c r="W959" s="929"/>
      <c r="X959" s="929"/>
      <c r="Y959" s="929"/>
      <c r="Z959" s="929"/>
      <c r="AA959" s="929"/>
      <c r="AB959" s="929"/>
      <c r="AC959" s="929"/>
      <c r="AD959" s="929"/>
      <c r="AE959" s="929"/>
      <c r="AF959" s="929"/>
      <c r="AG959" s="929"/>
      <c r="AH959" s="929"/>
      <c r="AI959" s="929"/>
      <c r="AJ959" s="929"/>
      <c r="AK959" s="931"/>
      <c r="AL959" s="929"/>
      <c r="AM959" s="929"/>
      <c r="AN959" s="929"/>
      <c r="AO959" s="929"/>
      <c r="AP959" s="929"/>
      <c r="AQ959" s="929"/>
      <c r="AR959" s="929"/>
      <c r="AS959" s="127"/>
      <c r="AT959" s="127"/>
      <c r="AU959" s="127"/>
      <c r="AV959" s="127"/>
      <c r="AW959" s="127"/>
      <c r="AX959" s="127"/>
      <c r="AY959" s="127"/>
      <c r="AZ959" s="127"/>
      <c r="BA959" s="127"/>
    </row>
    <row r="960" spans="1:53" s="40" customFormat="1" hidden="1" x14ac:dyDescent="0.2">
      <c r="A960" s="127"/>
      <c r="B960" s="51"/>
      <c r="C960" s="42"/>
      <c r="D960" s="42"/>
      <c r="E960" s="53"/>
      <c r="F960" s="87" t="s">
        <v>46</v>
      </c>
      <c r="G960" s="85"/>
      <c r="H960" s="86"/>
      <c r="I960" s="259">
        <v>125</v>
      </c>
      <c r="J960" s="568"/>
      <c r="K960" s="117"/>
      <c r="L960" s="939"/>
      <c r="M960" s="641"/>
      <c r="N960" s="929"/>
      <c r="O960" s="929"/>
      <c r="P960" s="930"/>
      <c r="Q960" s="929"/>
      <c r="R960" s="929"/>
      <c r="S960" s="929"/>
      <c r="T960" s="929"/>
      <c r="U960" s="929"/>
      <c r="V960" s="929"/>
      <c r="W960" s="929"/>
      <c r="X960" s="929"/>
      <c r="Y960" s="929"/>
      <c r="Z960" s="929"/>
      <c r="AA960" s="929"/>
      <c r="AB960" s="929"/>
      <c r="AC960" s="929"/>
      <c r="AD960" s="929"/>
      <c r="AE960" s="929"/>
      <c r="AF960" s="929"/>
      <c r="AG960" s="929"/>
      <c r="AH960" s="929"/>
      <c r="AI960" s="929"/>
      <c r="AJ960" s="929"/>
      <c r="AK960" s="931"/>
      <c r="AL960" s="929"/>
      <c r="AM960" s="929"/>
      <c r="AN960" s="929"/>
      <c r="AO960" s="929"/>
      <c r="AP960" s="929"/>
      <c r="AQ960" s="929"/>
      <c r="AR960" s="929"/>
      <c r="AS960" s="127"/>
      <c r="AT960" s="127"/>
      <c r="AU960" s="127"/>
      <c r="AV960" s="127"/>
      <c r="AW960" s="127"/>
      <c r="AX960" s="127"/>
      <c r="AY960" s="127"/>
      <c r="AZ960" s="127"/>
      <c r="BA960" s="127"/>
    </row>
    <row r="961" spans="1:53" s="40" customFormat="1" hidden="1" x14ac:dyDescent="0.2">
      <c r="A961" s="127"/>
      <c r="B961" s="51"/>
      <c r="C961" s="42"/>
      <c r="D961" s="42"/>
      <c r="E961" s="53"/>
      <c r="F961" s="53"/>
      <c r="G961" s="45"/>
      <c r="H961" s="36"/>
      <c r="I961" s="37"/>
      <c r="J961" s="568"/>
      <c r="K961" s="117"/>
      <c r="L961" s="641"/>
      <c r="M961" s="641"/>
      <c r="N961" s="929"/>
      <c r="O961" s="929"/>
      <c r="P961" s="930"/>
      <c r="Q961" s="929"/>
      <c r="R961" s="929"/>
      <c r="S961" s="929"/>
      <c r="T961" s="929"/>
      <c r="U961" s="929"/>
      <c r="V961" s="929"/>
      <c r="W961" s="929"/>
      <c r="X961" s="929"/>
      <c r="Y961" s="929"/>
      <c r="Z961" s="929"/>
      <c r="AA961" s="929"/>
      <c r="AB961" s="929"/>
      <c r="AC961" s="929"/>
      <c r="AD961" s="929"/>
      <c r="AE961" s="929"/>
      <c r="AF961" s="929"/>
      <c r="AG961" s="929"/>
      <c r="AH961" s="929"/>
      <c r="AI961" s="929"/>
      <c r="AJ961" s="929"/>
      <c r="AK961" s="931"/>
      <c r="AL961" s="929"/>
      <c r="AM961" s="929"/>
      <c r="AN961" s="929"/>
      <c r="AO961" s="929"/>
      <c r="AP961" s="929"/>
      <c r="AQ961" s="929"/>
      <c r="AR961" s="929"/>
      <c r="AS961" s="127"/>
      <c r="AT961" s="127"/>
      <c r="AU961" s="127"/>
      <c r="AV961" s="127"/>
      <c r="AW961" s="127"/>
      <c r="AX961" s="127"/>
      <c r="AY961" s="127"/>
      <c r="AZ961" s="127"/>
      <c r="BA961" s="127"/>
    </row>
    <row r="962" spans="1:53" s="40" customFormat="1" hidden="1" x14ac:dyDescent="0.2">
      <c r="A962" s="127"/>
      <c r="B962" s="51"/>
      <c r="C962" s="42"/>
      <c r="D962" s="42"/>
      <c r="E962" s="53"/>
      <c r="F962" s="53"/>
      <c r="G962" s="45"/>
      <c r="H962" s="36"/>
      <c r="I962" s="37"/>
      <c r="J962" s="568"/>
      <c r="K962" s="117"/>
      <c r="L962" s="641"/>
      <c r="M962" s="641"/>
      <c r="N962" s="929"/>
      <c r="O962" s="929"/>
      <c r="P962" s="930"/>
      <c r="Q962" s="929"/>
      <c r="R962" s="929"/>
      <c r="S962" s="929"/>
      <c r="T962" s="929"/>
      <c r="U962" s="929"/>
      <c r="V962" s="929"/>
      <c r="W962" s="929"/>
      <c r="X962" s="929"/>
      <c r="Y962" s="929"/>
      <c r="Z962" s="929"/>
      <c r="AA962" s="929"/>
      <c r="AB962" s="929"/>
      <c r="AC962" s="929"/>
      <c r="AD962" s="929"/>
      <c r="AE962" s="929"/>
      <c r="AF962" s="929"/>
      <c r="AG962" s="929"/>
      <c r="AH962" s="929"/>
      <c r="AI962" s="929"/>
      <c r="AJ962" s="929"/>
      <c r="AK962" s="931"/>
      <c r="AL962" s="929"/>
      <c r="AM962" s="929"/>
      <c r="AN962" s="929"/>
      <c r="AO962" s="929"/>
      <c r="AP962" s="929"/>
      <c r="AQ962" s="929"/>
      <c r="AR962" s="929"/>
      <c r="AS962" s="127"/>
      <c r="AT962" s="127"/>
      <c r="AU962" s="127"/>
      <c r="AV962" s="127"/>
      <c r="AW962" s="127"/>
      <c r="AX962" s="127"/>
      <c r="AY962" s="127"/>
      <c r="AZ962" s="127"/>
      <c r="BA962" s="127"/>
    </row>
    <row r="963" spans="1:53" s="40" customFormat="1" hidden="1" x14ac:dyDescent="0.2">
      <c r="A963" s="127"/>
      <c r="B963" s="51"/>
      <c r="C963" s="42"/>
      <c r="D963" s="42"/>
      <c r="E963" s="42"/>
      <c r="F963" s="53"/>
      <c r="G963" s="45"/>
      <c r="H963" s="36"/>
      <c r="I963" s="37"/>
      <c r="J963" s="568"/>
      <c r="K963" s="117"/>
      <c r="L963" s="641"/>
      <c r="M963" s="641"/>
      <c r="N963" s="929"/>
      <c r="O963" s="929"/>
      <c r="P963" s="930"/>
      <c r="Q963" s="929"/>
      <c r="R963" s="929"/>
      <c r="S963" s="929"/>
      <c r="T963" s="929"/>
      <c r="U963" s="929"/>
      <c r="V963" s="929"/>
      <c r="W963" s="929"/>
      <c r="X963" s="929"/>
      <c r="Y963" s="929"/>
      <c r="Z963" s="929"/>
      <c r="AA963" s="929"/>
      <c r="AB963" s="929"/>
      <c r="AC963" s="929"/>
      <c r="AD963" s="929"/>
      <c r="AE963" s="929"/>
      <c r="AF963" s="929"/>
      <c r="AG963" s="929"/>
      <c r="AH963" s="929"/>
      <c r="AI963" s="929"/>
      <c r="AJ963" s="929"/>
      <c r="AK963" s="931"/>
      <c r="AL963" s="929"/>
      <c r="AM963" s="929"/>
      <c r="AN963" s="929"/>
      <c r="AO963" s="929"/>
      <c r="AP963" s="929"/>
      <c r="AQ963" s="929"/>
      <c r="AR963" s="929"/>
      <c r="AS963" s="127"/>
      <c r="AT963" s="127"/>
      <c r="AU963" s="127"/>
      <c r="AV963" s="127"/>
      <c r="AW963" s="127"/>
      <c r="AX963" s="127"/>
      <c r="AY963" s="127"/>
      <c r="AZ963" s="127"/>
      <c r="BA963" s="127"/>
    </row>
    <row r="964" spans="1:53" s="40" customFormat="1" hidden="1" x14ac:dyDescent="0.2">
      <c r="A964" s="127"/>
      <c r="B964" s="51"/>
      <c r="C964" s="42"/>
      <c r="D964" s="42"/>
      <c r="E964" s="42"/>
      <c r="F964" s="53"/>
      <c r="G964" s="45"/>
      <c r="H964" s="36"/>
      <c r="I964" s="37"/>
      <c r="J964" s="568"/>
      <c r="K964" s="117"/>
      <c r="L964" s="641"/>
      <c r="M964" s="641"/>
      <c r="N964" s="929"/>
      <c r="O964" s="929"/>
      <c r="P964" s="930"/>
      <c r="Q964" s="929"/>
      <c r="R964" s="929"/>
      <c r="S964" s="929"/>
      <c r="T964" s="929"/>
      <c r="U964" s="929"/>
      <c r="V964" s="929"/>
      <c r="W964" s="929"/>
      <c r="X964" s="929"/>
      <c r="Y964" s="929"/>
      <c r="Z964" s="929"/>
      <c r="AA964" s="929"/>
      <c r="AB964" s="929"/>
      <c r="AC964" s="929"/>
      <c r="AD964" s="929"/>
      <c r="AE964" s="929"/>
      <c r="AF964" s="929"/>
      <c r="AG964" s="929"/>
      <c r="AH964" s="929"/>
      <c r="AI964" s="929"/>
      <c r="AJ964" s="929"/>
      <c r="AK964" s="931"/>
      <c r="AL964" s="929"/>
      <c r="AM964" s="929"/>
      <c r="AN964" s="929"/>
      <c r="AO964" s="929"/>
      <c r="AP964" s="929"/>
      <c r="AQ964" s="929"/>
      <c r="AR964" s="929"/>
      <c r="AS964" s="127"/>
      <c r="AT964" s="127"/>
      <c r="AU964" s="127"/>
      <c r="AV964" s="127"/>
      <c r="AW964" s="127"/>
      <c r="AX964" s="127"/>
      <c r="AY964" s="127"/>
      <c r="AZ964" s="127"/>
      <c r="BA964" s="127"/>
    </row>
    <row r="965" spans="1:53" s="40" customFormat="1" hidden="1" x14ac:dyDescent="0.2">
      <c r="A965" s="127"/>
      <c r="B965" s="51"/>
      <c r="C965" s="42"/>
      <c r="D965" s="42"/>
      <c r="E965" s="42"/>
      <c r="F965" s="53"/>
      <c r="G965" s="45"/>
      <c r="H965" s="36"/>
      <c r="I965" s="37"/>
      <c r="J965" s="568"/>
      <c r="K965" s="117"/>
      <c r="L965" s="641"/>
      <c r="M965" s="641"/>
      <c r="N965" s="929"/>
      <c r="O965" s="929"/>
      <c r="P965" s="930"/>
      <c r="Q965" s="929"/>
      <c r="R965" s="929"/>
      <c r="S965" s="929"/>
      <c r="T965" s="929"/>
      <c r="U965" s="929"/>
      <c r="V965" s="929"/>
      <c r="W965" s="929"/>
      <c r="X965" s="929"/>
      <c r="Y965" s="929"/>
      <c r="Z965" s="929"/>
      <c r="AA965" s="929"/>
      <c r="AB965" s="929"/>
      <c r="AC965" s="929"/>
      <c r="AD965" s="929"/>
      <c r="AE965" s="929"/>
      <c r="AF965" s="929"/>
      <c r="AG965" s="929"/>
      <c r="AH965" s="929"/>
      <c r="AI965" s="929"/>
      <c r="AJ965" s="929"/>
      <c r="AK965" s="931"/>
      <c r="AL965" s="929"/>
      <c r="AM965" s="929"/>
      <c r="AN965" s="929"/>
      <c r="AO965" s="929"/>
      <c r="AP965" s="929"/>
      <c r="AQ965" s="929"/>
      <c r="AR965" s="929"/>
      <c r="AS965" s="127"/>
      <c r="AT965" s="127"/>
      <c r="AU965" s="127"/>
      <c r="AV965" s="127"/>
      <c r="AW965" s="127"/>
      <c r="AX965" s="127"/>
      <c r="AY965" s="127"/>
      <c r="AZ965" s="127"/>
      <c r="BA965" s="127"/>
    </row>
    <row r="966" spans="1:53" s="40" customFormat="1" hidden="1" x14ac:dyDescent="0.2">
      <c r="A966" s="127"/>
      <c r="B966" s="51"/>
      <c r="C966" s="42"/>
      <c r="D966" s="42"/>
      <c r="E966" s="42"/>
      <c r="F966" s="53"/>
      <c r="G966" s="45"/>
      <c r="H966" s="36"/>
      <c r="I966" s="37"/>
      <c r="J966" s="568"/>
      <c r="K966" s="117"/>
      <c r="L966" s="641"/>
      <c r="M966" s="641"/>
      <c r="N966" s="929"/>
      <c r="O966" s="929"/>
      <c r="P966" s="930"/>
      <c r="Q966" s="929"/>
      <c r="R966" s="929"/>
      <c r="S966" s="929"/>
      <c r="T966" s="929"/>
      <c r="U966" s="929"/>
      <c r="V966" s="929"/>
      <c r="W966" s="929"/>
      <c r="X966" s="929"/>
      <c r="Y966" s="929"/>
      <c r="Z966" s="929"/>
      <c r="AA966" s="929"/>
      <c r="AB966" s="929"/>
      <c r="AC966" s="929"/>
      <c r="AD966" s="929"/>
      <c r="AE966" s="929"/>
      <c r="AF966" s="929"/>
      <c r="AG966" s="929"/>
      <c r="AH966" s="929"/>
      <c r="AI966" s="929"/>
      <c r="AJ966" s="929"/>
      <c r="AK966" s="931"/>
      <c r="AL966" s="929"/>
      <c r="AM966" s="929"/>
      <c r="AN966" s="929"/>
      <c r="AO966" s="929"/>
      <c r="AP966" s="929"/>
      <c r="AQ966" s="929"/>
      <c r="AR966" s="929"/>
      <c r="AS966" s="127"/>
      <c r="AT966" s="127"/>
      <c r="AU966" s="127"/>
      <c r="AV966" s="127"/>
      <c r="AW966" s="127"/>
      <c r="AX966" s="127"/>
      <c r="AY966" s="127"/>
      <c r="AZ966" s="127"/>
      <c r="BA966" s="127"/>
    </row>
    <row r="967" spans="1:53" s="40" customFormat="1" hidden="1" x14ac:dyDescent="0.2">
      <c r="A967" s="127"/>
      <c r="B967" s="51"/>
      <c r="C967" s="42"/>
      <c r="D967" s="42"/>
      <c r="E967" s="42"/>
      <c r="F967" s="53"/>
      <c r="G967" s="45"/>
      <c r="H967" s="36"/>
      <c r="I967" s="37"/>
      <c r="J967" s="568"/>
      <c r="K967" s="117"/>
      <c r="L967" s="641"/>
      <c r="M967" s="641"/>
      <c r="N967" s="929"/>
      <c r="O967" s="929"/>
      <c r="P967" s="930"/>
      <c r="Q967" s="929"/>
      <c r="R967" s="929"/>
      <c r="S967" s="929"/>
      <c r="T967" s="929"/>
      <c r="U967" s="929"/>
      <c r="V967" s="929"/>
      <c r="W967" s="929"/>
      <c r="X967" s="929"/>
      <c r="Y967" s="929"/>
      <c r="Z967" s="929"/>
      <c r="AA967" s="929"/>
      <c r="AB967" s="929"/>
      <c r="AC967" s="929"/>
      <c r="AD967" s="929"/>
      <c r="AE967" s="929"/>
      <c r="AF967" s="929"/>
      <c r="AG967" s="929"/>
      <c r="AH967" s="929"/>
      <c r="AI967" s="929"/>
      <c r="AJ967" s="929"/>
      <c r="AK967" s="931"/>
      <c r="AL967" s="929"/>
      <c r="AM967" s="929"/>
      <c r="AN967" s="929"/>
      <c r="AO967" s="929"/>
      <c r="AP967" s="929"/>
      <c r="AQ967" s="929"/>
      <c r="AR967" s="929"/>
      <c r="AS967" s="127"/>
      <c r="AT967" s="127"/>
      <c r="AU967" s="127"/>
      <c r="AV967" s="127"/>
      <c r="AW967" s="127"/>
      <c r="AX967" s="127"/>
      <c r="AY967" s="127"/>
      <c r="AZ967" s="127"/>
      <c r="BA967" s="127"/>
    </row>
    <row r="968" spans="1:53" s="40" customFormat="1" hidden="1" x14ac:dyDescent="0.2">
      <c r="A968" s="127"/>
      <c r="B968" s="51"/>
      <c r="C968" s="42"/>
      <c r="D968" s="42"/>
      <c r="E968" s="42"/>
      <c r="F968" s="53"/>
      <c r="G968" s="45"/>
      <c r="H968" s="36"/>
      <c r="I968" s="37"/>
      <c r="J968" s="568"/>
      <c r="K968" s="117"/>
      <c r="L968" s="641"/>
      <c r="M968" s="641"/>
      <c r="N968" s="929"/>
      <c r="O968" s="929"/>
      <c r="P968" s="930"/>
      <c r="Q968" s="929"/>
      <c r="R968" s="929"/>
      <c r="S968" s="929"/>
      <c r="T968" s="929"/>
      <c r="U968" s="929"/>
      <c r="V968" s="929"/>
      <c r="W968" s="929"/>
      <c r="X968" s="929"/>
      <c r="Y968" s="929"/>
      <c r="Z968" s="929"/>
      <c r="AA968" s="929"/>
      <c r="AB968" s="929"/>
      <c r="AC968" s="929"/>
      <c r="AD968" s="929"/>
      <c r="AE968" s="929"/>
      <c r="AF968" s="929"/>
      <c r="AG968" s="929"/>
      <c r="AH968" s="929"/>
      <c r="AI968" s="929"/>
      <c r="AJ968" s="929"/>
      <c r="AK968" s="931"/>
      <c r="AL968" s="929"/>
      <c r="AM968" s="929"/>
      <c r="AN968" s="929"/>
      <c r="AO968" s="929"/>
      <c r="AP968" s="929"/>
      <c r="AQ968" s="929"/>
      <c r="AR968" s="929"/>
      <c r="AS968" s="127"/>
      <c r="AT968" s="127"/>
      <c r="AU968" s="127"/>
      <c r="AV968" s="127"/>
      <c r="AW968" s="127"/>
      <c r="AX968" s="127"/>
      <c r="AY968" s="127"/>
      <c r="AZ968" s="127"/>
      <c r="BA968" s="127"/>
    </row>
    <row r="969" spans="1:53" s="40" customFormat="1" hidden="1" x14ac:dyDescent="0.2">
      <c r="A969" s="127"/>
      <c r="B969" s="51"/>
      <c r="C969" s="42"/>
      <c r="D969" s="42"/>
      <c r="E969" s="42"/>
      <c r="F969" s="53"/>
      <c r="G969" s="45"/>
      <c r="H969" s="36"/>
      <c r="I969" s="37"/>
      <c r="J969" s="568"/>
      <c r="K969" s="117"/>
      <c r="L969" s="641"/>
      <c r="M969" s="641"/>
      <c r="N969" s="929"/>
      <c r="O969" s="929"/>
      <c r="P969" s="930"/>
      <c r="Q969" s="929"/>
      <c r="R969" s="929"/>
      <c r="S969" s="929"/>
      <c r="T969" s="929"/>
      <c r="U969" s="929"/>
      <c r="V969" s="929"/>
      <c r="W969" s="929"/>
      <c r="X969" s="929"/>
      <c r="Y969" s="929"/>
      <c r="Z969" s="929"/>
      <c r="AA969" s="929"/>
      <c r="AB969" s="929"/>
      <c r="AC969" s="929"/>
      <c r="AD969" s="929"/>
      <c r="AE969" s="929"/>
      <c r="AF969" s="929"/>
      <c r="AG969" s="929"/>
      <c r="AH969" s="929"/>
      <c r="AI969" s="929"/>
      <c r="AJ969" s="929"/>
      <c r="AK969" s="931"/>
      <c r="AL969" s="929"/>
      <c r="AM969" s="929"/>
      <c r="AN969" s="929"/>
      <c r="AO969" s="929"/>
      <c r="AP969" s="929"/>
      <c r="AQ969" s="929"/>
      <c r="AR969" s="929"/>
      <c r="AS969" s="127"/>
      <c r="AT969" s="127"/>
      <c r="AU969" s="127"/>
      <c r="AV969" s="127"/>
      <c r="AW969" s="127"/>
      <c r="AX969" s="127"/>
      <c r="AY969" s="127"/>
      <c r="AZ969" s="127"/>
      <c r="BA969" s="127"/>
    </row>
    <row r="970" spans="1:53" s="40" customFormat="1" hidden="1" x14ac:dyDescent="0.2">
      <c r="A970" s="127"/>
      <c r="B970" s="51"/>
      <c r="C970" s="42"/>
      <c r="D970" s="42"/>
      <c r="E970" s="42"/>
      <c r="F970" s="53"/>
      <c r="G970" s="45"/>
      <c r="H970" s="36"/>
      <c r="I970" s="37"/>
      <c r="J970" s="568"/>
      <c r="K970" s="117"/>
      <c r="L970" s="641"/>
      <c r="M970" s="641"/>
      <c r="N970" s="929"/>
      <c r="O970" s="929"/>
      <c r="P970" s="930"/>
      <c r="Q970" s="929"/>
      <c r="R970" s="929"/>
      <c r="S970" s="929"/>
      <c r="T970" s="929"/>
      <c r="U970" s="929"/>
      <c r="V970" s="929"/>
      <c r="W970" s="929"/>
      <c r="X970" s="929"/>
      <c r="Y970" s="929"/>
      <c r="Z970" s="929"/>
      <c r="AA970" s="929"/>
      <c r="AB970" s="929"/>
      <c r="AC970" s="929"/>
      <c r="AD970" s="929"/>
      <c r="AE970" s="929"/>
      <c r="AF970" s="929"/>
      <c r="AG970" s="929"/>
      <c r="AH970" s="929"/>
      <c r="AI970" s="929"/>
      <c r="AJ970" s="929"/>
      <c r="AK970" s="931"/>
      <c r="AL970" s="929"/>
      <c r="AM970" s="929"/>
      <c r="AN970" s="929"/>
      <c r="AO970" s="929"/>
      <c r="AP970" s="929"/>
      <c r="AQ970" s="929"/>
      <c r="AR970" s="929"/>
      <c r="AS970" s="127"/>
      <c r="AT970" s="127"/>
      <c r="AU970" s="127"/>
      <c r="AV970" s="127"/>
      <c r="AW970" s="127"/>
      <c r="AX970" s="127"/>
      <c r="AY970" s="127"/>
      <c r="AZ970" s="127"/>
      <c r="BA970" s="127"/>
    </row>
    <row r="971" spans="1:53" s="40" customFormat="1" hidden="1" x14ac:dyDescent="0.2">
      <c r="A971" s="127"/>
      <c r="B971" s="51"/>
      <c r="C971" s="42"/>
      <c r="D971" s="42"/>
      <c r="E971" s="42"/>
      <c r="F971" s="53"/>
      <c r="G971" s="45"/>
      <c r="H971" s="36"/>
      <c r="I971" s="37"/>
      <c r="J971" s="568"/>
      <c r="K971" s="117"/>
      <c r="L971" s="641"/>
      <c r="M971" s="641"/>
      <c r="N971" s="929"/>
      <c r="O971" s="929"/>
      <c r="P971" s="930"/>
      <c r="Q971" s="929"/>
      <c r="R971" s="929"/>
      <c r="S971" s="929"/>
      <c r="T971" s="929"/>
      <c r="U971" s="929"/>
      <c r="V971" s="929"/>
      <c r="W971" s="929"/>
      <c r="X971" s="929"/>
      <c r="Y971" s="929"/>
      <c r="Z971" s="929"/>
      <c r="AA971" s="929"/>
      <c r="AB971" s="929"/>
      <c r="AC971" s="929"/>
      <c r="AD971" s="929"/>
      <c r="AE971" s="929"/>
      <c r="AF971" s="929"/>
      <c r="AG971" s="929"/>
      <c r="AH971" s="929"/>
      <c r="AI971" s="929"/>
      <c r="AJ971" s="929"/>
      <c r="AK971" s="931"/>
      <c r="AL971" s="929"/>
      <c r="AM971" s="929"/>
      <c r="AN971" s="929"/>
      <c r="AO971" s="929"/>
      <c r="AP971" s="929"/>
      <c r="AQ971" s="929"/>
      <c r="AR971" s="929"/>
      <c r="AS971" s="127"/>
      <c r="AT971" s="127"/>
      <c r="AU971" s="127"/>
      <c r="AV971" s="127"/>
      <c r="AW971" s="127"/>
      <c r="AX971" s="127"/>
      <c r="AY971" s="127"/>
      <c r="AZ971" s="127"/>
      <c r="BA971" s="127"/>
    </row>
    <row r="972" spans="1:53" s="40" customFormat="1" hidden="1" x14ac:dyDescent="0.2">
      <c r="A972" s="127"/>
      <c r="B972" s="51"/>
      <c r="C972" s="42"/>
      <c r="D972" s="42"/>
      <c r="E972" s="42"/>
      <c r="F972" s="53"/>
      <c r="G972" s="45"/>
      <c r="H972" s="36"/>
      <c r="I972" s="37"/>
      <c r="J972" s="568"/>
      <c r="K972" s="117"/>
      <c r="L972" s="641"/>
      <c r="M972" s="641"/>
      <c r="N972" s="929"/>
      <c r="O972" s="929"/>
      <c r="P972" s="930"/>
      <c r="Q972" s="929"/>
      <c r="R972" s="929"/>
      <c r="S972" s="929"/>
      <c r="T972" s="929"/>
      <c r="U972" s="929"/>
      <c r="V972" s="929"/>
      <c r="W972" s="929"/>
      <c r="X972" s="929"/>
      <c r="Y972" s="929"/>
      <c r="Z972" s="929"/>
      <c r="AA972" s="929"/>
      <c r="AB972" s="929"/>
      <c r="AC972" s="929"/>
      <c r="AD972" s="929"/>
      <c r="AE972" s="929"/>
      <c r="AF972" s="929"/>
      <c r="AG972" s="929"/>
      <c r="AH972" s="929"/>
      <c r="AI972" s="929"/>
      <c r="AJ972" s="929"/>
      <c r="AK972" s="931"/>
      <c r="AL972" s="929"/>
      <c r="AM972" s="929"/>
      <c r="AN972" s="929"/>
      <c r="AO972" s="929"/>
      <c r="AP972" s="929"/>
      <c r="AQ972" s="929"/>
      <c r="AR972" s="929"/>
      <c r="AS972" s="127"/>
      <c r="AT972" s="127"/>
      <c r="AU972" s="127"/>
      <c r="AV972" s="127"/>
      <c r="AW972" s="127"/>
      <c r="AX972" s="127"/>
      <c r="AY972" s="127"/>
      <c r="AZ972" s="127"/>
      <c r="BA972" s="127"/>
    </row>
    <row r="973" spans="1:53" s="40" customFormat="1" hidden="1" x14ac:dyDescent="0.2">
      <c r="A973" s="127"/>
      <c r="B973" s="51"/>
      <c r="C973" s="42"/>
      <c r="D973" s="42"/>
      <c r="E973" s="42"/>
      <c r="F973" s="53"/>
      <c r="G973" s="45"/>
      <c r="H973" s="36"/>
      <c r="I973" s="37"/>
      <c r="J973" s="568"/>
      <c r="K973" s="117"/>
      <c r="L973" s="641"/>
      <c r="M973" s="641"/>
      <c r="N973" s="929"/>
      <c r="O973" s="929"/>
      <c r="P973" s="930"/>
      <c r="Q973" s="929"/>
      <c r="R973" s="929"/>
      <c r="S973" s="929"/>
      <c r="T973" s="929"/>
      <c r="U973" s="929"/>
      <c r="V973" s="929"/>
      <c r="W973" s="929"/>
      <c r="X973" s="929"/>
      <c r="Y973" s="929"/>
      <c r="Z973" s="929"/>
      <c r="AA973" s="929"/>
      <c r="AB973" s="929"/>
      <c r="AC973" s="929"/>
      <c r="AD973" s="929"/>
      <c r="AE973" s="929"/>
      <c r="AF973" s="929"/>
      <c r="AG973" s="929"/>
      <c r="AH973" s="929"/>
      <c r="AI973" s="929"/>
      <c r="AJ973" s="929"/>
      <c r="AK973" s="931"/>
      <c r="AL973" s="929"/>
      <c r="AM973" s="929"/>
      <c r="AN973" s="929"/>
      <c r="AO973" s="929"/>
      <c r="AP973" s="929"/>
      <c r="AQ973" s="929"/>
      <c r="AR973" s="929"/>
      <c r="AS973" s="127"/>
      <c r="AT973" s="127"/>
      <c r="AU973" s="127"/>
      <c r="AV973" s="127"/>
      <c r="AW973" s="127"/>
      <c r="AX973" s="127"/>
      <c r="AY973" s="127"/>
      <c r="AZ973" s="127"/>
      <c r="BA973" s="127"/>
    </row>
    <row r="974" spans="1:53" s="40" customFormat="1" hidden="1" x14ac:dyDescent="0.2">
      <c r="A974" s="127"/>
      <c r="B974" s="51"/>
      <c r="C974" s="42"/>
      <c r="D974" s="42"/>
      <c r="E974" s="42"/>
      <c r="F974" s="53"/>
      <c r="G974" s="45"/>
      <c r="H974" s="36"/>
      <c r="I974" s="37"/>
      <c r="J974" s="568"/>
      <c r="K974" s="117"/>
      <c r="L974" s="641"/>
      <c r="M974" s="641"/>
      <c r="N974" s="929"/>
      <c r="O974" s="929"/>
      <c r="P974" s="930"/>
      <c r="Q974" s="929"/>
      <c r="R974" s="929"/>
      <c r="S974" s="929"/>
      <c r="T974" s="929"/>
      <c r="U974" s="929"/>
      <c r="V974" s="929"/>
      <c r="W974" s="929"/>
      <c r="X974" s="929"/>
      <c r="Y974" s="929"/>
      <c r="Z974" s="929"/>
      <c r="AA974" s="929"/>
      <c r="AB974" s="929"/>
      <c r="AC974" s="929"/>
      <c r="AD974" s="929"/>
      <c r="AE974" s="929"/>
      <c r="AF974" s="929"/>
      <c r="AG974" s="929"/>
      <c r="AH974" s="929"/>
      <c r="AI974" s="929"/>
      <c r="AJ974" s="929"/>
      <c r="AK974" s="931"/>
      <c r="AL974" s="929"/>
      <c r="AM974" s="929"/>
      <c r="AN974" s="929"/>
      <c r="AO974" s="929"/>
      <c r="AP974" s="929"/>
      <c r="AQ974" s="929"/>
      <c r="AR974" s="929"/>
      <c r="AS974" s="127"/>
      <c r="AT974" s="127"/>
      <c r="AU974" s="127"/>
      <c r="AV974" s="127"/>
      <c r="AW974" s="127"/>
      <c r="AX974" s="127"/>
      <c r="AY974" s="127"/>
      <c r="AZ974" s="127"/>
      <c r="BA974" s="127"/>
    </row>
    <row r="975" spans="1:53" s="40" customFormat="1" hidden="1" x14ac:dyDescent="0.2">
      <c r="A975" s="127"/>
      <c r="B975" s="51"/>
      <c r="C975" s="42"/>
      <c r="D975" s="42"/>
      <c r="E975" s="42"/>
      <c r="F975" s="53"/>
      <c r="G975" s="45"/>
      <c r="H975" s="36"/>
      <c r="I975" s="37"/>
      <c r="J975" s="568"/>
      <c r="K975" s="117"/>
      <c r="L975" s="641"/>
      <c r="M975" s="641"/>
      <c r="N975" s="929"/>
      <c r="O975" s="929"/>
      <c r="P975" s="930"/>
      <c r="Q975" s="929"/>
      <c r="R975" s="929"/>
      <c r="S975" s="929"/>
      <c r="T975" s="929"/>
      <c r="U975" s="929"/>
      <c r="V975" s="929"/>
      <c r="W975" s="929"/>
      <c r="X975" s="929"/>
      <c r="Y975" s="929"/>
      <c r="Z975" s="929"/>
      <c r="AA975" s="929"/>
      <c r="AB975" s="929"/>
      <c r="AC975" s="929"/>
      <c r="AD975" s="929"/>
      <c r="AE975" s="929"/>
      <c r="AF975" s="929"/>
      <c r="AG975" s="929"/>
      <c r="AH975" s="929"/>
      <c r="AI975" s="929"/>
      <c r="AJ975" s="929"/>
      <c r="AK975" s="931"/>
      <c r="AL975" s="929"/>
      <c r="AM975" s="929"/>
      <c r="AN975" s="929"/>
      <c r="AO975" s="929"/>
      <c r="AP975" s="929"/>
      <c r="AQ975" s="929"/>
      <c r="AR975" s="929"/>
      <c r="AS975" s="127"/>
      <c r="AT975" s="127"/>
      <c r="AU975" s="127"/>
      <c r="AV975" s="127"/>
      <c r="AW975" s="127"/>
      <c r="AX975" s="127"/>
      <c r="AY975" s="127"/>
      <c r="AZ975" s="127"/>
      <c r="BA975" s="127"/>
    </row>
    <row r="976" spans="1:53" s="40" customFormat="1" hidden="1" x14ac:dyDescent="0.2">
      <c r="A976" s="127"/>
      <c r="B976" s="51"/>
      <c r="C976" s="42"/>
      <c r="D976" s="42"/>
      <c r="E976" s="42"/>
      <c r="F976" s="53"/>
      <c r="G976" s="45"/>
      <c r="H976" s="36"/>
      <c r="I976" s="37"/>
      <c r="J976" s="568"/>
      <c r="K976" s="117"/>
      <c r="L976" s="641"/>
      <c r="M976" s="641"/>
      <c r="N976" s="929"/>
      <c r="O976" s="929"/>
      <c r="P976" s="930"/>
      <c r="Q976" s="929"/>
      <c r="R976" s="929"/>
      <c r="S976" s="929"/>
      <c r="T976" s="929"/>
      <c r="U976" s="929"/>
      <c r="V976" s="929"/>
      <c r="W976" s="929"/>
      <c r="X976" s="929"/>
      <c r="Y976" s="929"/>
      <c r="Z976" s="929"/>
      <c r="AA976" s="929"/>
      <c r="AB976" s="929"/>
      <c r="AC976" s="929"/>
      <c r="AD976" s="929"/>
      <c r="AE976" s="929"/>
      <c r="AF976" s="929"/>
      <c r="AG976" s="929"/>
      <c r="AH976" s="929"/>
      <c r="AI976" s="929"/>
      <c r="AJ976" s="929"/>
      <c r="AK976" s="931"/>
      <c r="AL976" s="929"/>
      <c r="AM976" s="929"/>
      <c r="AN976" s="929"/>
      <c r="AO976" s="929"/>
      <c r="AP976" s="929"/>
      <c r="AQ976" s="929"/>
      <c r="AR976" s="929"/>
      <c r="AS976" s="127"/>
      <c r="AT976" s="127"/>
      <c r="AU976" s="127"/>
      <c r="AV976" s="127"/>
      <c r="AW976" s="127"/>
      <c r="AX976" s="127"/>
      <c r="AY976" s="127"/>
      <c r="AZ976" s="127"/>
      <c r="BA976" s="127"/>
    </row>
    <row r="977" spans="1:53" s="40" customFormat="1" hidden="1" x14ac:dyDescent="0.2">
      <c r="A977" s="127"/>
      <c r="B977" s="51"/>
      <c r="C977" s="42"/>
      <c r="D977" s="42"/>
      <c r="E977" s="42"/>
      <c r="F977" s="53"/>
      <c r="G977" s="45"/>
      <c r="H977" s="36"/>
      <c r="I977" s="37"/>
      <c r="J977" s="568"/>
      <c r="K977" s="117"/>
      <c r="L977" s="641"/>
      <c r="M977" s="641"/>
      <c r="N977" s="929"/>
      <c r="O977" s="929"/>
      <c r="P977" s="930"/>
      <c r="Q977" s="929"/>
      <c r="R977" s="929"/>
      <c r="S977" s="929"/>
      <c r="T977" s="929"/>
      <c r="U977" s="929"/>
      <c r="V977" s="929"/>
      <c r="W977" s="929"/>
      <c r="X977" s="929"/>
      <c r="Y977" s="929"/>
      <c r="Z977" s="929"/>
      <c r="AA977" s="929"/>
      <c r="AB977" s="929"/>
      <c r="AC977" s="929"/>
      <c r="AD977" s="929"/>
      <c r="AE977" s="929"/>
      <c r="AF977" s="929"/>
      <c r="AG977" s="929"/>
      <c r="AH977" s="929"/>
      <c r="AI977" s="929"/>
      <c r="AJ977" s="929"/>
      <c r="AK977" s="931"/>
      <c r="AL977" s="929"/>
      <c r="AM977" s="929"/>
      <c r="AN977" s="929"/>
      <c r="AO977" s="929"/>
      <c r="AP977" s="929"/>
      <c r="AQ977" s="929"/>
      <c r="AR977" s="929"/>
      <c r="AS977" s="127"/>
      <c r="AT977" s="127"/>
      <c r="AU977" s="127"/>
      <c r="AV977" s="127"/>
      <c r="AW977" s="127"/>
      <c r="AX977" s="127"/>
      <c r="AY977" s="127"/>
      <c r="AZ977" s="127"/>
      <c r="BA977" s="127"/>
    </row>
    <row r="978" spans="1:53" s="40" customFormat="1" hidden="1" x14ac:dyDescent="0.2">
      <c r="A978" s="127"/>
      <c r="B978" s="51"/>
      <c r="C978" s="42"/>
      <c r="D978" s="42"/>
      <c r="E978" s="53"/>
      <c r="F978" s="53"/>
      <c r="G978" s="45"/>
      <c r="H978" s="36"/>
      <c r="I978" s="37"/>
      <c r="J978" s="568"/>
      <c r="K978" s="117"/>
      <c r="L978" s="641"/>
      <c r="M978" s="641"/>
      <c r="N978" s="929"/>
      <c r="O978" s="929"/>
      <c r="P978" s="930"/>
      <c r="Q978" s="929"/>
      <c r="R978" s="929"/>
      <c r="S978" s="929"/>
      <c r="T978" s="929"/>
      <c r="U978" s="929"/>
      <c r="V978" s="929"/>
      <c r="W978" s="929"/>
      <c r="X978" s="929"/>
      <c r="Y978" s="929"/>
      <c r="Z978" s="929"/>
      <c r="AA978" s="929"/>
      <c r="AB978" s="929"/>
      <c r="AC978" s="929"/>
      <c r="AD978" s="929"/>
      <c r="AE978" s="929"/>
      <c r="AF978" s="929"/>
      <c r="AG978" s="929"/>
      <c r="AH978" s="929"/>
      <c r="AI978" s="929"/>
      <c r="AJ978" s="929"/>
      <c r="AK978" s="931"/>
      <c r="AL978" s="929"/>
      <c r="AM978" s="929"/>
      <c r="AN978" s="929"/>
      <c r="AO978" s="929"/>
      <c r="AP978" s="929"/>
      <c r="AQ978" s="929"/>
      <c r="AR978" s="929"/>
      <c r="AS978" s="127"/>
      <c r="AT978" s="127"/>
      <c r="AU978" s="127"/>
      <c r="AV978" s="127"/>
      <c r="AW978" s="127"/>
      <c r="AX978" s="127"/>
      <c r="AY978" s="127"/>
      <c r="AZ978" s="127"/>
      <c r="BA978" s="127"/>
    </row>
    <row r="979" spans="1:53" s="40" customFormat="1" hidden="1" x14ac:dyDescent="0.2">
      <c r="A979" s="127"/>
      <c r="B979" s="51"/>
      <c r="C979" s="42"/>
      <c r="D979" s="42"/>
      <c r="E979" s="53"/>
      <c r="F979" s="53"/>
      <c r="G979" s="45"/>
      <c r="H979" s="36"/>
      <c r="I979" s="37"/>
      <c r="J979" s="568"/>
      <c r="K979" s="117"/>
      <c r="L979" s="641"/>
      <c r="M979" s="641"/>
      <c r="N979" s="929"/>
      <c r="O979" s="929"/>
      <c r="P979" s="930"/>
      <c r="Q979" s="929"/>
      <c r="R979" s="929"/>
      <c r="S979" s="929"/>
      <c r="T979" s="929"/>
      <c r="U979" s="929"/>
      <c r="V979" s="929"/>
      <c r="W979" s="929"/>
      <c r="X979" s="929"/>
      <c r="Y979" s="929"/>
      <c r="Z979" s="929"/>
      <c r="AA979" s="929"/>
      <c r="AB979" s="929"/>
      <c r="AC979" s="929"/>
      <c r="AD979" s="929"/>
      <c r="AE979" s="929"/>
      <c r="AF979" s="929"/>
      <c r="AG979" s="929"/>
      <c r="AH979" s="929"/>
      <c r="AI979" s="929"/>
      <c r="AJ979" s="929"/>
      <c r="AK979" s="931"/>
      <c r="AL979" s="929"/>
      <c r="AM979" s="929"/>
      <c r="AN979" s="929"/>
      <c r="AO979" s="929"/>
      <c r="AP979" s="929"/>
      <c r="AQ979" s="929"/>
      <c r="AR979" s="929"/>
      <c r="AS979" s="127"/>
      <c r="AT979" s="127"/>
      <c r="AU979" s="127"/>
      <c r="AV979" s="127"/>
      <c r="AW979" s="127"/>
      <c r="AX979" s="127"/>
      <c r="AY979" s="127"/>
      <c r="AZ979" s="127"/>
      <c r="BA979" s="127"/>
    </row>
    <row r="980" spans="1:53" s="40" customFormat="1" hidden="1" x14ac:dyDescent="0.2">
      <c r="A980" s="127"/>
      <c r="B980" s="51"/>
      <c r="C980" s="42"/>
      <c r="D980" s="42"/>
      <c r="E980" s="53"/>
      <c r="F980" s="53"/>
      <c r="G980" s="45"/>
      <c r="H980" s="36"/>
      <c r="I980" s="37"/>
      <c r="J980" s="568"/>
      <c r="K980" s="117"/>
      <c r="L980" s="641"/>
      <c r="M980" s="641"/>
      <c r="N980" s="929"/>
      <c r="O980" s="929"/>
      <c r="P980" s="930"/>
      <c r="Q980" s="929"/>
      <c r="R980" s="929"/>
      <c r="S980" s="929"/>
      <c r="T980" s="929"/>
      <c r="U980" s="929"/>
      <c r="V980" s="929"/>
      <c r="W980" s="929"/>
      <c r="X980" s="929"/>
      <c r="Y980" s="929"/>
      <c r="Z980" s="929"/>
      <c r="AA980" s="929"/>
      <c r="AB980" s="929"/>
      <c r="AC980" s="929"/>
      <c r="AD980" s="929"/>
      <c r="AE980" s="929"/>
      <c r="AF980" s="929"/>
      <c r="AG980" s="929"/>
      <c r="AH980" s="929"/>
      <c r="AI980" s="929"/>
      <c r="AJ980" s="929"/>
      <c r="AK980" s="931"/>
      <c r="AL980" s="929"/>
      <c r="AM980" s="929"/>
      <c r="AN980" s="929"/>
      <c r="AO980" s="929"/>
      <c r="AP980" s="929"/>
      <c r="AQ980" s="929"/>
      <c r="AR980" s="929"/>
      <c r="AS980" s="127"/>
      <c r="AT980" s="127"/>
      <c r="AU980" s="127"/>
      <c r="AV980" s="127"/>
      <c r="AW980" s="127"/>
      <c r="AX980" s="127"/>
      <c r="AY980" s="127"/>
      <c r="AZ980" s="127"/>
      <c r="BA980" s="127"/>
    </row>
    <row r="981" spans="1:53" s="40" customFormat="1" hidden="1" x14ac:dyDescent="0.2">
      <c r="A981" s="127"/>
      <c r="B981" s="51"/>
      <c r="C981" s="42"/>
      <c r="D981" s="42"/>
      <c r="E981" s="53"/>
      <c r="F981" s="53"/>
      <c r="G981" s="45"/>
      <c r="H981" s="36"/>
      <c r="I981" s="37"/>
      <c r="J981" s="568"/>
      <c r="K981" s="117"/>
      <c r="L981" s="641"/>
      <c r="M981" s="641"/>
      <c r="N981" s="929"/>
      <c r="O981" s="929"/>
      <c r="P981" s="930"/>
      <c r="Q981" s="929"/>
      <c r="R981" s="929"/>
      <c r="S981" s="929"/>
      <c r="T981" s="929"/>
      <c r="U981" s="929"/>
      <c r="V981" s="929"/>
      <c r="W981" s="929"/>
      <c r="X981" s="929"/>
      <c r="Y981" s="929"/>
      <c r="Z981" s="929"/>
      <c r="AA981" s="929"/>
      <c r="AB981" s="929"/>
      <c r="AC981" s="929"/>
      <c r="AD981" s="929"/>
      <c r="AE981" s="929"/>
      <c r="AF981" s="929"/>
      <c r="AG981" s="929"/>
      <c r="AH981" s="929"/>
      <c r="AI981" s="929"/>
      <c r="AJ981" s="929"/>
      <c r="AK981" s="931"/>
      <c r="AL981" s="929"/>
      <c r="AM981" s="929"/>
      <c r="AN981" s="929"/>
      <c r="AO981" s="929"/>
      <c r="AP981" s="929"/>
      <c r="AQ981" s="929"/>
      <c r="AR981" s="929"/>
      <c r="AS981" s="127"/>
      <c r="AT981" s="127"/>
      <c r="AU981" s="127"/>
      <c r="AV981" s="127"/>
      <c r="AW981" s="127"/>
      <c r="AX981" s="127"/>
      <c r="AY981" s="127"/>
      <c r="AZ981" s="127"/>
      <c r="BA981" s="127"/>
    </row>
    <row r="982" spans="1:53" s="40" customFormat="1" hidden="1" x14ac:dyDescent="0.2">
      <c r="A982" s="127"/>
      <c r="B982" s="51"/>
      <c r="C982" s="42"/>
      <c r="D982" s="42"/>
      <c r="E982" s="53"/>
      <c r="F982" s="53"/>
      <c r="G982" s="45"/>
      <c r="H982" s="36"/>
      <c r="I982" s="37"/>
      <c r="J982" s="568"/>
      <c r="K982" s="117"/>
      <c r="L982" s="641"/>
      <c r="M982" s="641"/>
      <c r="N982" s="929"/>
      <c r="O982" s="929"/>
      <c r="P982" s="930"/>
      <c r="Q982" s="929"/>
      <c r="R982" s="929"/>
      <c r="S982" s="929"/>
      <c r="T982" s="929"/>
      <c r="U982" s="929"/>
      <c r="V982" s="929"/>
      <c r="W982" s="929"/>
      <c r="X982" s="929"/>
      <c r="Y982" s="929"/>
      <c r="Z982" s="929"/>
      <c r="AA982" s="929"/>
      <c r="AB982" s="929"/>
      <c r="AC982" s="929"/>
      <c r="AD982" s="929"/>
      <c r="AE982" s="929"/>
      <c r="AF982" s="929"/>
      <c r="AG982" s="929"/>
      <c r="AH982" s="929"/>
      <c r="AI982" s="929"/>
      <c r="AJ982" s="929"/>
      <c r="AK982" s="931"/>
      <c r="AL982" s="929"/>
      <c r="AM982" s="929"/>
      <c r="AN982" s="929"/>
      <c r="AO982" s="929"/>
      <c r="AP982" s="929"/>
      <c r="AQ982" s="929"/>
      <c r="AR982" s="929"/>
      <c r="AS982" s="127"/>
      <c r="AT982" s="127"/>
      <c r="AU982" s="127"/>
      <c r="AV982" s="127"/>
      <c r="AW982" s="127"/>
      <c r="AX982" s="127"/>
      <c r="AY982" s="127"/>
      <c r="AZ982" s="127"/>
      <c r="BA982" s="127"/>
    </row>
    <row r="983" spans="1:53" s="40" customFormat="1" hidden="1" x14ac:dyDescent="0.2">
      <c r="A983" s="127"/>
      <c r="B983" s="51"/>
      <c r="C983" s="42"/>
      <c r="D983" s="42"/>
      <c r="E983" s="53"/>
      <c r="F983" s="53"/>
      <c r="G983" s="45"/>
      <c r="H983" s="36"/>
      <c r="I983" s="37"/>
      <c r="J983" s="568"/>
      <c r="K983" s="117"/>
      <c r="L983" s="641"/>
      <c r="M983" s="641"/>
      <c r="N983" s="929"/>
      <c r="O983" s="929"/>
      <c r="P983" s="930"/>
      <c r="Q983" s="929"/>
      <c r="R983" s="929"/>
      <c r="S983" s="929"/>
      <c r="T983" s="929"/>
      <c r="U983" s="929"/>
      <c r="V983" s="929"/>
      <c r="W983" s="929"/>
      <c r="X983" s="929"/>
      <c r="Y983" s="929"/>
      <c r="Z983" s="929"/>
      <c r="AA983" s="929"/>
      <c r="AB983" s="929"/>
      <c r="AC983" s="929"/>
      <c r="AD983" s="929"/>
      <c r="AE983" s="929"/>
      <c r="AF983" s="929"/>
      <c r="AG983" s="929"/>
      <c r="AH983" s="929"/>
      <c r="AI983" s="929"/>
      <c r="AJ983" s="929"/>
      <c r="AK983" s="931"/>
      <c r="AL983" s="929"/>
      <c r="AM983" s="929"/>
      <c r="AN983" s="929"/>
      <c r="AO983" s="929"/>
      <c r="AP983" s="929"/>
      <c r="AQ983" s="929"/>
      <c r="AR983" s="929"/>
      <c r="AS983" s="127"/>
      <c r="AT983" s="127"/>
      <c r="AU983" s="127"/>
      <c r="AV983" s="127"/>
      <c r="AW983" s="127"/>
      <c r="AX983" s="127"/>
      <c r="AY983" s="127"/>
      <c r="AZ983" s="127"/>
      <c r="BA983" s="127"/>
    </row>
    <row r="984" spans="1:53" s="40" customFormat="1" hidden="1" x14ac:dyDescent="0.2">
      <c r="A984" s="127"/>
      <c r="B984" s="51"/>
      <c r="C984" s="42"/>
      <c r="D984" s="42"/>
      <c r="E984" s="53"/>
      <c r="F984" s="53"/>
      <c r="G984" s="45"/>
      <c r="H984" s="36"/>
      <c r="I984" s="37"/>
      <c r="J984" s="568"/>
      <c r="K984" s="117"/>
      <c r="L984" s="641"/>
      <c r="M984" s="641"/>
      <c r="N984" s="929"/>
      <c r="O984" s="929"/>
      <c r="P984" s="930"/>
      <c r="Q984" s="929"/>
      <c r="R984" s="929"/>
      <c r="S984" s="929"/>
      <c r="T984" s="929"/>
      <c r="U984" s="929"/>
      <c r="V984" s="929"/>
      <c r="W984" s="929"/>
      <c r="X984" s="929"/>
      <c r="Y984" s="929"/>
      <c r="Z984" s="929"/>
      <c r="AA984" s="929"/>
      <c r="AB984" s="929"/>
      <c r="AC984" s="929"/>
      <c r="AD984" s="929"/>
      <c r="AE984" s="929"/>
      <c r="AF984" s="929"/>
      <c r="AG984" s="929"/>
      <c r="AH984" s="929"/>
      <c r="AI984" s="929"/>
      <c r="AJ984" s="929"/>
      <c r="AK984" s="931"/>
      <c r="AL984" s="929"/>
      <c r="AM984" s="929"/>
      <c r="AN984" s="929"/>
      <c r="AO984" s="929"/>
      <c r="AP984" s="929"/>
      <c r="AQ984" s="929"/>
      <c r="AR984" s="929"/>
      <c r="AS984" s="127"/>
      <c r="AT984" s="127"/>
      <c r="AU984" s="127"/>
      <c r="AV984" s="127"/>
      <c r="AW984" s="127"/>
      <c r="AX984" s="127"/>
      <c r="AY984" s="127"/>
      <c r="AZ984" s="127"/>
      <c r="BA984" s="127"/>
    </row>
    <row r="985" spans="1:53" s="40" customFormat="1" hidden="1" x14ac:dyDescent="0.2">
      <c r="A985" s="127"/>
      <c r="B985" s="51"/>
      <c r="C985" s="42"/>
      <c r="D985" s="42"/>
      <c r="E985" s="53"/>
      <c r="F985" s="53"/>
      <c r="G985" s="45"/>
      <c r="H985" s="36"/>
      <c r="I985" s="37"/>
      <c r="J985" s="568"/>
      <c r="K985" s="117"/>
      <c r="L985" s="641"/>
      <c r="M985" s="641"/>
      <c r="N985" s="929"/>
      <c r="O985" s="929"/>
      <c r="P985" s="930"/>
      <c r="Q985" s="929"/>
      <c r="R985" s="929"/>
      <c r="S985" s="929"/>
      <c r="T985" s="929"/>
      <c r="U985" s="929"/>
      <c r="V985" s="929"/>
      <c r="W985" s="929"/>
      <c r="X985" s="929"/>
      <c r="Y985" s="929"/>
      <c r="Z985" s="929"/>
      <c r="AA985" s="929"/>
      <c r="AB985" s="929"/>
      <c r="AC985" s="929"/>
      <c r="AD985" s="929"/>
      <c r="AE985" s="929"/>
      <c r="AF985" s="929"/>
      <c r="AG985" s="929"/>
      <c r="AH985" s="929"/>
      <c r="AI985" s="929"/>
      <c r="AJ985" s="929"/>
      <c r="AK985" s="931"/>
      <c r="AL985" s="929"/>
      <c r="AM985" s="929"/>
      <c r="AN985" s="929"/>
      <c r="AO985" s="929"/>
      <c r="AP985" s="929"/>
      <c r="AQ985" s="929"/>
      <c r="AR985" s="929"/>
      <c r="AS985" s="127"/>
      <c r="AT985" s="127"/>
      <c r="AU985" s="127"/>
      <c r="AV985" s="127"/>
      <c r="AW985" s="127"/>
      <c r="AX985" s="127"/>
      <c r="AY985" s="127"/>
      <c r="AZ985" s="127"/>
      <c r="BA985" s="127"/>
    </row>
    <row r="986" spans="1:53" s="40" customFormat="1" hidden="1" x14ac:dyDescent="0.2">
      <c r="A986" s="127"/>
      <c r="B986" s="51"/>
      <c r="C986" s="42"/>
      <c r="D986" s="42"/>
      <c r="E986" s="53"/>
      <c r="F986" s="53"/>
      <c r="G986" s="45"/>
      <c r="H986" s="36"/>
      <c r="I986" s="37"/>
      <c r="J986" s="568"/>
      <c r="K986" s="117"/>
      <c r="L986" s="641"/>
      <c r="M986" s="641"/>
      <c r="N986" s="929"/>
      <c r="O986" s="929"/>
      <c r="P986" s="930"/>
      <c r="Q986" s="929"/>
      <c r="R986" s="929"/>
      <c r="S986" s="929"/>
      <c r="T986" s="929"/>
      <c r="U986" s="929"/>
      <c r="V986" s="929"/>
      <c r="W986" s="929"/>
      <c r="X986" s="929"/>
      <c r="Y986" s="929"/>
      <c r="Z986" s="929"/>
      <c r="AA986" s="929"/>
      <c r="AB986" s="929"/>
      <c r="AC986" s="929"/>
      <c r="AD986" s="929"/>
      <c r="AE986" s="929"/>
      <c r="AF986" s="929"/>
      <c r="AG986" s="929"/>
      <c r="AH986" s="929"/>
      <c r="AI986" s="929"/>
      <c r="AJ986" s="929"/>
      <c r="AK986" s="931"/>
      <c r="AL986" s="929"/>
      <c r="AM986" s="929"/>
      <c r="AN986" s="929"/>
      <c r="AO986" s="929"/>
      <c r="AP986" s="929"/>
      <c r="AQ986" s="929"/>
      <c r="AR986" s="929"/>
      <c r="AS986" s="127"/>
      <c r="AT986" s="127"/>
      <c r="AU986" s="127"/>
      <c r="AV986" s="127"/>
      <c r="AW986" s="127"/>
      <c r="AX986" s="127"/>
      <c r="AY986" s="127"/>
      <c r="AZ986" s="127"/>
      <c r="BA986" s="127"/>
    </row>
    <row r="987" spans="1:53" hidden="1" x14ac:dyDescent="0.2">
      <c r="B987" s="51"/>
      <c r="C987" s="42"/>
      <c r="D987" s="42"/>
      <c r="E987" s="42"/>
      <c r="F987" s="36"/>
      <c r="G987" s="13"/>
      <c r="H987" s="36"/>
      <c r="I987" s="36"/>
      <c r="J987" s="568"/>
    </row>
    <row r="988" spans="1:53" hidden="1" x14ac:dyDescent="0.2">
      <c r="B988" s="51"/>
      <c r="C988" s="42"/>
      <c r="D988" s="42"/>
      <c r="E988" s="42"/>
      <c r="F988" s="36"/>
      <c r="G988" s="13"/>
      <c r="H988" s="36"/>
      <c r="I988" s="36"/>
      <c r="J988" s="568"/>
    </row>
    <row r="989" spans="1:53" hidden="1" x14ac:dyDescent="0.2">
      <c r="B989" s="51"/>
      <c r="C989" s="42"/>
      <c r="D989" s="42"/>
      <c r="E989" s="42"/>
      <c r="F989" s="36"/>
      <c r="G989" s="13"/>
      <c r="H989" s="36"/>
      <c r="I989" s="36"/>
      <c r="J989" s="568"/>
    </row>
    <row r="990" spans="1:53" hidden="1" x14ac:dyDescent="0.2">
      <c r="B990" s="51"/>
      <c r="C990" s="42"/>
      <c r="D990" s="42"/>
      <c r="E990" s="42"/>
      <c r="F990" s="72"/>
      <c r="G990" s="13"/>
      <c r="H990" s="36"/>
      <c r="I990" s="36"/>
      <c r="J990" s="568"/>
    </row>
    <row r="991" spans="1:53" hidden="1" x14ac:dyDescent="0.2">
      <c r="B991" s="51"/>
      <c r="C991" s="42"/>
      <c r="D991" s="42"/>
      <c r="E991" s="42"/>
      <c r="F991" s="36"/>
      <c r="G991" s="13"/>
      <c r="H991" s="36"/>
      <c r="I991" s="36"/>
      <c r="J991" s="568"/>
    </row>
    <row r="992" spans="1:53" ht="13.5" hidden="1" thickBot="1" x14ac:dyDescent="0.25">
      <c r="B992" s="56"/>
      <c r="C992" s="5"/>
      <c r="D992" s="5"/>
      <c r="E992" s="5"/>
      <c r="F992" s="6"/>
      <c r="G992" s="7"/>
      <c r="H992" s="6"/>
      <c r="I992" s="6"/>
      <c r="J992" s="569"/>
    </row>
    <row r="993" spans="3:7" hidden="1" x14ac:dyDescent="0.2">
      <c r="C993" s="39"/>
      <c r="D993" s="39"/>
      <c r="E993" s="39"/>
      <c r="G993" s="39"/>
    </row>
    <row r="994" spans="3:7" hidden="1" x14ac:dyDescent="0.2">
      <c r="C994" s="39"/>
      <c r="D994" s="39"/>
      <c r="E994" s="39"/>
      <c r="G994" s="39"/>
    </row>
    <row r="995" spans="3:7" hidden="1" x14ac:dyDescent="0.2"/>
    <row r="996" spans="3:7" hidden="1" x14ac:dyDescent="0.2"/>
    <row r="997" spans="3:7" hidden="1" x14ac:dyDescent="0.2"/>
    <row r="998" spans="3:7" hidden="1" x14ac:dyDescent="0.2"/>
    <row r="999" spans="3:7" hidden="1" x14ac:dyDescent="0.2"/>
  </sheetData>
  <sheetProtection algorithmName="SHA-512" hashValue="x5QQ0fty9OSkODMm/7dRvEKgsLwUhrcumqJ8r7nHZLmhcP/KyVDr2P/61Plkbt90kBQkiftyZrzEp2s5aoTPGQ==" saltValue="owNSTAbbNHol+XCm/5iJsQ==" spinCount="100000" sheet="1" objects="1" scenarios="1" selectLockedCells="1"/>
  <mergeCells count="5">
    <mergeCell ref="C209:C213"/>
    <mergeCell ref="C231:F231"/>
    <mergeCell ref="D429:F434"/>
    <mergeCell ref="D418:I418"/>
    <mergeCell ref="D428:I428"/>
  </mergeCells>
  <conditionalFormatting sqref="E389">
    <cfRule type="expression" dxfId="1" priority="1">
      <formula>IF($F$389="","",)</formula>
    </cfRule>
  </conditionalFormatting>
  <dataValidations count="31">
    <dataValidation type="list" allowBlank="1" showInputMessage="1" showErrorMessage="1" sqref="F291" xr:uid="{00000000-0002-0000-0500-000000000000}">
      <formula1>$F$939:$F$960</formula1>
    </dataValidation>
    <dataValidation type="list" allowBlank="1" showInputMessage="1" showErrorMessage="1" sqref="D8" xr:uid="{00000000-0002-0000-0500-000001000000}">
      <formula1>"Yes,No"</formula1>
    </dataValidation>
    <dataValidation type="list" allowBlank="1" showInputMessage="1" showErrorMessage="1" sqref="F184 F365" xr:uid="{00000000-0002-0000-0500-000002000000}">
      <formula1>$F$681:$F$682</formula1>
    </dataValidation>
    <dataValidation type="list" allowBlank="1" showInputMessage="1" showErrorMessage="1" sqref="F306:F307" xr:uid="{00000000-0002-0000-0500-000003000000}">
      <formula1>$F$747:$F$752</formula1>
    </dataValidation>
    <dataValidation type="list" allowBlank="1" showInputMessage="1" showErrorMessage="1" sqref="F354:F355" xr:uid="{00000000-0002-0000-0500-000004000000}">
      <formula1>$F$831:$F$836</formula1>
    </dataValidation>
    <dataValidation type="list" allowBlank="1" showInputMessage="1" showErrorMessage="1" sqref="F304:F305" xr:uid="{00000000-0002-0000-0500-000005000000}">
      <formula1>$F$737:$F$744</formula1>
    </dataValidation>
    <dataValidation type="list" allowBlank="1" showInputMessage="1" showErrorMessage="1" sqref="F285" xr:uid="{00000000-0002-0000-0500-000008000000}">
      <formula1>$E$897:$E$912</formula1>
    </dataValidation>
    <dataValidation type="list" allowBlank="1" showInputMessage="1" showErrorMessage="1" sqref="F182" xr:uid="{00000000-0002-0000-0500-000009000000}">
      <formula1>$L$673:$L$675</formula1>
    </dataValidation>
    <dataValidation type="list" allowBlank="1" showInputMessage="1" showErrorMessage="1" sqref="F131:F132 F151:F152 F31:F32 F71:F72 F90:F91 F50:F51 F111:F112" xr:uid="{00000000-0002-0000-0500-00000A000000}">
      <formula1>$F$650:$F$655</formula1>
    </dataValidation>
    <dataValidation type="list" allowBlank="1" showInputMessage="1" showErrorMessage="1" sqref="F49 F129:F130 F30 F109:F110 F68 F149:F150 F87" xr:uid="{00000000-0002-0000-0500-00000B000000}">
      <formula1>$F$546:$F$553</formula1>
    </dataValidation>
    <dataValidation type="list" allowBlank="1" showInputMessage="1" showErrorMessage="1" sqref="F217" xr:uid="{00000000-0002-0000-0500-00000C000000}">
      <formula1>$F$550:$F$556</formula1>
    </dataValidation>
    <dataValidation type="list" allowBlank="1" showInputMessage="1" showErrorMessage="1" sqref="F203:F206 F195:F198" xr:uid="{00000000-0002-0000-0500-00000D000000}">
      <formula1>#REF!</formula1>
    </dataValidation>
    <dataValidation type="list" allowBlank="1" showInputMessage="1" showErrorMessage="1" sqref="F329" xr:uid="{00000000-0002-0000-0500-00000E000000}">
      <formula1>$F$771:$F$772</formula1>
    </dataValidation>
    <dataValidation type="list" allowBlank="1" showInputMessage="1" showErrorMessage="1" sqref="F334:F344" xr:uid="{00000000-0002-0000-0500-000010000000}">
      <formula1>$F$781:$F$792</formula1>
    </dataValidation>
    <dataValidation type="list" allowBlank="1" showInputMessage="1" showErrorMessage="1" sqref="F345:F346 F322" xr:uid="{00000000-0002-0000-0500-000011000000}">
      <formula1>$F$794:$F$795</formula1>
    </dataValidation>
    <dataValidation type="list" allowBlank="1" showInputMessage="1" showErrorMessage="1" sqref="F64:F65 F83:F84" xr:uid="{00000000-0002-0000-0500-000012000000}">
      <formula1>$F$530:$F$538</formula1>
    </dataValidation>
    <dataValidation type="list" allowBlank="1" showInputMessage="1" showErrorMessage="1" sqref="F105 F145 F125" xr:uid="{00000000-0002-0000-0500-000013000000}">
      <formula1>$F$520:$F$523</formula1>
    </dataValidation>
    <dataValidation type="list" allowBlank="1" showInputMessage="1" showErrorMessage="1" sqref="F332 F318" xr:uid="{00000000-0002-0000-0500-000015000000}">
      <formula1>$F$761:$F$779</formula1>
    </dataValidation>
    <dataValidation type="list" allowBlank="1" showInputMessage="1" showErrorMessage="1" sqref="F107 F147 F127" xr:uid="{00000000-0002-0000-0500-000016000000}">
      <formula1>$F$510:$F$517</formula1>
    </dataValidation>
    <dataValidation type="list" allowBlank="1" showInputMessage="1" showErrorMessage="1" sqref="E389:E407" xr:uid="{00000000-0002-0000-0500-000017000000}">
      <formula1>"Datacapture Assembly, Engineering Assembly, IDSnet Express, IDSnet Enterprise, Assy Datamax, IMP01, Software Support"</formula1>
    </dataValidation>
    <dataValidation type="list" allowBlank="1" showInputMessage="1" showErrorMessage="1" sqref="F26:F27 F45:F46" xr:uid="{00000000-0002-0000-0500-000018000000}">
      <formula1>$F$511:$F$517</formula1>
    </dataValidation>
    <dataValidation type="list" allowBlank="1" showInputMessage="1" showErrorMessage="1" sqref="F320:F321" xr:uid="{00000000-0002-0000-0500-000019000000}">
      <formula1>$F$781:$F$787</formula1>
    </dataValidation>
    <dataValidation type="list" allowBlank="1" showInputMessage="1" showErrorMessage="1" sqref="F326" xr:uid="{00000000-0002-0000-0500-00001A000000}">
      <formula1>$L$681:$L$730</formula1>
    </dataValidation>
    <dataValidation type="list" allowBlank="1" showInputMessage="1" showErrorMessage="1" sqref="F362" xr:uid="{00000000-0002-0000-0500-00001B000000}">
      <formula1>$F$714:$F$715</formula1>
    </dataValidation>
    <dataValidation type="list" allowBlank="1" showInputMessage="1" showErrorMessage="1" sqref="F363" xr:uid="{00000000-0002-0000-0500-00001C000000}">
      <formula1>$F$716:$F$717</formula1>
    </dataValidation>
    <dataValidation type="list" allowBlank="1" showInputMessage="1" showErrorMessage="1" sqref="D173:D177" xr:uid="{30727EF0-74F2-473E-82E7-09BA65B7DC6E}">
      <formula1>$AI$17:$AI$19</formula1>
    </dataValidation>
    <dataValidation type="list" allowBlank="1" showInputMessage="1" showErrorMessage="1" sqref="F39 F159 F139 F119 F96 F77" xr:uid="{B2A79F88-6291-4623-925F-A11A654A2251}">
      <formula1>$F$560:$F$561</formula1>
    </dataValidation>
    <dataValidation type="list" allowBlank="1" showInputMessage="1" showErrorMessage="1" sqref="F353 F376" xr:uid="{6796028A-31E6-4451-9D07-C91C1FE0487A}">
      <formula1>$F$696:$F$699</formula1>
    </dataValidation>
    <dataValidation type="list" allowBlank="1" showInputMessage="1" showErrorMessage="1" sqref="F28 F85 F47 F66" xr:uid="{00000000-0002-0000-0500-000006000000}">
      <formula1>$F$576:$F$605</formula1>
    </dataValidation>
    <dataValidation type="list" allowBlank="1" showInputMessage="1" showErrorMessage="1" sqref="F108 F128" xr:uid="{00000000-0002-0000-0500-000014000000}">
      <formula1>$F$580:$F$605</formula1>
    </dataValidation>
    <dataValidation type="list" allowBlank="1" showInputMessage="1" showErrorMessage="1" sqref="F148 F165:F166" xr:uid="{00000000-0002-0000-0500-000007000000}">
      <formula1>$F$607:$F$627</formula1>
    </dataValidation>
  </dataValidations>
  <pageMargins left="0.74803149606299213" right="0.74803149606299213" top="0.98425196850393704" bottom="0.98425196850393704" header="0.51181102362204722" footer="0.51181102362204722"/>
  <pageSetup paperSize="9" scale="55" fitToHeight="8" orientation="portrait" r:id="rId1"/>
  <headerFooter alignWithMargins="0">
    <oddHeader>&amp;F</oddHeader>
    <oddFooter>&amp;L&amp;BMatthews Australasia Pty Ltd Confidential&amp;B&amp;C&amp;D&amp;RPage &amp;P</oddFooter>
  </headerFooter>
  <rowBreaks count="2" manualBreakCount="2">
    <brk id="180" min="1" max="9" man="1"/>
    <brk id="311" min="1" max="9" man="1"/>
  </rowBreaks>
  <ignoredErrors>
    <ignoredError sqref="I413 H278 H178 F436:F437 D199:E199 D195:E195 D304:E304 H184:H187 D41:E41 D60:E60 D79:E79 D93:E95 D121:E121 D141:E141 D161:E161 H156 D25:E26 D44:E45 D63:E64 D82:E83 D104:E105 D124:E125 D144:E145 H31 D31:E31 D49:E50 D71:E71 D90:E90 D111:E111 D131:E131 H151 D151:E151 M100:Q103 R98:S101 D371:E371 R31:S31 R49:S50 R71:S71 R90:S90 D116:E118 D136:E138 D156:E158 R92:S95 R73:S76 D74:E76 R54:S57 D55:E57 R35:S38 D36:E38 D425 D459 H488:H490 E463:E465 R25:S29 D28:E29 R41:S47 D47:E47 R60:S66 D66:E66 R79:S85 D85:E85 D108:E109 D128:E129 D148:E149 D308:E308 R68:S68 D68:E68 R87:S87 D87:E87 AG308:AH308 E436:E437" evalError="1"/>
    <ignoredError sqref="G745:G751 H836 G852 G753 G738:G739 G562:G564 G550 G683:G688 G869:G870 G631:G640 G865:G866 G627:G628 M516:M534 M562:M564 M627:M637 M640:M667 M671:M695 M726:M727 M738:M814 M816:M850 M852:M883 M885:M890 G667 M505:M514 G820:G829 M718:M719 M716 M700:M714 G775:G776 G773 G764 M537:M560 G558:G560 M567:M580 G579:G580 M605:M609 G605:G606 G854:G863" numberStoredAsText="1"/>
    <ignoredError sqref="G356:G357 G26 G45 G64 G83 G105 G145:G146 G31 G185:G191 G225:G228 G260 G371 G378 G151 G117:G121 G37:G41 G56:G60 G75:G79 G94:G98 G157:G161 G111:H112 F463:F464 G331 I533:I538 G28:G29 G106:H109 G125:G129 G148:G149 G54 G366:G369 C389:C406 I653 G47:G51 G33:G35 G66:G67 G85:G90 G113:G115 G133:G141 G153:G155 G165:G168 G362:G363 G380 F466 G69:G71" unlockedFormula="1"/>
    <ignoredError sqref="H327:H328 E327:E328 H346 H382 H351 D351:E351 H334 G466 D460 G463:G465" evalError="1" unlockedFormula="1"/>
    <ignoredError sqref="H54 H92 H155 H49:H50 H135 H41:H47" formula="1"/>
    <ignoredError sqref="H35 H73 G92 H115" formula="1" unlockedFormula="1"/>
    <ignoredError sqref="H36:H38" evalError="1" formula="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0"/>
    <pageSetUpPr fitToPage="1"/>
  </sheetPr>
  <dimension ref="A1:S140"/>
  <sheetViews>
    <sheetView showGridLines="0" showRowColHeaders="0" topLeftCell="A88" zoomScale="90" zoomScaleNormal="90" zoomScaleSheetLayoutView="70" workbookViewId="0">
      <selection activeCell="G11" sqref="G11:G21"/>
    </sheetView>
  </sheetViews>
  <sheetFormatPr defaultColWidth="9.28515625" defaultRowHeight="14.25" x14ac:dyDescent="0.2"/>
  <cols>
    <col min="1" max="1" width="8.5703125" style="347" customWidth="1"/>
    <col min="2" max="2" width="9.28515625" style="347"/>
    <col min="3" max="3" width="55.28515625" style="347" bestFit="1" customWidth="1"/>
    <col min="4" max="4" width="13.7109375" style="347" customWidth="1"/>
    <col min="5" max="5" width="18.28515625" style="347" customWidth="1"/>
    <col min="6" max="6" width="66.28515625" style="347" customWidth="1"/>
    <col min="7" max="8" width="13.28515625" style="347" bestFit="1" customWidth="1"/>
    <col min="9" max="9" width="14.28515625" style="347" bestFit="1" customWidth="1"/>
    <col min="10" max="11" width="9.28515625" style="347"/>
    <col min="12" max="15" width="0" style="974" hidden="1" customWidth="1"/>
    <col min="16" max="19" width="9.28515625" style="974"/>
    <col min="20" max="16384" width="9.28515625" style="347"/>
  </cols>
  <sheetData>
    <row r="1" spans="1:10" ht="18" customHeight="1" x14ac:dyDescent="0.2">
      <c r="C1" s="345"/>
      <c r="D1" s="345"/>
      <c r="E1" s="346"/>
      <c r="F1" s="346"/>
    </row>
    <row r="2" spans="1:10" ht="18" customHeight="1" x14ac:dyDescent="0.2">
      <c r="C2" s="345"/>
      <c r="D2" s="345"/>
      <c r="E2" s="346"/>
      <c r="F2" s="346"/>
    </row>
    <row r="3" spans="1:10" ht="20.25" x14ac:dyDescent="0.3">
      <c r="B3" s="353"/>
      <c r="C3" s="348"/>
      <c r="D3" s="348"/>
      <c r="E3" s="349"/>
      <c r="F3" s="350"/>
      <c r="G3" s="351"/>
      <c r="H3" s="351"/>
      <c r="I3" s="351"/>
      <c r="J3" s="351"/>
    </row>
    <row r="4" spans="1:10" ht="20.25" x14ac:dyDescent="0.3">
      <c r="B4" s="353"/>
      <c r="C4" s="348"/>
      <c r="D4" s="348"/>
      <c r="E4" s="349"/>
      <c r="F4" s="350"/>
      <c r="G4" s="351"/>
      <c r="H4" s="351"/>
      <c r="I4" s="351"/>
      <c r="J4" s="351"/>
    </row>
    <row r="5" spans="1:10" x14ac:dyDescent="0.2">
      <c r="B5" s="354"/>
      <c r="C5" s="351"/>
      <c r="D5" s="351"/>
      <c r="E5" s="351"/>
      <c r="F5" s="351"/>
      <c r="G5" s="351"/>
      <c r="H5" s="351"/>
      <c r="I5" s="351"/>
      <c r="J5" s="351"/>
    </row>
    <row r="6" spans="1:10" x14ac:dyDescent="0.2">
      <c r="B6" s="456"/>
      <c r="C6" s="457" t="s">
        <v>88</v>
      </c>
      <c r="D6" s="458">
        <f>CP!H6</f>
        <v>0.1</v>
      </c>
      <c r="E6" s="351"/>
      <c r="F6" s="351"/>
      <c r="G6" s="351"/>
      <c r="H6" s="351"/>
      <c r="I6" s="351"/>
      <c r="J6" s="351"/>
    </row>
    <row r="7" spans="1:10" x14ac:dyDescent="0.2">
      <c r="B7" s="456"/>
      <c r="C7" s="457" t="s">
        <v>89</v>
      </c>
      <c r="D7" s="458">
        <f>CP!G6</f>
        <v>0.05</v>
      </c>
      <c r="E7" s="351"/>
      <c r="F7" s="351"/>
      <c r="G7" s="351"/>
      <c r="H7" s="351"/>
      <c r="I7" s="351"/>
      <c r="J7" s="351"/>
    </row>
    <row r="8" spans="1:10" ht="15" thickBot="1" x14ac:dyDescent="0.25">
      <c r="B8" s="354"/>
      <c r="C8" s="351"/>
      <c r="D8" s="351"/>
      <c r="E8" s="351"/>
      <c r="F8" s="351"/>
      <c r="G8" s="351"/>
      <c r="H8" s="351"/>
      <c r="I8" s="351"/>
      <c r="J8" s="351"/>
    </row>
    <row r="9" spans="1:10" ht="24" customHeight="1" thickBot="1" x14ac:dyDescent="0.25">
      <c r="A9" s="424"/>
      <c r="B9" s="425"/>
      <c r="C9" s="356" t="s">
        <v>12</v>
      </c>
      <c r="D9" s="416"/>
      <c r="E9" s="28"/>
      <c r="F9" s="28"/>
      <c r="G9" s="30"/>
      <c r="H9" s="35"/>
      <c r="I9" s="31"/>
      <c r="J9" s="351"/>
    </row>
    <row r="10" spans="1:10" ht="24.75" thickBot="1" x14ac:dyDescent="0.25">
      <c r="A10" s="424"/>
      <c r="B10" s="425"/>
      <c r="C10" s="986" t="s">
        <v>1354</v>
      </c>
      <c r="D10" s="357" t="s">
        <v>463</v>
      </c>
      <c r="E10" s="357" t="s">
        <v>462</v>
      </c>
      <c r="F10" s="358" t="s">
        <v>0</v>
      </c>
      <c r="G10" s="357" t="s">
        <v>1</v>
      </c>
      <c r="H10" s="357" t="s">
        <v>342</v>
      </c>
      <c r="I10" s="359" t="s">
        <v>8</v>
      </c>
      <c r="J10" s="351"/>
    </row>
    <row r="11" spans="1:10" ht="18" customHeight="1" x14ac:dyDescent="0.2">
      <c r="A11" s="424"/>
      <c r="B11" s="1083"/>
      <c r="C11" s="1114" t="s">
        <v>780</v>
      </c>
      <c r="D11" s="1123"/>
      <c r="E11" s="1115" t="s">
        <v>446</v>
      </c>
      <c r="F11" s="1117" t="s">
        <v>609</v>
      </c>
      <c r="G11" s="1105"/>
      <c r="H11" s="1104">
        <v>74414</v>
      </c>
      <c r="I11" s="1121">
        <f>H11*G11</f>
        <v>0</v>
      </c>
      <c r="J11" s="351"/>
    </row>
    <row r="12" spans="1:10" ht="18" customHeight="1" x14ac:dyDescent="0.2">
      <c r="A12" s="424"/>
      <c r="B12" s="1083"/>
      <c r="C12" s="1085"/>
      <c r="D12" s="1087"/>
      <c r="E12" s="1112"/>
      <c r="F12" s="1089"/>
      <c r="G12" s="1094"/>
      <c r="H12" s="1092"/>
      <c r="I12" s="1096"/>
      <c r="J12" s="351"/>
    </row>
    <row r="13" spans="1:10" ht="18" customHeight="1" x14ac:dyDescent="0.2">
      <c r="A13" s="424"/>
      <c r="B13" s="1083"/>
      <c r="C13" s="1085"/>
      <c r="D13" s="1087"/>
      <c r="E13" s="1112"/>
      <c r="F13" s="1089"/>
      <c r="G13" s="1094"/>
      <c r="H13" s="1092"/>
      <c r="I13" s="1096"/>
      <c r="J13" s="351"/>
    </row>
    <row r="14" spans="1:10" ht="18" customHeight="1" x14ac:dyDescent="0.2">
      <c r="A14" s="424"/>
      <c r="B14" s="1083"/>
      <c r="C14" s="1085"/>
      <c r="D14" s="1087"/>
      <c r="E14" s="1112"/>
      <c r="F14" s="1089"/>
      <c r="G14" s="1094"/>
      <c r="H14" s="1092"/>
      <c r="I14" s="1096"/>
      <c r="J14" s="351"/>
    </row>
    <row r="15" spans="1:10" ht="18" customHeight="1" x14ac:dyDescent="0.2">
      <c r="A15" s="424"/>
      <c r="B15" s="1083"/>
      <c r="C15" s="1085"/>
      <c r="D15" s="1087"/>
      <c r="E15" s="1112"/>
      <c r="F15" s="1089"/>
      <c r="G15" s="1094"/>
      <c r="H15" s="1092"/>
      <c r="I15" s="1096"/>
      <c r="J15" s="351"/>
    </row>
    <row r="16" spans="1:10" ht="18" customHeight="1" x14ac:dyDescent="0.2">
      <c r="A16" s="424"/>
      <c r="B16" s="1083"/>
      <c r="C16" s="1085"/>
      <c r="D16" s="1087"/>
      <c r="E16" s="1112"/>
      <c r="F16" s="1089"/>
      <c r="G16" s="1094"/>
      <c r="H16" s="1092"/>
      <c r="I16" s="1096"/>
      <c r="J16" s="351"/>
    </row>
    <row r="17" spans="1:10" ht="18" customHeight="1" x14ac:dyDescent="0.2">
      <c r="A17" s="424"/>
      <c r="B17" s="1083"/>
      <c r="C17" s="1085"/>
      <c r="D17" s="1087"/>
      <c r="E17" s="1112"/>
      <c r="F17" s="1089"/>
      <c r="G17" s="1094"/>
      <c r="H17" s="1092"/>
      <c r="I17" s="1096"/>
      <c r="J17" s="351"/>
    </row>
    <row r="18" spans="1:10" ht="18" customHeight="1" x14ac:dyDescent="0.2">
      <c r="A18" s="424"/>
      <c r="B18" s="1083"/>
      <c r="C18" s="1085"/>
      <c r="D18" s="1087"/>
      <c r="E18" s="1112"/>
      <c r="F18" s="1089"/>
      <c r="G18" s="1094"/>
      <c r="H18" s="1092"/>
      <c r="I18" s="1096"/>
      <c r="J18" s="351"/>
    </row>
    <row r="19" spans="1:10" ht="18" customHeight="1" x14ac:dyDescent="0.2">
      <c r="A19" s="424"/>
      <c r="B19" s="1083"/>
      <c r="C19" s="1085"/>
      <c r="D19" s="1087"/>
      <c r="E19" s="1112"/>
      <c r="F19" s="1089"/>
      <c r="G19" s="1094"/>
      <c r="H19" s="1092"/>
      <c r="I19" s="1096"/>
      <c r="J19" s="351"/>
    </row>
    <row r="20" spans="1:10" ht="18" customHeight="1" x14ac:dyDescent="0.2">
      <c r="A20" s="424"/>
      <c r="B20" s="1083"/>
      <c r="C20" s="1085"/>
      <c r="D20" s="1087"/>
      <c r="E20" s="1112"/>
      <c r="F20" s="1089"/>
      <c r="G20" s="1094"/>
      <c r="H20" s="1092"/>
      <c r="I20" s="1096"/>
      <c r="J20" s="351"/>
    </row>
    <row r="21" spans="1:10" ht="18" customHeight="1" x14ac:dyDescent="0.2">
      <c r="A21" s="424"/>
      <c r="B21" s="1083"/>
      <c r="C21" s="1085"/>
      <c r="D21" s="1124"/>
      <c r="E21" s="1116"/>
      <c r="F21" s="1118"/>
      <c r="G21" s="1120"/>
      <c r="H21" s="1119"/>
      <c r="I21" s="1122"/>
      <c r="J21" s="351"/>
    </row>
    <row r="22" spans="1:10" ht="18" customHeight="1" x14ac:dyDescent="0.2">
      <c r="A22" s="424"/>
      <c r="B22" s="485"/>
      <c r="C22" s="1125" t="s">
        <v>631</v>
      </c>
      <c r="D22" s="1127">
        <v>23010006</v>
      </c>
      <c r="E22" s="1132" t="s">
        <v>627</v>
      </c>
      <c r="F22" s="1134" t="s">
        <v>628</v>
      </c>
      <c r="G22" s="1131"/>
      <c r="H22" s="1128">
        <v>76500</v>
      </c>
      <c r="I22" s="1130">
        <f>H22*G22</f>
        <v>0</v>
      </c>
      <c r="J22" s="351"/>
    </row>
    <row r="23" spans="1:10" ht="18" customHeight="1" x14ac:dyDescent="0.2">
      <c r="A23" s="424"/>
      <c r="B23" s="485"/>
      <c r="C23" s="1126"/>
      <c r="D23" s="1087"/>
      <c r="E23" s="1133"/>
      <c r="F23" s="1089"/>
      <c r="G23" s="1094"/>
      <c r="H23" s="1129"/>
      <c r="I23" s="1096"/>
      <c r="J23" s="351"/>
    </row>
    <row r="24" spans="1:10" ht="18" customHeight="1" x14ac:dyDescent="0.2">
      <c r="A24" s="424"/>
      <c r="B24" s="485"/>
      <c r="C24" s="1126"/>
      <c r="D24" s="1087"/>
      <c r="E24" s="1133"/>
      <c r="F24" s="1089"/>
      <c r="G24" s="1094"/>
      <c r="H24" s="1129"/>
      <c r="I24" s="1096"/>
      <c r="J24" s="351"/>
    </row>
    <row r="25" spans="1:10" ht="18" customHeight="1" x14ac:dyDescent="0.2">
      <c r="A25" s="424"/>
      <c r="B25" s="485"/>
      <c r="C25" s="1126"/>
      <c r="D25" s="1087"/>
      <c r="E25" s="1133"/>
      <c r="F25" s="1089"/>
      <c r="G25" s="1094"/>
      <c r="H25" s="1129"/>
      <c r="I25" s="1096"/>
      <c r="J25" s="351"/>
    </row>
    <row r="26" spans="1:10" ht="18" customHeight="1" x14ac:dyDescent="0.2">
      <c r="A26" s="424"/>
      <c r="B26" s="485"/>
      <c r="C26" s="1126"/>
      <c r="D26" s="1087"/>
      <c r="E26" s="1133"/>
      <c r="F26" s="1089"/>
      <c r="G26" s="1094"/>
      <c r="H26" s="1129"/>
      <c r="I26" s="1096"/>
      <c r="J26" s="351"/>
    </row>
    <row r="27" spans="1:10" ht="18" customHeight="1" x14ac:dyDescent="0.2">
      <c r="A27" s="424"/>
      <c r="B27" s="485"/>
      <c r="C27" s="1126"/>
      <c r="D27" s="1087"/>
      <c r="E27" s="1133"/>
      <c r="F27" s="1089"/>
      <c r="G27" s="1094"/>
      <c r="H27" s="1129"/>
      <c r="I27" s="1096"/>
      <c r="J27" s="351"/>
    </row>
    <row r="28" spans="1:10" ht="18" customHeight="1" x14ac:dyDescent="0.2">
      <c r="A28" s="424"/>
      <c r="B28" s="485"/>
      <c r="C28" s="1126"/>
      <c r="D28" s="1087"/>
      <c r="E28" s="1133"/>
      <c r="F28" s="1089"/>
      <c r="G28" s="1094"/>
      <c r="H28" s="1129"/>
      <c r="I28" s="1096"/>
      <c r="J28" s="351"/>
    </row>
    <row r="29" spans="1:10" ht="18" customHeight="1" x14ac:dyDescent="0.2">
      <c r="A29" s="424"/>
      <c r="B29" s="485"/>
      <c r="C29" s="1126"/>
      <c r="D29" s="1087"/>
      <c r="E29" s="1133"/>
      <c r="F29" s="1089"/>
      <c r="G29" s="1094"/>
      <c r="H29" s="1129"/>
      <c r="I29" s="1096"/>
      <c r="J29" s="351"/>
    </row>
    <row r="30" spans="1:10" ht="18" customHeight="1" x14ac:dyDescent="0.2">
      <c r="A30" s="424"/>
      <c r="B30" s="485"/>
      <c r="C30" s="1126"/>
      <c r="D30" s="1087"/>
      <c r="E30" s="1133"/>
      <c r="F30" s="1089"/>
      <c r="G30" s="1094"/>
      <c r="H30" s="1129"/>
      <c r="I30" s="1096"/>
      <c r="J30" s="351"/>
    </row>
    <row r="31" spans="1:10" ht="18" customHeight="1" x14ac:dyDescent="0.2">
      <c r="A31" s="424"/>
      <c r="B31" s="485"/>
      <c r="C31" s="1126"/>
      <c r="D31" s="1087"/>
      <c r="E31" s="1133"/>
      <c r="F31" s="1089"/>
      <c r="G31" s="1094"/>
      <c r="H31" s="1129"/>
      <c r="I31" s="1096"/>
      <c r="J31" s="351"/>
    </row>
    <row r="32" spans="1:10" ht="18" customHeight="1" x14ac:dyDescent="0.2">
      <c r="A32" s="424"/>
      <c r="B32" s="485"/>
      <c r="C32" s="1126"/>
      <c r="D32" s="1087"/>
      <c r="E32" s="1133"/>
      <c r="F32" s="1089"/>
      <c r="G32" s="1094"/>
      <c r="H32" s="1129"/>
      <c r="I32" s="1096"/>
      <c r="J32" s="351"/>
    </row>
    <row r="33" spans="2:10" ht="21.75" customHeight="1" x14ac:dyDescent="0.2">
      <c r="B33" s="1084"/>
      <c r="C33" s="1085" t="s">
        <v>438</v>
      </c>
      <c r="D33" s="1087"/>
      <c r="E33" s="1112" t="s">
        <v>439</v>
      </c>
      <c r="F33" s="1089" t="s">
        <v>1355</v>
      </c>
      <c r="G33" s="1094"/>
      <c r="H33" s="1092">
        <v>71832</v>
      </c>
      <c r="I33" s="1096">
        <f>G33*H33</f>
        <v>0</v>
      </c>
      <c r="J33" s="351"/>
    </row>
    <row r="34" spans="2:10" ht="21.75" customHeight="1" x14ac:dyDescent="0.2">
      <c r="B34" s="1084"/>
      <c r="C34" s="1085"/>
      <c r="D34" s="1087"/>
      <c r="E34" s="1112"/>
      <c r="F34" s="1090"/>
      <c r="G34" s="1094"/>
      <c r="H34" s="1092"/>
      <c r="I34" s="1096"/>
      <c r="J34" s="351"/>
    </row>
    <row r="35" spans="2:10" ht="21.75" customHeight="1" x14ac:dyDescent="0.2">
      <c r="B35" s="1084"/>
      <c r="C35" s="1085"/>
      <c r="D35" s="1087"/>
      <c r="E35" s="1112"/>
      <c r="F35" s="1090"/>
      <c r="G35" s="1094"/>
      <c r="H35" s="1092"/>
      <c r="I35" s="1096"/>
      <c r="J35" s="351"/>
    </row>
    <row r="36" spans="2:10" ht="21.75" customHeight="1" x14ac:dyDescent="0.2">
      <c r="B36" s="1084"/>
      <c r="C36" s="1085"/>
      <c r="D36" s="1087"/>
      <c r="E36" s="1112"/>
      <c r="F36" s="1090"/>
      <c r="G36" s="1094"/>
      <c r="H36" s="1092"/>
      <c r="I36" s="1096"/>
      <c r="J36" s="351"/>
    </row>
    <row r="37" spans="2:10" ht="21.75" customHeight="1" x14ac:dyDescent="0.2">
      <c r="B37" s="1084"/>
      <c r="C37" s="1085"/>
      <c r="D37" s="1087"/>
      <c r="E37" s="1112"/>
      <c r="F37" s="1090"/>
      <c r="G37" s="1094"/>
      <c r="H37" s="1092"/>
      <c r="I37" s="1096"/>
      <c r="J37" s="351"/>
    </row>
    <row r="38" spans="2:10" ht="21.75" customHeight="1" x14ac:dyDescent="0.2">
      <c r="B38" s="1084"/>
      <c r="C38" s="1085"/>
      <c r="D38" s="1087"/>
      <c r="E38" s="1112"/>
      <c r="F38" s="1090"/>
      <c r="G38" s="1094"/>
      <c r="H38" s="1092"/>
      <c r="I38" s="1096"/>
      <c r="J38" s="351"/>
    </row>
    <row r="39" spans="2:10" ht="21.75" customHeight="1" x14ac:dyDescent="0.2">
      <c r="B39" s="1084"/>
      <c r="C39" s="1085"/>
      <c r="D39" s="1087"/>
      <c r="E39" s="1112"/>
      <c r="F39" s="1090"/>
      <c r="G39" s="1094"/>
      <c r="H39" s="1092"/>
      <c r="I39" s="1096"/>
      <c r="J39" s="351"/>
    </row>
    <row r="40" spans="2:10" ht="21.75" customHeight="1" x14ac:dyDescent="0.2">
      <c r="B40" s="1084"/>
      <c r="C40" s="1085"/>
      <c r="D40" s="1087"/>
      <c r="E40" s="1112"/>
      <c r="F40" s="1090"/>
      <c r="G40" s="1094"/>
      <c r="H40" s="1092"/>
      <c r="I40" s="1096"/>
      <c r="J40" s="351"/>
    </row>
    <row r="41" spans="2:10" ht="21.75" customHeight="1" x14ac:dyDescent="0.2">
      <c r="B41" s="1084"/>
      <c r="C41" s="1085"/>
      <c r="D41" s="1087"/>
      <c r="E41" s="1112"/>
      <c r="F41" s="1090"/>
      <c r="G41" s="1094"/>
      <c r="H41" s="1092"/>
      <c r="I41" s="1096"/>
      <c r="J41" s="351"/>
    </row>
    <row r="42" spans="2:10" ht="18.75" customHeight="1" x14ac:dyDescent="0.2">
      <c r="B42" s="1084"/>
      <c r="C42" s="1085" t="s">
        <v>440</v>
      </c>
      <c r="D42" s="1087"/>
      <c r="E42" s="1112" t="s">
        <v>441</v>
      </c>
      <c r="F42" s="1089" t="s">
        <v>610</v>
      </c>
      <c r="G42" s="1094"/>
      <c r="H42" s="1092">
        <v>46835</v>
      </c>
      <c r="I42" s="1096">
        <f>G42*H42</f>
        <v>0</v>
      </c>
      <c r="J42" s="351"/>
    </row>
    <row r="43" spans="2:10" ht="18.75" customHeight="1" x14ac:dyDescent="0.2">
      <c r="B43" s="1084"/>
      <c r="C43" s="1085"/>
      <c r="D43" s="1087"/>
      <c r="E43" s="1112"/>
      <c r="F43" s="1090"/>
      <c r="G43" s="1094"/>
      <c r="H43" s="1092"/>
      <c r="I43" s="1096"/>
      <c r="J43" s="351"/>
    </row>
    <row r="44" spans="2:10" ht="18.75" customHeight="1" x14ac:dyDescent="0.2">
      <c r="B44" s="1084"/>
      <c r="C44" s="1085"/>
      <c r="D44" s="1087"/>
      <c r="E44" s="1112"/>
      <c r="F44" s="1090"/>
      <c r="G44" s="1094"/>
      <c r="H44" s="1092"/>
      <c r="I44" s="1096"/>
      <c r="J44" s="351"/>
    </row>
    <row r="45" spans="2:10" ht="18.75" customHeight="1" x14ac:dyDescent="0.2">
      <c r="B45" s="1084"/>
      <c r="C45" s="1085"/>
      <c r="D45" s="1087"/>
      <c r="E45" s="1112"/>
      <c r="F45" s="1090"/>
      <c r="G45" s="1094"/>
      <c r="H45" s="1092"/>
      <c r="I45" s="1096"/>
      <c r="J45" s="351"/>
    </row>
    <row r="46" spans="2:10" ht="18.75" customHeight="1" x14ac:dyDescent="0.2">
      <c r="B46" s="1084"/>
      <c r="C46" s="1085"/>
      <c r="D46" s="1087"/>
      <c r="E46" s="1112"/>
      <c r="F46" s="1090"/>
      <c r="G46" s="1094"/>
      <c r="H46" s="1092"/>
      <c r="I46" s="1096"/>
      <c r="J46" s="351"/>
    </row>
    <row r="47" spans="2:10" ht="18.75" customHeight="1" x14ac:dyDescent="0.2">
      <c r="B47" s="1084"/>
      <c r="C47" s="1085"/>
      <c r="D47" s="1087"/>
      <c r="E47" s="1112"/>
      <c r="F47" s="1090"/>
      <c r="G47" s="1094"/>
      <c r="H47" s="1092"/>
      <c r="I47" s="1096"/>
      <c r="J47" s="351"/>
    </row>
    <row r="48" spans="2:10" ht="18.75" customHeight="1" x14ac:dyDescent="0.2">
      <c r="B48" s="1084"/>
      <c r="C48" s="1085"/>
      <c r="D48" s="1087"/>
      <c r="E48" s="1112"/>
      <c r="F48" s="1090"/>
      <c r="G48" s="1094"/>
      <c r="H48" s="1092"/>
      <c r="I48" s="1096"/>
      <c r="J48" s="351"/>
    </row>
    <row r="49" spans="2:15" ht="18.75" customHeight="1" x14ac:dyDescent="0.2">
      <c r="B49" s="1084"/>
      <c r="C49" s="1085"/>
      <c r="D49" s="1087"/>
      <c r="E49" s="1112"/>
      <c r="F49" s="1090"/>
      <c r="G49" s="1094"/>
      <c r="H49" s="1092"/>
      <c r="I49" s="1096"/>
      <c r="J49" s="351"/>
    </row>
    <row r="50" spans="2:15" ht="18.75" customHeight="1" x14ac:dyDescent="0.2">
      <c r="B50" s="1084"/>
      <c r="C50" s="1085"/>
      <c r="D50" s="1087"/>
      <c r="E50" s="1112"/>
      <c r="F50" s="1090"/>
      <c r="G50" s="1094"/>
      <c r="H50" s="1092"/>
      <c r="I50" s="1096"/>
      <c r="J50" s="351"/>
    </row>
    <row r="51" spans="2:15" ht="18.75" customHeight="1" x14ac:dyDescent="0.2">
      <c r="B51" s="1084"/>
      <c r="C51" s="1085" t="s">
        <v>442</v>
      </c>
      <c r="D51" s="1087"/>
      <c r="E51" s="1112" t="s">
        <v>443</v>
      </c>
      <c r="F51" s="1089" t="s">
        <v>611</v>
      </c>
      <c r="G51" s="1094"/>
      <c r="H51" s="1092">
        <v>51235</v>
      </c>
      <c r="I51" s="1096">
        <f>G51*H51</f>
        <v>0</v>
      </c>
      <c r="J51" s="351"/>
    </row>
    <row r="52" spans="2:15" ht="18.75" customHeight="1" x14ac:dyDescent="0.2">
      <c r="B52" s="1084"/>
      <c r="C52" s="1085"/>
      <c r="D52" s="1087"/>
      <c r="E52" s="1112"/>
      <c r="F52" s="1090"/>
      <c r="G52" s="1094"/>
      <c r="H52" s="1092"/>
      <c r="I52" s="1096"/>
      <c r="J52" s="351"/>
    </row>
    <row r="53" spans="2:15" ht="18.75" customHeight="1" x14ac:dyDescent="0.2">
      <c r="B53" s="1084"/>
      <c r="C53" s="1085"/>
      <c r="D53" s="1087"/>
      <c r="E53" s="1112"/>
      <c r="F53" s="1090"/>
      <c r="G53" s="1094"/>
      <c r="H53" s="1092"/>
      <c r="I53" s="1096"/>
      <c r="J53" s="351"/>
    </row>
    <row r="54" spans="2:15" ht="18.75" customHeight="1" x14ac:dyDescent="0.2">
      <c r="B54" s="1084"/>
      <c r="C54" s="1085"/>
      <c r="D54" s="1087"/>
      <c r="E54" s="1112"/>
      <c r="F54" s="1090"/>
      <c r="G54" s="1094"/>
      <c r="H54" s="1092"/>
      <c r="I54" s="1096"/>
      <c r="J54" s="351"/>
    </row>
    <row r="55" spans="2:15" ht="18.75" customHeight="1" x14ac:dyDescent="0.2">
      <c r="B55" s="1084"/>
      <c r="C55" s="1085"/>
      <c r="D55" s="1087"/>
      <c r="E55" s="1112"/>
      <c r="F55" s="1090"/>
      <c r="G55" s="1094"/>
      <c r="H55" s="1092"/>
      <c r="I55" s="1096"/>
      <c r="J55" s="351"/>
    </row>
    <row r="56" spans="2:15" ht="18.75" customHeight="1" x14ac:dyDescent="0.2">
      <c r="B56" s="1084"/>
      <c r="C56" s="1085"/>
      <c r="D56" s="1087"/>
      <c r="E56" s="1112"/>
      <c r="F56" s="1090"/>
      <c r="G56" s="1094"/>
      <c r="H56" s="1092"/>
      <c r="I56" s="1096"/>
      <c r="J56" s="351"/>
    </row>
    <row r="57" spans="2:15" ht="18.75" customHeight="1" x14ac:dyDescent="0.2">
      <c r="B57" s="1084"/>
      <c r="C57" s="1085"/>
      <c r="D57" s="1087"/>
      <c r="E57" s="1112"/>
      <c r="F57" s="1090"/>
      <c r="G57" s="1094"/>
      <c r="H57" s="1092"/>
      <c r="I57" s="1096"/>
      <c r="J57" s="351"/>
    </row>
    <row r="58" spans="2:15" ht="18.75" customHeight="1" x14ac:dyDescent="0.2">
      <c r="B58" s="1084"/>
      <c r="C58" s="1085"/>
      <c r="D58" s="1087"/>
      <c r="E58" s="1112"/>
      <c r="F58" s="1090"/>
      <c r="G58" s="1094"/>
      <c r="H58" s="1092"/>
      <c r="I58" s="1096"/>
      <c r="J58" s="351"/>
    </row>
    <row r="59" spans="2:15" ht="18.75" customHeight="1" x14ac:dyDescent="0.2">
      <c r="B59" s="1084"/>
      <c r="C59" s="1085"/>
      <c r="D59" s="1087"/>
      <c r="E59" s="1112"/>
      <c r="F59" s="1090"/>
      <c r="G59" s="1094"/>
      <c r="H59" s="1092"/>
      <c r="I59" s="1096"/>
      <c r="J59" s="351"/>
    </row>
    <row r="60" spans="2:15" ht="17.25" customHeight="1" x14ac:dyDescent="0.2">
      <c r="B60" s="1084"/>
      <c r="C60" s="1085" t="s">
        <v>444</v>
      </c>
      <c r="D60" s="1087"/>
      <c r="E60" s="1112" t="s">
        <v>445</v>
      </c>
      <c r="F60" s="1089" t="s">
        <v>612</v>
      </c>
      <c r="G60" s="1094"/>
      <c r="H60" s="1092">
        <v>49363</v>
      </c>
      <c r="I60" s="1096">
        <f>G60*H60</f>
        <v>0</v>
      </c>
      <c r="J60" s="351"/>
    </row>
    <row r="61" spans="2:15" ht="17.25" customHeight="1" x14ac:dyDescent="0.2">
      <c r="B61" s="1084"/>
      <c r="C61" s="1085"/>
      <c r="D61" s="1087"/>
      <c r="E61" s="1112"/>
      <c r="F61" s="1090"/>
      <c r="G61" s="1094"/>
      <c r="H61" s="1092"/>
      <c r="I61" s="1096"/>
      <c r="J61" s="351"/>
    </row>
    <row r="62" spans="2:15" ht="17.25" customHeight="1" x14ac:dyDescent="0.2">
      <c r="B62" s="1084"/>
      <c r="C62" s="1085"/>
      <c r="D62" s="1087"/>
      <c r="E62" s="1112"/>
      <c r="F62" s="1090"/>
      <c r="G62" s="1094"/>
      <c r="H62" s="1092"/>
      <c r="I62" s="1096"/>
      <c r="J62" s="351"/>
    </row>
    <row r="63" spans="2:15" ht="17.25" customHeight="1" x14ac:dyDescent="0.2">
      <c r="B63" s="1084"/>
      <c r="C63" s="1085"/>
      <c r="D63" s="1087"/>
      <c r="E63" s="1112"/>
      <c r="F63" s="1090"/>
      <c r="G63" s="1094"/>
      <c r="H63" s="1092"/>
      <c r="I63" s="1096"/>
      <c r="J63" s="351"/>
    </row>
    <row r="64" spans="2:15" ht="17.25" customHeight="1" x14ac:dyDescent="0.2">
      <c r="B64" s="1084"/>
      <c r="C64" s="1085"/>
      <c r="D64" s="1087"/>
      <c r="E64" s="1112"/>
      <c r="F64" s="1090"/>
      <c r="G64" s="1094"/>
      <c r="H64" s="1092"/>
      <c r="I64" s="1096"/>
      <c r="J64" s="351"/>
      <c r="L64" s="984"/>
      <c r="M64" s="984"/>
      <c r="N64" s="984"/>
      <c r="O64" s="984"/>
    </row>
    <row r="65" spans="2:15" ht="17.25" customHeight="1" x14ac:dyDescent="0.2">
      <c r="B65" s="1084"/>
      <c r="C65" s="1085"/>
      <c r="D65" s="1087"/>
      <c r="E65" s="1112"/>
      <c r="F65" s="1090"/>
      <c r="G65" s="1094"/>
      <c r="H65" s="1092"/>
      <c r="I65" s="1096"/>
      <c r="J65" s="351"/>
      <c r="L65" s="984"/>
      <c r="M65" s="984"/>
      <c r="N65" s="984"/>
      <c r="O65" s="984"/>
    </row>
    <row r="66" spans="2:15" ht="17.25" customHeight="1" x14ac:dyDescent="0.2">
      <c r="B66" s="1084"/>
      <c r="C66" s="1085"/>
      <c r="D66" s="1087"/>
      <c r="E66" s="1112"/>
      <c r="F66" s="1090"/>
      <c r="G66" s="1094"/>
      <c r="H66" s="1092"/>
      <c r="I66" s="1096"/>
      <c r="J66" s="351"/>
      <c r="L66" s="984"/>
      <c r="M66" s="984"/>
      <c r="N66" s="984"/>
      <c r="O66" s="984"/>
    </row>
    <row r="67" spans="2:15" ht="17.25" customHeight="1" x14ac:dyDescent="0.2">
      <c r="B67" s="1084"/>
      <c r="C67" s="1085"/>
      <c r="D67" s="1087"/>
      <c r="E67" s="1112"/>
      <c r="F67" s="1090"/>
      <c r="G67" s="1094"/>
      <c r="H67" s="1092"/>
      <c r="I67" s="1096"/>
      <c r="J67" s="351"/>
      <c r="L67" s="984"/>
      <c r="M67" s="984"/>
      <c r="N67" s="984"/>
      <c r="O67" s="984"/>
    </row>
    <row r="68" spans="2:15" ht="17.25" customHeight="1" thickBot="1" x14ac:dyDescent="0.25">
      <c r="B68" s="1084"/>
      <c r="C68" s="1086"/>
      <c r="D68" s="1088"/>
      <c r="E68" s="1113"/>
      <c r="F68" s="1091"/>
      <c r="G68" s="1095"/>
      <c r="H68" s="1093"/>
      <c r="I68" s="1097"/>
      <c r="J68" s="351"/>
      <c r="L68" s="984"/>
      <c r="M68" s="984"/>
      <c r="N68" s="984"/>
      <c r="O68" s="984"/>
    </row>
    <row r="69" spans="2:15" ht="17.25" customHeight="1" thickBot="1" x14ac:dyDescent="0.25">
      <c r="B69" s="409"/>
      <c r="C69" s="409"/>
      <c r="D69" s="409"/>
      <c r="E69" s="411"/>
      <c r="F69" s="412"/>
      <c r="G69" s="412"/>
      <c r="H69" s="413"/>
      <c r="I69" s="414"/>
      <c r="J69" s="351"/>
      <c r="L69" s="984"/>
      <c r="M69" s="984"/>
      <c r="N69" s="984"/>
      <c r="O69" s="984"/>
    </row>
    <row r="70" spans="2:15" ht="2.25" customHeight="1" x14ac:dyDescent="0.2">
      <c r="B70" s="409"/>
      <c r="C70" s="968"/>
      <c r="D70" s="533"/>
      <c r="E70" s="1109" t="s">
        <v>507</v>
      </c>
      <c r="F70" s="441"/>
      <c r="G70" s="426"/>
      <c r="H70" s="444"/>
      <c r="I70" s="445">
        <f>G70*H70</f>
        <v>0</v>
      </c>
      <c r="J70" s="351"/>
      <c r="L70" s="984"/>
      <c r="M70" s="984"/>
      <c r="N70" s="984"/>
      <c r="O70" s="984"/>
    </row>
    <row r="71" spans="2:15" ht="17.25" hidden="1" customHeight="1" x14ac:dyDescent="0.2">
      <c r="B71" s="409"/>
      <c r="C71" s="969"/>
      <c r="D71" s="489"/>
      <c r="E71" s="1110"/>
      <c r="F71" s="442"/>
      <c r="G71" s="415"/>
      <c r="H71" s="446"/>
      <c r="I71" s="447">
        <f t="shared" ref="I71:I84" si="0">G71*H71</f>
        <v>0</v>
      </c>
      <c r="J71" s="351"/>
      <c r="L71" s="984"/>
      <c r="M71" s="984"/>
      <c r="N71" s="984"/>
      <c r="O71" s="984"/>
    </row>
    <row r="72" spans="2:15" ht="17.25" customHeight="1" x14ac:dyDescent="0.2">
      <c r="B72" s="409"/>
      <c r="C72" s="969"/>
      <c r="D72" s="867">
        <v>14010013</v>
      </c>
      <c r="E72" s="1110"/>
      <c r="F72" s="872" t="s">
        <v>550</v>
      </c>
      <c r="G72" s="415"/>
      <c r="H72" s="446">
        <f>'A-Series'!I553</f>
        <v>6300</v>
      </c>
      <c r="I72" s="447">
        <f t="shared" si="0"/>
        <v>0</v>
      </c>
      <c r="J72" s="351"/>
      <c r="L72" s="984"/>
      <c r="M72" s="984" t="s">
        <v>861</v>
      </c>
      <c r="N72" s="984" t="str">
        <f>IF(G72&gt;0,I72,"")</f>
        <v/>
      </c>
      <c r="O72" s="984"/>
    </row>
    <row r="73" spans="2:15" ht="22.5" x14ac:dyDescent="0.2">
      <c r="B73" s="409"/>
      <c r="C73" s="969"/>
      <c r="D73" s="867" t="str">
        <f>VLOOKUP(F73,'A-Series'!$F$548:$H$564,2,FALSE)</f>
        <v>14010024, 14020062</v>
      </c>
      <c r="E73" s="1110"/>
      <c r="F73" s="872" t="s">
        <v>596</v>
      </c>
      <c r="G73" s="415"/>
      <c r="H73" s="446">
        <f>VLOOKUP(F73,'A-Series'!$F$550:$I$564,4,FALSE)</f>
        <v>8250</v>
      </c>
      <c r="I73" s="447">
        <f t="shared" si="0"/>
        <v>0</v>
      </c>
      <c r="J73" s="351"/>
      <c r="L73" s="984"/>
      <c r="M73" s="984" t="s">
        <v>861</v>
      </c>
      <c r="N73" s="984" t="str">
        <f t="shared" ref="N73:N86" si="1">IF(G73&gt;0,I73,"")</f>
        <v/>
      </c>
      <c r="O73" s="984"/>
    </row>
    <row r="74" spans="2:15" ht="22.5" x14ac:dyDescent="0.2">
      <c r="B74" s="409"/>
      <c r="C74" s="969"/>
      <c r="D74" s="867" t="str">
        <f>VLOOKUP(F74,'A-Series'!$F$548:$H$564,2,FALSE)</f>
        <v>14010024, 14020096</v>
      </c>
      <c r="E74" s="1110"/>
      <c r="F74" s="872" t="s">
        <v>597</v>
      </c>
      <c r="G74" s="415"/>
      <c r="H74" s="446">
        <f>VLOOKUP(F74,'A-Series'!$F$550:$I$564,4,FALSE)</f>
        <v>8300</v>
      </c>
      <c r="I74" s="447">
        <f t="shared" si="0"/>
        <v>0</v>
      </c>
      <c r="J74" s="351"/>
      <c r="L74" s="984"/>
      <c r="M74" s="984" t="s">
        <v>861</v>
      </c>
      <c r="N74" s="984" t="str">
        <f t="shared" si="1"/>
        <v/>
      </c>
      <c r="O74" s="984"/>
    </row>
    <row r="75" spans="2:15" ht="17.25" customHeight="1" x14ac:dyDescent="0.2">
      <c r="B75" s="409"/>
      <c r="C75" s="969"/>
      <c r="D75" s="867">
        <f>VLOOKUP(F75,'A-Series'!$F$548:$H$564,2,FALSE)</f>
        <v>14020074</v>
      </c>
      <c r="E75" s="1110"/>
      <c r="F75" s="872" t="s">
        <v>580</v>
      </c>
      <c r="G75" s="415"/>
      <c r="H75" s="446">
        <f>VLOOKUP(F75,'A-Series'!$F$550:$I$564,4,FALSE)</f>
        <v>9100</v>
      </c>
      <c r="I75" s="447">
        <f t="shared" si="0"/>
        <v>0</v>
      </c>
      <c r="J75" s="351"/>
      <c r="L75" s="984"/>
      <c r="M75" s="984" t="s">
        <v>861</v>
      </c>
      <c r="N75" s="984" t="str">
        <f t="shared" si="1"/>
        <v/>
      </c>
      <c r="O75" s="984"/>
    </row>
    <row r="76" spans="2:15" ht="17.25" customHeight="1" x14ac:dyDescent="0.2">
      <c r="B76" s="409"/>
      <c r="C76" s="969"/>
      <c r="D76" s="868" t="s">
        <v>567</v>
      </c>
      <c r="E76" s="1110"/>
      <c r="F76" s="872" t="s">
        <v>738</v>
      </c>
      <c r="G76" s="415">
        <f>SUM(G71:G75)</f>
        <v>0</v>
      </c>
      <c r="H76" s="446">
        <f>VLOOKUP(D76,'A-Series'!$G$505:$I$960,3,FALSE)</f>
        <v>105</v>
      </c>
      <c r="I76" s="447">
        <f t="shared" si="0"/>
        <v>0</v>
      </c>
      <c r="J76" s="351"/>
      <c r="L76" s="984"/>
      <c r="M76" s="984" t="s">
        <v>991</v>
      </c>
      <c r="N76" s="984" t="str">
        <f t="shared" si="1"/>
        <v/>
      </c>
      <c r="O76" s="984"/>
    </row>
    <row r="77" spans="2:15" ht="17.25" customHeight="1" x14ac:dyDescent="0.2">
      <c r="B77" s="409"/>
      <c r="C77" s="969"/>
      <c r="D77" s="869" t="s">
        <v>578</v>
      </c>
      <c r="E77" s="1110"/>
      <c r="F77" s="872" t="s">
        <v>739</v>
      </c>
      <c r="G77" s="415">
        <f>SUM(G71:G75)</f>
        <v>0</v>
      </c>
      <c r="H77" s="446">
        <f>VLOOKUP(D77,'A-Series'!$G$505:$I$960,3,FALSE)</f>
        <v>892</v>
      </c>
      <c r="I77" s="447">
        <f t="shared" si="0"/>
        <v>0</v>
      </c>
      <c r="J77" s="351"/>
      <c r="L77" s="984"/>
      <c r="M77" s="984" t="s">
        <v>991</v>
      </c>
      <c r="N77" s="984" t="str">
        <f t="shared" si="1"/>
        <v/>
      </c>
      <c r="O77" s="984"/>
    </row>
    <row r="78" spans="2:15" ht="17.25" customHeight="1" x14ac:dyDescent="0.2">
      <c r="B78" s="502"/>
      <c r="C78" s="969"/>
      <c r="D78" s="870" t="s">
        <v>570</v>
      </c>
      <c r="E78" s="1110"/>
      <c r="F78" s="873" t="s">
        <v>740</v>
      </c>
      <c r="G78" s="523">
        <f>G76</f>
        <v>0</v>
      </c>
      <c r="H78" s="446">
        <f>VLOOKUP(D78,'A-Series'!$G$505:$I$960,3,FALSE)</f>
        <v>42</v>
      </c>
      <c r="I78" s="447">
        <f t="shared" si="0"/>
        <v>0</v>
      </c>
      <c r="J78" s="351"/>
      <c r="L78" s="984"/>
      <c r="M78" s="984" t="s">
        <v>991</v>
      </c>
      <c r="N78" s="984" t="str">
        <f t="shared" si="1"/>
        <v/>
      </c>
      <c r="O78" s="984"/>
    </row>
    <row r="79" spans="2:15" ht="17.25" customHeight="1" x14ac:dyDescent="0.2">
      <c r="B79" s="502"/>
      <c r="C79" s="969"/>
      <c r="D79" s="871">
        <v>23020095</v>
      </c>
      <c r="E79" s="1110"/>
      <c r="F79" s="873" t="s">
        <v>1294</v>
      </c>
      <c r="G79" s="523">
        <f>SUM(G11:G68)</f>
        <v>0</v>
      </c>
      <c r="H79" s="524">
        <v>50</v>
      </c>
      <c r="I79" s="447">
        <f t="shared" si="0"/>
        <v>0</v>
      </c>
      <c r="J79" s="351"/>
      <c r="L79" s="984"/>
      <c r="M79" s="984" t="s">
        <v>991</v>
      </c>
      <c r="N79" s="984" t="str">
        <f t="shared" si="1"/>
        <v/>
      </c>
      <c r="O79" s="984"/>
    </row>
    <row r="80" spans="2:15" ht="17.25" customHeight="1" x14ac:dyDescent="0.2">
      <c r="B80" s="502"/>
      <c r="C80" s="969"/>
      <c r="D80" s="871">
        <v>13020162</v>
      </c>
      <c r="E80" s="1110"/>
      <c r="F80" s="873" t="s">
        <v>1295</v>
      </c>
      <c r="G80" s="523">
        <f>SUM(G11:G68)</f>
        <v>0</v>
      </c>
      <c r="H80" s="524">
        <v>60</v>
      </c>
      <c r="I80" s="447">
        <f t="shared" si="0"/>
        <v>0</v>
      </c>
      <c r="J80" s="351"/>
      <c r="L80" s="984"/>
      <c r="M80" s="984" t="s">
        <v>991</v>
      </c>
      <c r="N80" s="984" t="str">
        <f t="shared" si="1"/>
        <v/>
      </c>
      <c r="O80" s="984"/>
    </row>
    <row r="81" spans="2:15" ht="17.25" customHeight="1" x14ac:dyDescent="0.2">
      <c r="B81" s="502"/>
      <c r="C81" s="969"/>
      <c r="D81" s="871">
        <v>13020163</v>
      </c>
      <c r="E81" s="1110"/>
      <c r="F81" s="873" t="s">
        <v>1296</v>
      </c>
      <c r="G81" s="523">
        <f>SUM(G11:G68)</f>
        <v>0</v>
      </c>
      <c r="H81" s="524">
        <v>77</v>
      </c>
      <c r="I81" s="447">
        <f t="shared" si="0"/>
        <v>0</v>
      </c>
      <c r="J81" s="351"/>
      <c r="L81" s="984"/>
      <c r="M81" s="984" t="s">
        <v>991</v>
      </c>
      <c r="N81" s="984" t="str">
        <f t="shared" si="1"/>
        <v/>
      </c>
      <c r="O81" s="984"/>
    </row>
    <row r="82" spans="2:15" ht="17.25" customHeight="1" x14ac:dyDescent="0.2">
      <c r="B82" s="866"/>
      <c r="C82" s="969"/>
      <c r="D82" s="871">
        <v>13020164</v>
      </c>
      <c r="E82" s="1110"/>
      <c r="F82" s="873" t="s">
        <v>1297</v>
      </c>
      <c r="G82" s="523">
        <f>SUM(G11:G68)</f>
        <v>0</v>
      </c>
      <c r="H82" s="524">
        <v>40</v>
      </c>
      <c r="I82" s="447">
        <f t="shared" si="0"/>
        <v>0</v>
      </c>
      <c r="J82" s="351"/>
      <c r="L82" s="984"/>
      <c r="M82" s="984" t="s">
        <v>991</v>
      </c>
      <c r="N82" s="984" t="str">
        <f t="shared" si="1"/>
        <v/>
      </c>
      <c r="O82" s="984"/>
    </row>
    <row r="83" spans="2:15" ht="17.25" customHeight="1" x14ac:dyDescent="0.2">
      <c r="B83" s="866"/>
      <c r="C83" s="969"/>
      <c r="D83" s="871">
        <v>13020165</v>
      </c>
      <c r="E83" s="1110"/>
      <c r="F83" s="873" t="s">
        <v>1298</v>
      </c>
      <c r="G83" s="523">
        <f>SUM(G11:G68)</f>
        <v>0</v>
      </c>
      <c r="H83" s="524">
        <v>60</v>
      </c>
      <c r="I83" s="447">
        <f t="shared" si="0"/>
        <v>0</v>
      </c>
      <c r="J83" s="351"/>
      <c r="L83" s="984"/>
      <c r="M83" s="984" t="s">
        <v>991</v>
      </c>
      <c r="N83" s="984" t="str">
        <f t="shared" si="1"/>
        <v/>
      </c>
      <c r="O83" s="984"/>
    </row>
    <row r="84" spans="2:15" ht="17.25" customHeight="1" thickBot="1" x14ac:dyDescent="0.25">
      <c r="B84" s="409"/>
      <c r="C84" s="970"/>
      <c r="D84" s="490"/>
      <c r="E84" s="1111"/>
      <c r="F84" s="427"/>
      <c r="G84" s="428"/>
      <c r="H84" s="448"/>
      <c r="I84" s="449">
        <f t="shared" si="0"/>
        <v>0</v>
      </c>
      <c r="J84" s="351"/>
      <c r="L84" s="984"/>
      <c r="M84" s="984" t="s">
        <v>991</v>
      </c>
      <c r="N84" s="984" t="str">
        <f t="shared" si="1"/>
        <v/>
      </c>
      <c r="O84" s="984"/>
    </row>
    <row r="85" spans="2:15" ht="15" thickBot="1" x14ac:dyDescent="0.25">
      <c r="B85" s="355"/>
      <c r="C85" s="352"/>
      <c r="D85" s="352"/>
      <c r="E85" s="351"/>
      <c r="F85" s="351"/>
      <c r="G85" s="410"/>
      <c r="H85" s="351"/>
      <c r="I85" s="351"/>
      <c r="J85" s="351"/>
      <c r="L85" s="984"/>
      <c r="M85" s="984"/>
      <c r="N85" s="984" t="str">
        <f t="shared" si="1"/>
        <v/>
      </c>
      <c r="O85" s="984"/>
    </row>
    <row r="86" spans="2:15" x14ac:dyDescent="0.2">
      <c r="B86" s="1084"/>
      <c r="C86" s="968"/>
      <c r="D86" s="1080"/>
      <c r="E86" s="1098" t="s">
        <v>13</v>
      </c>
      <c r="F86" s="1101" t="s">
        <v>447</v>
      </c>
      <c r="G86" s="1105">
        <f>SUM(G11:G68)</f>
        <v>0</v>
      </c>
      <c r="H86" s="1104">
        <v>1900</v>
      </c>
      <c r="I86" s="1106">
        <f>G86*H86</f>
        <v>0</v>
      </c>
      <c r="J86" s="351"/>
      <c r="L86" s="984"/>
      <c r="M86" s="984" t="s">
        <v>95</v>
      </c>
      <c r="N86" s="984" t="str">
        <f t="shared" si="1"/>
        <v/>
      </c>
      <c r="O86" s="984"/>
    </row>
    <row r="87" spans="2:15" x14ac:dyDescent="0.2">
      <c r="B87" s="1084"/>
      <c r="C87" s="969"/>
      <c r="D87" s="1081"/>
      <c r="E87" s="1099"/>
      <c r="F87" s="1102"/>
      <c r="G87" s="1094"/>
      <c r="H87" s="1092"/>
      <c r="I87" s="1107"/>
      <c r="J87" s="351"/>
      <c r="L87" s="984"/>
      <c r="M87" s="984"/>
      <c r="N87" s="984"/>
      <c r="O87" s="984"/>
    </row>
    <row r="88" spans="2:15" x14ac:dyDescent="0.2">
      <c r="B88" s="1084"/>
      <c r="C88" s="969"/>
      <c r="D88" s="1081"/>
      <c r="E88" s="1099"/>
      <c r="F88" s="1102"/>
      <c r="G88" s="1094"/>
      <c r="H88" s="1092"/>
      <c r="I88" s="1107"/>
      <c r="J88" s="351"/>
      <c r="L88" s="984"/>
      <c r="M88" s="984"/>
      <c r="N88" s="984"/>
      <c r="O88" s="984"/>
    </row>
    <row r="89" spans="2:15" x14ac:dyDescent="0.2">
      <c r="B89" s="1084"/>
      <c r="C89" s="969"/>
      <c r="D89" s="1081"/>
      <c r="E89" s="1099"/>
      <c r="F89" s="1102"/>
      <c r="G89" s="1094"/>
      <c r="H89" s="1092"/>
      <c r="I89" s="1107"/>
      <c r="J89" s="351"/>
      <c r="L89" s="984"/>
      <c r="M89" s="984"/>
      <c r="N89" s="984"/>
      <c r="O89" s="984"/>
    </row>
    <row r="90" spans="2:15" x14ac:dyDescent="0.2">
      <c r="B90" s="1084"/>
      <c r="C90" s="969"/>
      <c r="D90" s="1081"/>
      <c r="E90" s="1099"/>
      <c r="F90" s="1102"/>
      <c r="G90" s="1094"/>
      <c r="H90" s="1092"/>
      <c r="I90" s="1107"/>
      <c r="J90" s="351"/>
      <c r="L90" s="984"/>
      <c r="M90" s="984"/>
      <c r="N90" s="984"/>
      <c r="O90" s="984"/>
    </row>
    <row r="91" spans="2:15" x14ac:dyDescent="0.2">
      <c r="B91" s="1084"/>
      <c r="C91" s="969"/>
      <c r="D91" s="1081"/>
      <c r="E91" s="1099"/>
      <c r="F91" s="1102"/>
      <c r="G91" s="1094"/>
      <c r="H91" s="1092"/>
      <c r="I91" s="1107"/>
      <c r="J91" s="351"/>
      <c r="L91" s="984"/>
      <c r="M91" s="984"/>
      <c r="N91" s="984"/>
      <c r="O91" s="984"/>
    </row>
    <row r="92" spans="2:15" x14ac:dyDescent="0.2">
      <c r="B92" s="1084"/>
      <c r="C92" s="969"/>
      <c r="D92" s="1081"/>
      <c r="E92" s="1099"/>
      <c r="F92" s="1102"/>
      <c r="G92" s="1094"/>
      <c r="H92" s="1092"/>
      <c r="I92" s="1107"/>
      <c r="J92" s="351"/>
      <c r="L92" s="984"/>
      <c r="M92" s="984"/>
      <c r="N92" s="984"/>
      <c r="O92" s="984"/>
    </row>
    <row r="93" spans="2:15" ht="14.25" customHeight="1" x14ac:dyDescent="0.2">
      <c r="B93" s="1084"/>
      <c r="C93" s="969"/>
      <c r="D93" s="1081"/>
      <c r="E93" s="1099"/>
      <c r="F93" s="1102"/>
      <c r="G93" s="1094"/>
      <c r="H93" s="1092"/>
      <c r="I93" s="1107"/>
      <c r="J93" s="351"/>
      <c r="L93" s="984"/>
      <c r="M93" s="984"/>
      <c r="N93" s="984"/>
      <c r="O93" s="984"/>
    </row>
    <row r="94" spans="2:15" ht="15" thickBot="1" x14ac:dyDescent="0.25">
      <c r="B94" s="1084"/>
      <c r="C94" s="970"/>
      <c r="D94" s="1082"/>
      <c r="E94" s="1100"/>
      <c r="F94" s="1103"/>
      <c r="G94" s="1095"/>
      <c r="H94" s="1093"/>
      <c r="I94" s="1108"/>
      <c r="J94" s="351"/>
      <c r="L94" s="984"/>
      <c r="M94" s="984"/>
      <c r="N94" s="984"/>
      <c r="O94" s="984"/>
    </row>
    <row r="95" spans="2:15" x14ac:dyDescent="0.2">
      <c r="B95" s="526"/>
      <c r="C95" s="526"/>
      <c r="D95" s="541"/>
      <c r="E95" s="411"/>
      <c r="F95" s="443"/>
      <c r="G95" s="413"/>
      <c r="H95" s="413"/>
      <c r="I95" s="414"/>
      <c r="J95" s="351"/>
      <c r="L95" s="984"/>
      <c r="M95" s="984"/>
      <c r="N95" s="984"/>
      <c r="O95" s="984"/>
    </row>
    <row r="96" spans="2:15" ht="15" thickBot="1" x14ac:dyDescent="0.25">
      <c r="B96" s="482"/>
      <c r="C96" s="482"/>
      <c r="D96" s="482"/>
      <c r="E96" s="411"/>
      <c r="F96" s="443"/>
      <c r="G96" s="413"/>
      <c r="H96" s="413"/>
      <c r="I96" s="414"/>
      <c r="J96" s="351"/>
      <c r="L96" s="984"/>
      <c r="M96" s="984"/>
      <c r="N96" s="984"/>
      <c r="O96" s="984"/>
    </row>
    <row r="97" spans="2:15" ht="16.5" thickBot="1" x14ac:dyDescent="0.3">
      <c r="B97" s="482"/>
      <c r="C97" s="27" t="s">
        <v>71</v>
      </c>
      <c r="D97" s="360"/>
      <c r="E97" s="28"/>
      <c r="F97" s="35"/>
      <c r="G97" s="30"/>
      <c r="H97" s="29"/>
      <c r="I97" s="31"/>
      <c r="J97" s="351"/>
      <c r="L97" s="984"/>
      <c r="M97" s="984"/>
      <c r="N97" s="984"/>
      <c r="O97" s="984"/>
    </row>
    <row r="98" spans="2:15" ht="6.75" customHeight="1" thickBot="1" x14ac:dyDescent="0.25">
      <c r="B98" s="482"/>
      <c r="C98"/>
      <c r="D98"/>
      <c r="E98"/>
      <c r="F98"/>
      <c r="G98"/>
      <c r="H98"/>
      <c r="I98"/>
      <c r="J98" s="351"/>
      <c r="L98" s="984"/>
      <c r="M98" s="984"/>
      <c r="N98" s="984"/>
      <c r="O98" s="984"/>
    </row>
    <row r="99" spans="2:15" ht="14.25" customHeight="1" x14ac:dyDescent="0.25">
      <c r="B99" s="482"/>
      <c r="C99" s="965"/>
      <c r="D99" s="487" t="s">
        <v>838</v>
      </c>
      <c r="E99" s="487" t="s">
        <v>5</v>
      </c>
      <c r="F99" s="486" t="s">
        <v>1350</v>
      </c>
      <c r="G99" s="487" t="s">
        <v>1</v>
      </c>
      <c r="H99" s="487" t="s">
        <v>3</v>
      </c>
      <c r="I99" s="488" t="s">
        <v>8</v>
      </c>
      <c r="J99" s="351"/>
      <c r="L99" s="984"/>
      <c r="M99" s="985"/>
      <c r="N99" s="984"/>
      <c r="O99" s="984"/>
    </row>
    <row r="100" spans="2:15" ht="14.25" customHeight="1" x14ac:dyDescent="0.25">
      <c r="B100" s="482"/>
      <c r="C100" s="966"/>
      <c r="D100" s="581"/>
      <c r="E100" s="971"/>
      <c r="F100" s="972" t="s">
        <v>626</v>
      </c>
      <c r="G100" s="132"/>
      <c r="H100" s="392"/>
      <c r="I100" s="24">
        <f t="shared" ref="I100:I111" si="2">IF(ISERROR(H100*G100),"",H100*G100)</f>
        <v>0</v>
      </c>
      <c r="J100" s="351"/>
      <c r="L100" s="984"/>
      <c r="M100" s="985">
        <f>D101</f>
        <v>0</v>
      </c>
      <c r="N100" s="984" t="str">
        <f t="shared" ref="N100:N111" si="3">IF(G100&gt;0,I100,"")</f>
        <v/>
      </c>
      <c r="O100" s="984"/>
    </row>
    <row r="101" spans="2:15" ht="14.25" customHeight="1" x14ac:dyDescent="0.25">
      <c r="B101" s="482"/>
      <c r="C101" s="966"/>
      <c r="D101" s="581"/>
      <c r="E101" s="971">
        <v>99990166</v>
      </c>
      <c r="F101" s="972" t="s">
        <v>831</v>
      </c>
      <c r="G101" s="132"/>
      <c r="H101" s="392">
        <v>900</v>
      </c>
      <c r="I101" s="24">
        <f t="shared" si="2"/>
        <v>0</v>
      </c>
      <c r="J101" s="351"/>
      <c r="L101" s="984"/>
      <c r="M101" s="985">
        <f t="shared" ref="M101:M111" si="4">D102</f>
        <v>0</v>
      </c>
      <c r="N101" s="984" t="str">
        <f t="shared" si="3"/>
        <v/>
      </c>
      <c r="O101" s="984"/>
    </row>
    <row r="102" spans="2:15" ht="14.25" customHeight="1" x14ac:dyDescent="0.25">
      <c r="B102" s="482"/>
      <c r="C102" s="966"/>
      <c r="D102" s="581"/>
      <c r="E102" s="971"/>
      <c r="F102" s="973"/>
      <c r="G102" s="132"/>
      <c r="H102" s="392"/>
      <c r="I102" s="24">
        <f t="shared" si="2"/>
        <v>0</v>
      </c>
      <c r="J102" s="351"/>
      <c r="L102" s="984"/>
      <c r="M102" s="985">
        <f t="shared" si="4"/>
        <v>0</v>
      </c>
      <c r="N102" s="984" t="str">
        <f t="shared" si="3"/>
        <v/>
      </c>
      <c r="O102" s="984"/>
    </row>
    <row r="103" spans="2:15" ht="14.25" customHeight="1" x14ac:dyDescent="0.25">
      <c r="B103" s="482"/>
      <c r="C103" s="966"/>
      <c r="D103" s="581"/>
      <c r="E103" s="971"/>
      <c r="F103" s="973"/>
      <c r="G103" s="132"/>
      <c r="H103" s="392"/>
      <c r="I103" s="24">
        <f t="shared" si="2"/>
        <v>0</v>
      </c>
      <c r="J103" s="351"/>
      <c r="L103" s="984"/>
      <c r="M103" s="985">
        <f t="shared" si="4"/>
        <v>0</v>
      </c>
      <c r="N103" s="984" t="str">
        <f t="shared" si="3"/>
        <v/>
      </c>
      <c r="O103" s="984"/>
    </row>
    <row r="104" spans="2:15" ht="14.25" customHeight="1" x14ac:dyDescent="0.25">
      <c r="B104" s="482"/>
      <c r="C104" s="966"/>
      <c r="D104" s="581"/>
      <c r="E104" s="971"/>
      <c r="F104" s="973"/>
      <c r="G104" s="132"/>
      <c r="H104" s="392"/>
      <c r="I104" s="24">
        <f t="shared" si="2"/>
        <v>0</v>
      </c>
      <c r="J104" s="351"/>
      <c r="L104" s="984"/>
      <c r="M104" s="985">
        <f t="shared" si="4"/>
        <v>0</v>
      </c>
      <c r="N104" s="984" t="str">
        <f t="shared" si="3"/>
        <v/>
      </c>
      <c r="O104" s="984"/>
    </row>
    <row r="105" spans="2:15" ht="14.25" customHeight="1" x14ac:dyDescent="0.25">
      <c r="B105" s="482"/>
      <c r="C105" s="966"/>
      <c r="D105" s="581"/>
      <c r="E105" s="971"/>
      <c r="F105" s="973"/>
      <c r="G105" s="132"/>
      <c r="H105" s="392"/>
      <c r="I105" s="24">
        <f t="shared" si="2"/>
        <v>0</v>
      </c>
      <c r="J105" s="351"/>
      <c r="L105" s="984"/>
      <c r="M105" s="985">
        <f t="shared" si="4"/>
        <v>0</v>
      </c>
      <c r="N105" s="984" t="str">
        <f t="shared" si="3"/>
        <v/>
      </c>
      <c r="O105" s="984"/>
    </row>
    <row r="106" spans="2:15" ht="14.25" customHeight="1" x14ac:dyDescent="0.25">
      <c r="B106" s="482"/>
      <c r="C106" s="966"/>
      <c r="D106" s="581"/>
      <c r="E106" s="971"/>
      <c r="F106" s="973"/>
      <c r="G106" s="132"/>
      <c r="H106" s="392"/>
      <c r="I106" s="24">
        <f t="shared" si="2"/>
        <v>0</v>
      </c>
      <c r="J106" s="351"/>
      <c r="L106" s="984"/>
      <c r="M106" s="985">
        <f t="shared" si="4"/>
        <v>0</v>
      </c>
      <c r="N106" s="984" t="str">
        <f t="shared" si="3"/>
        <v/>
      </c>
      <c r="O106" s="984"/>
    </row>
    <row r="107" spans="2:15" ht="14.25" customHeight="1" x14ac:dyDescent="0.25">
      <c r="B107" s="482"/>
      <c r="C107" s="966"/>
      <c r="D107" s="581"/>
      <c r="E107" s="971"/>
      <c r="F107" s="973"/>
      <c r="G107" s="132"/>
      <c r="H107" s="392"/>
      <c r="I107" s="24">
        <f t="shared" si="2"/>
        <v>0</v>
      </c>
      <c r="J107" s="351"/>
      <c r="L107" s="984"/>
      <c r="M107" s="985">
        <f t="shared" si="4"/>
        <v>0</v>
      </c>
      <c r="N107" s="984" t="str">
        <f t="shared" si="3"/>
        <v/>
      </c>
      <c r="O107" s="984"/>
    </row>
    <row r="108" spans="2:15" ht="14.25" customHeight="1" x14ac:dyDescent="0.25">
      <c r="B108" s="482"/>
      <c r="C108" s="966"/>
      <c r="D108" s="581"/>
      <c r="E108" s="971"/>
      <c r="F108" s="973"/>
      <c r="G108" s="132"/>
      <c r="H108" s="392"/>
      <c r="I108" s="24">
        <f t="shared" si="2"/>
        <v>0</v>
      </c>
      <c r="J108" s="351"/>
      <c r="L108" s="984"/>
      <c r="M108" s="985">
        <f t="shared" si="4"/>
        <v>0</v>
      </c>
      <c r="N108" s="984" t="str">
        <f t="shared" si="3"/>
        <v/>
      </c>
      <c r="O108" s="984"/>
    </row>
    <row r="109" spans="2:15" ht="14.25" customHeight="1" x14ac:dyDescent="0.25">
      <c r="B109" s="482"/>
      <c r="C109" s="966"/>
      <c r="D109" s="581"/>
      <c r="E109" s="971"/>
      <c r="F109" s="973"/>
      <c r="G109" s="132"/>
      <c r="H109" s="392"/>
      <c r="I109" s="24">
        <f t="shared" si="2"/>
        <v>0</v>
      </c>
      <c r="J109" s="351"/>
      <c r="L109" s="984"/>
      <c r="M109" s="985">
        <f t="shared" si="4"/>
        <v>0</v>
      </c>
      <c r="N109" s="984" t="str">
        <f t="shared" si="3"/>
        <v/>
      </c>
      <c r="O109" s="984"/>
    </row>
    <row r="110" spans="2:15" ht="14.25" customHeight="1" x14ac:dyDescent="0.25">
      <c r="B110" s="482"/>
      <c r="C110" s="966"/>
      <c r="D110" s="581"/>
      <c r="E110" s="971"/>
      <c r="F110" s="973"/>
      <c r="G110" s="132"/>
      <c r="H110" s="392"/>
      <c r="I110" s="24">
        <f t="shared" si="2"/>
        <v>0</v>
      </c>
      <c r="J110" s="351"/>
      <c r="L110" s="984"/>
      <c r="M110" s="985">
        <f t="shared" si="4"/>
        <v>0</v>
      </c>
      <c r="N110" s="984" t="str">
        <f t="shared" si="3"/>
        <v/>
      </c>
      <c r="O110" s="984"/>
    </row>
    <row r="111" spans="2:15" ht="15" customHeight="1" thickBot="1" x14ac:dyDescent="0.3">
      <c r="B111" s="482"/>
      <c r="C111" s="967"/>
      <c r="D111" s="581"/>
      <c r="E111" s="971"/>
      <c r="F111" s="973"/>
      <c r="G111" s="132"/>
      <c r="H111" s="392"/>
      <c r="I111" s="24">
        <f t="shared" si="2"/>
        <v>0</v>
      </c>
      <c r="J111" s="351"/>
      <c r="L111" s="984"/>
      <c r="M111" s="985">
        <f t="shared" si="4"/>
        <v>0</v>
      </c>
      <c r="N111" s="984" t="str">
        <f t="shared" si="3"/>
        <v/>
      </c>
      <c r="O111" s="984"/>
    </row>
    <row r="112" spans="2:15" ht="15" thickBot="1" x14ac:dyDescent="0.25">
      <c r="B112" s="482"/>
      <c r="C112" s="1"/>
      <c r="D112" s="1"/>
      <c r="E112" s="1"/>
      <c r="F112"/>
      <c r="G112" s="2"/>
      <c r="H112" s="21" t="s">
        <v>11</v>
      </c>
      <c r="I112" s="120">
        <f>SUM(I100:I111)</f>
        <v>0</v>
      </c>
      <c r="J112" s="351"/>
    </row>
    <row r="113" spans="2:10" ht="15" thickBot="1" x14ac:dyDescent="0.25">
      <c r="B113" s="419"/>
      <c r="C113" s="419"/>
      <c r="D113" s="419"/>
      <c r="E113" s="411"/>
      <c r="F113" s="443"/>
      <c r="G113" s="413"/>
      <c r="H113" s="413"/>
      <c r="I113" s="414"/>
      <c r="J113" s="351"/>
    </row>
    <row r="114" spans="2:10" ht="15" thickBot="1" x14ac:dyDescent="0.25">
      <c r="B114" s="419"/>
      <c r="C114" s="419"/>
      <c r="D114" s="419"/>
      <c r="E114" s="411"/>
      <c r="F114" s="443"/>
      <c r="G114" s="413"/>
      <c r="H114" s="25" t="s">
        <v>10</v>
      </c>
      <c r="I114" s="119">
        <f>SUM(I11:I94,I112)</f>
        <v>0</v>
      </c>
      <c r="J114" s="351"/>
    </row>
    <row r="115" spans="2:10" ht="15" thickBot="1" x14ac:dyDescent="0.25">
      <c r="B115" s="419"/>
      <c r="C115" s="419"/>
      <c r="D115" s="411"/>
      <c r="E115" s="411"/>
      <c r="F115" s="443"/>
      <c r="G115" s="413"/>
      <c r="H115" s="413"/>
      <c r="I115" s="414"/>
      <c r="J115" s="351"/>
    </row>
    <row r="116" spans="2:10" ht="15" thickBot="1" x14ac:dyDescent="0.25">
      <c r="B116" s="419"/>
      <c r="C116" s="419"/>
      <c r="D116" s="450"/>
      <c r="E116" s="450"/>
      <c r="F116" s="443"/>
      <c r="G116" s="413"/>
      <c r="H116" s="69" t="s">
        <v>18</v>
      </c>
      <c r="I116" s="70"/>
      <c r="J116" s="351"/>
    </row>
    <row r="117" spans="2:10" ht="15" thickBot="1" x14ac:dyDescent="0.25">
      <c r="B117" s="419"/>
      <c r="C117" s="419"/>
      <c r="D117" s="419"/>
      <c r="E117" s="411"/>
      <c r="F117" s="452"/>
      <c r="G117" s="413"/>
      <c r="H117" s="413"/>
      <c r="I117" s="414"/>
      <c r="J117" s="351"/>
    </row>
    <row r="118" spans="2:10" ht="15" thickBot="1" x14ac:dyDescent="0.25">
      <c r="B118" s="419"/>
      <c r="C118" s="419"/>
      <c r="D118" s="504"/>
      <c r="E118" s="505" t="str">
        <f>F119&amp; " x "&amp;E119</f>
        <v>0 x 23030003</v>
      </c>
      <c r="F118" s="443"/>
      <c r="G118" s="413"/>
      <c r="H118" s="33" t="s">
        <v>10</v>
      </c>
      <c r="I118" s="119">
        <f>SUM(I11:I68)*(1-I116)+SUM(I70:I94)+I112</f>
        <v>0</v>
      </c>
      <c r="J118" s="351"/>
    </row>
    <row r="119" spans="2:10" x14ac:dyDescent="0.2">
      <c r="B119" s="355"/>
      <c r="C119" s="352"/>
      <c r="D119" s="506" t="s">
        <v>629</v>
      </c>
      <c r="E119" s="457">
        <v>23030003</v>
      </c>
      <c r="F119" s="507">
        <f>SUM(G11,G22,G33,G42,G51,G60)</f>
        <v>0</v>
      </c>
      <c r="G119" s="351"/>
      <c r="H119" s="351"/>
      <c r="I119" s="351"/>
      <c r="J119" s="351"/>
    </row>
    <row r="120" spans="2:10" ht="15" thickBot="1" x14ac:dyDescent="0.25">
      <c r="B120" s="354"/>
      <c r="C120" s="351"/>
      <c r="D120" s="178" t="s">
        <v>73</v>
      </c>
      <c r="E120" s="451" t="str">
        <f>IF(I121="","",IF(I121=0,"",ROUND(F120,5)))</f>
        <v/>
      </c>
      <c r="F120" s="459" t="e">
        <f>(I121-I86-SUM(I70:I84))/SUM(I11:I68)-1</f>
        <v>#DIV/0!</v>
      </c>
      <c r="G120" s="351"/>
      <c r="H120" s="351"/>
      <c r="I120" s="351"/>
      <c r="J120" s="351"/>
    </row>
    <row r="121" spans="2:10" ht="15" thickBot="1" x14ac:dyDescent="0.25">
      <c r="B121" s="354"/>
      <c r="C121" s="351"/>
      <c r="D121" s="178" t="s">
        <v>19</v>
      </c>
      <c r="E121" s="451" t="str">
        <f>IF(I121="","",IF(I121=0,"",ROUND(F121,5)))</f>
        <v/>
      </c>
      <c r="F121" s="459" t="e">
        <f>(I121/I114)-1</f>
        <v>#DIV/0!</v>
      </c>
      <c r="G121" s="351"/>
      <c r="H121" s="104" t="s">
        <v>51</v>
      </c>
      <c r="I121" s="152"/>
      <c r="J121" s="351"/>
    </row>
    <row r="122" spans="2:10" x14ac:dyDescent="0.2">
      <c r="B122" s="354"/>
      <c r="C122" s="351"/>
      <c r="D122" s="351" t="str">
        <f>IFERROR(((IF(I121="","", IF(E120&gt;0%,"Extra Charged", IF(ABS(E120)&lt;=D7,"Tier 1",IF(ABS(E120)&lt;=D6,"Tier 2","No qualification")))))),"No Price Entered")</f>
        <v/>
      </c>
      <c r="E122" s="979" t="s">
        <v>343</v>
      </c>
      <c r="F122" s="351"/>
      <c r="G122" s="351"/>
      <c r="H122" s="351"/>
      <c r="I122" s="351"/>
      <c r="J122" s="351"/>
    </row>
    <row r="123" spans="2:10" x14ac:dyDescent="0.2">
      <c r="B123" s="354"/>
      <c r="C123" s="351"/>
      <c r="D123" s="351"/>
      <c r="E123" s="979"/>
      <c r="F123" s="351"/>
      <c r="G123" s="351"/>
      <c r="H123" s="351"/>
      <c r="I123" s="351"/>
      <c r="J123" s="351"/>
    </row>
    <row r="124" spans="2:10" hidden="1" x14ac:dyDescent="0.2">
      <c r="B124" s="354"/>
      <c r="C124" s="975" t="s">
        <v>1335</v>
      </c>
      <c r="D124" s="978">
        <f>SUM(I11,I22,I33,I42,I51,I60)</f>
        <v>0</v>
      </c>
      <c r="E124" s="979"/>
      <c r="F124" s="351"/>
      <c r="G124" s="351"/>
      <c r="H124" s="351"/>
      <c r="I124" s="351"/>
      <c r="J124" s="351"/>
    </row>
    <row r="125" spans="2:10" hidden="1" x14ac:dyDescent="0.2">
      <c r="B125" s="354"/>
      <c r="C125" s="976" t="s">
        <v>990</v>
      </c>
      <c r="D125" s="977">
        <f>SUMIF($M$72:$M$111,$C125,$N$72:$N$111)</f>
        <v>0</v>
      </c>
      <c r="E125" s="979" t="str">
        <f t="shared" ref="E125:E133" si="5">IF(D125&gt;0,1,"")</f>
        <v/>
      </c>
      <c r="F125" s="351"/>
      <c r="G125" s="351"/>
      <c r="H125" s="351"/>
      <c r="I125" s="351"/>
      <c r="J125" s="351"/>
    </row>
    <row r="126" spans="2:10" hidden="1" x14ac:dyDescent="0.2">
      <c r="B126" s="354"/>
      <c r="C126" s="976" t="s">
        <v>991</v>
      </c>
      <c r="D126" s="977">
        <f t="shared" ref="D126:D132" si="6">SUMIF($M$72:$M$111,$C126,$N$72:$N$111)</f>
        <v>0</v>
      </c>
      <c r="E126" s="979" t="str">
        <f t="shared" si="5"/>
        <v/>
      </c>
      <c r="F126" s="351"/>
      <c r="G126" s="351"/>
      <c r="H126" s="351"/>
      <c r="I126" s="351"/>
      <c r="J126" s="351"/>
    </row>
    <row r="127" spans="2:10" hidden="1" x14ac:dyDescent="0.2">
      <c r="B127" s="354"/>
      <c r="C127" s="976" t="s">
        <v>989</v>
      </c>
      <c r="D127" s="977">
        <f t="shared" si="6"/>
        <v>0</v>
      </c>
      <c r="E127" s="979" t="str">
        <f t="shared" si="5"/>
        <v/>
      </c>
      <c r="F127" s="351"/>
      <c r="G127" s="351"/>
      <c r="H127" s="351"/>
      <c r="I127" s="351"/>
      <c r="J127" s="351"/>
    </row>
    <row r="128" spans="2:10" hidden="1" x14ac:dyDescent="0.2">
      <c r="B128" s="354"/>
      <c r="C128" s="976" t="s">
        <v>861</v>
      </c>
      <c r="D128" s="977">
        <f t="shared" si="6"/>
        <v>0</v>
      </c>
      <c r="E128" s="979" t="str">
        <f t="shared" si="5"/>
        <v/>
      </c>
      <c r="F128" s="351"/>
      <c r="G128" s="351"/>
      <c r="H128" s="351"/>
      <c r="I128" s="351"/>
      <c r="J128" s="351"/>
    </row>
    <row r="129" spans="2:10" hidden="1" x14ac:dyDescent="0.2">
      <c r="B129" s="354"/>
      <c r="C129" s="976" t="s">
        <v>986</v>
      </c>
      <c r="D129" s="977">
        <f t="shared" si="6"/>
        <v>0</v>
      </c>
      <c r="E129" s="979" t="str">
        <f t="shared" si="5"/>
        <v/>
      </c>
      <c r="F129" s="351"/>
      <c r="G129" s="351"/>
      <c r="H129" s="351"/>
      <c r="I129" s="351"/>
      <c r="J129" s="351"/>
    </row>
    <row r="130" spans="2:10" hidden="1" x14ac:dyDescent="0.2">
      <c r="B130" s="354"/>
      <c r="C130" s="976" t="s">
        <v>1342</v>
      </c>
      <c r="D130" s="977">
        <f t="shared" si="6"/>
        <v>0</v>
      </c>
      <c r="E130" s="979" t="str">
        <f t="shared" si="5"/>
        <v/>
      </c>
      <c r="F130" s="351"/>
      <c r="G130" s="351"/>
      <c r="H130" s="351"/>
      <c r="I130" s="351"/>
      <c r="J130" s="351"/>
    </row>
    <row r="131" spans="2:10" hidden="1" x14ac:dyDescent="0.2">
      <c r="B131" s="354"/>
      <c r="C131" s="976" t="s">
        <v>992</v>
      </c>
      <c r="D131" s="977">
        <f t="shared" si="6"/>
        <v>0</v>
      </c>
      <c r="E131" s="979" t="str">
        <f t="shared" si="5"/>
        <v/>
      </c>
      <c r="F131" s="351"/>
      <c r="G131" s="351"/>
      <c r="H131" s="351"/>
      <c r="I131" s="351"/>
      <c r="J131" s="351"/>
    </row>
    <row r="132" spans="2:10" hidden="1" x14ac:dyDescent="0.2">
      <c r="B132" s="354"/>
      <c r="C132" s="976" t="s">
        <v>95</v>
      </c>
      <c r="D132" s="977">
        <f t="shared" si="6"/>
        <v>0</v>
      </c>
      <c r="E132" s="979" t="str">
        <f t="shared" si="5"/>
        <v/>
      </c>
      <c r="F132" s="351"/>
      <c r="G132" s="351"/>
      <c r="H132" s="351"/>
      <c r="I132" s="351"/>
      <c r="J132" s="351"/>
    </row>
    <row r="133" spans="2:10" hidden="1" x14ac:dyDescent="0.2">
      <c r="B133" s="354"/>
      <c r="C133" s="975" t="s">
        <v>101</v>
      </c>
      <c r="D133" s="351">
        <f>980*E136</f>
        <v>0</v>
      </c>
      <c r="E133" s="979" t="str">
        <f t="shared" si="5"/>
        <v/>
      </c>
      <c r="F133" s="351"/>
      <c r="G133" s="351"/>
      <c r="H133" s="351"/>
      <c r="I133" s="351"/>
      <c r="J133" s="351"/>
    </row>
    <row r="134" spans="2:10" hidden="1" x14ac:dyDescent="0.2">
      <c r="B134" s="354"/>
      <c r="C134" s="975" t="s">
        <v>1351</v>
      </c>
      <c r="D134" s="978">
        <f>SUM(D124:D131)-D133</f>
        <v>0</v>
      </c>
      <c r="E134" s="979"/>
      <c r="F134" s="351"/>
      <c r="G134" s="351"/>
      <c r="H134" s="351"/>
      <c r="I134" s="351"/>
      <c r="J134" s="351"/>
    </row>
    <row r="135" spans="2:10" hidden="1" x14ac:dyDescent="0.2">
      <c r="B135" s="354"/>
      <c r="C135" s="975" t="s">
        <v>205</v>
      </c>
      <c r="D135" s="978">
        <f>D134*0.075</f>
        <v>0</v>
      </c>
      <c r="E135" s="979" t="str">
        <f>IF(D135&gt;0,1,"")</f>
        <v/>
      </c>
      <c r="F135" s="351"/>
      <c r="G135" s="351"/>
      <c r="H135" s="351"/>
      <c r="I135" s="351"/>
      <c r="J135" s="351"/>
    </row>
    <row r="136" spans="2:10" hidden="1" x14ac:dyDescent="0.2">
      <c r="B136" s="354"/>
      <c r="C136" s="975" t="s">
        <v>1352</v>
      </c>
      <c r="D136" s="978">
        <f>D134-D135-D125-D126-D127-D128-D129-D130-D131</f>
        <v>0</v>
      </c>
      <c r="E136" s="980">
        <f>SUM(G11,G22,G33,G42,G51,G60)</f>
        <v>0</v>
      </c>
      <c r="F136" s="351"/>
      <c r="G136" s="351"/>
      <c r="H136" s="351"/>
      <c r="I136" s="351"/>
      <c r="J136" s="351"/>
    </row>
    <row r="137" spans="2:10" x14ac:dyDescent="0.2">
      <c r="B137" s="354"/>
      <c r="C137" s="975"/>
      <c r="D137" s="351"/>
      <c r="E137" s="351"/>
      <c r="F137" s="351"/>
      <c r="G137" s="351"/>
      <c r="H137" s="351"/>
      <c r="I137" s="351"/>
      <c r="J137" s="351"/>
    </row>
    <row r="138" spans="2:10" x14ac:dyDescent="0.2">
      <c r="B138" s="354"/>
      <c r="C138" s="975"/>
      <c r="D138" s="351"/>
      <c r="E138" s="351"/>
      <c r="F138" s="351"/>
      <c r="G138" s="351"/>
      <c r="H138" s="351"/>
      <c r="I138" s="351"/>
      <c r="J138" s="351"/>
    </row>
    <row r="139" spans="2:10" x14ac:dyDescent="0.2">
      <c r="B139" s="354"/>
      <c r="C139" s="351"/>
      <c r="D139" s="351"/>
      <c r="E139" s="351"/>
      <c r="F139" s="351"/>
      <c r="G139" s="351"/>
      <c r="H139" s="351"/>
      <c r="I139" s="351"/>
      <c r="J139" s="351"/>
    </row>
    <row r="140" spans="2:10" x14ac:dyDescent="0.2">
      <c r="B140" s="354"/>
      <c r="C140" s="351"/>
      <c r="D140" s="351"/>
      <c r="E140" s="351"/>
      <c r="F140" s="351"/>
      <c r="G140" s="351"/>
      <c r="H140" s="351"/>
      <c r="I140" s="351"/>
      <c r="J140" s="351"/>
    </row>
  </sheetData>
  <sheetProtection password="C583" sheet="1" selectLockedCells="1"/>
  <mergeCells count="55">
    <mergeCell ref="H22:H32"/>
    <mergeCell ref="I22:I32"/>
    <mergeCell ref="G22:G32"/>
    <mergeCell ref="E22:E32"/>
    <mergeCell ref="F22:F32"/>
    <mergeCell ref="I33:I41"/>
    <mergeCell ref="C11:C21"/>
    <mergeCell ref="E11:E21"/>
    <mergeCell ref="F11:F21"/>
    <mergeCell ref="H11:H21"/>
    <mergeCell ref="G11:G21"/>
    <mergeCell ref="I11:I21"/>
    <mergeCell ref="C33:C41"/>
    <mergeCell ref="E33:E41"/>
    <mergeCell ref="F33:F41"/>
    <mergeCell ref="H33:H41"/>
    <mergeCell ref="G33:G41"/>
    <mergeCell ref="D11:D21"/>
    <mergeCell ref="D33:D41"/>
    <mergeCell ref="C22:C32"/>
    <mergeCell ref="D22:D32"/>
    <mergeCell ref="I51:I59"/>
    <mergeCell ref="C42:C50"/>
    <mergeCell ref="E42:E50"/>
    <mergeCell ref="F42:F50"/>
    <mergeCell ref="H42:H50"/>
    <mergeCell ref="G42:G50"/>
    <mergeCell ref="I42:I50"/>
    <mergeCell ref="C51:C59"/>
    <mergeCell ref="E51:E59"/>
    <mergeCell ref="F51:F59"/>
    <mergeCell ref="H51:H59"/>
    <mergeCell ref="G51:G59"/>
    <mergeCell ref="D42:D50"/>
    <mergeCell ref="D51:D59"/>
    <mergeCell ref="F60:F68"/>
    <mergeCell ref="H60:H68"/>
    <mergeCell ref="G60:G68"/>
    <mergeCell ref="I60:I68"/>
    <mergeCell ref="E86:E94"/>
    <mergeCell ref="F86:F94"/>
    <mergeCell ref="H86:H94"/>
    <mergeCell ref="G86:G94"/>
    <mergeCell ref="I86:I94"/>
    <mergeCell ref="E70:E84"/>
    <mergeCell ref="E60:E68"/>
    <mergeCell ref="D86:D94"/>
    <mergeCell ref="B11:B21"/>
    <mergeCell ref="B33:B41"/>
    <mergeCell ref="B42:B50"/>
    <mergeCell ref="B51:B59"/>
    <mergeCell ref="B60:B68"/>
    <mergeCell ref="B86:B94"/>
    <mergeCell ref="C60:C68"/>
    <mergeCell ref="D60:D68"/>
  </mergeCells>
  <conditionalFormatting sqref="D100:D111">
    <cfRule type="expression" dxfId="0" priority="1">
      <formula>IF($F$404="","",)</formula>
    </cfRule>
  </conditionalFormatting>
  <dataValidations disablePrompts="1" count="1">
    <dataValidation type="list" allowBlank="1" showInputMessage="1" showErrorMessage="1" sqref="D100:D111" xr:uid="{D5C19586-29D7-4221-A913-FF8A2BB1B86B}">
      <formula1>"Datacapture Assembly, Engineering Assembly, IDSnet Express, IDSnet Enterprise, Assy Datamax, IMP01, Software Support"</formula1>
    </dataValidation>
  </dataValidations>
  <pageMargins left="0.70866141732283472" right="0.70866141732283472" top="0.74803149606299213" bottom="0.74803149606299213" header="0.31496062992125984" footer="0.31496062992125984"/>
  <pageSetup paperSize="9" scale="39" orientation="portrait" r:id="rId1"/>
  <ignoredErrors>
    <ignoredError sqref="G86 G76:G78 G79:G83" unlockedFormula="1"/>
    <ignoredError sqref="F120:F121" evalError="1"/>
    <ignoredError sqref="D76:D78" numberStoredAsText="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theme="0"/>
  </sheetPr>
  <dimension ref="B1:J47"/>
  <sheetViews>
    <sheetView showGridLines="0" showRowColHeaders="0" topLeftCell="A37" zoomScaleNormal="100" zoomScaleSheetLayoutView="85" workbookViewId="0">
      <selection activeCell="G9" sqref="G9"/>
    </sheetView>
  </sheetViews>
  <sheetFormatPr defaultColWidth="9.28515625" defaultRowHeight="14.25" x14ac:dyDescent="0.2"/>
  <cols>
    <col min="1" max="2" width="9.28515625" style="664"/>
    <col min="3" max="3" width="51.42578125" style="664" customWidth="1"/>
    <col min="4" max="4" width="14" style="665" customWidth="1"/>
    <col min="5" max="5" width="16.42578125" style="666" customWidth="1"/>
    <col min="6" max="6" width="41" style="671" customWidth="1"/>
    <col min="7" max="7" width="9.28515625" style="664"/>
    <col min="8" max="8" width="13.28515625" style="664" bestFit="1" customWidth="1"/>
    <col min="9" max="16384" width="9.28515625" style="664"/>
  </cols>
  <sheetData>
    <row r="1" spans="2:10" x14ac:dyDescent="0.2">
      <c r="F1" s="664"/>
    </row>
    <row r="2" spans="2:10" x14ac:dyDescent="0.2">
      <c r="C2" s="667"/>
      <c r="D2" s="668"/>
      <c r="E2" s="669"/>
      <c r="F2" s="670"/>
    </row>
    <row r="3" spans="2:10" x14ac:dyDescent="0.2">
      <c r="B3" s="675"/>
      <c r="C3" s="731"/>
      <c r="D3" s="732"/>
      <c r="E3" s="673"/>
      <c r="F3" s="674"/>
      <c r="G3" s="675"/>
      <c r="H3" s="675"/>
      <c r="I3" s="675"/>
      <c r="J3" s="675"/>
    </row>
    <row r="4" spans="2:10" ht="26.25" x14ac:dyDescent="0.2">
      <c r="B4" s="675"/>
      <c r="C4" s="728" t="s">
        <v>340</v>
      </c>
      <c r="D4" s="672"/>
      <c r="E4" s="673"/>
      <c r="F4" s="674"/>
      <c r="G4" s="675"/>
      <c r="H4" s="675"/>
      <c r="I4" s="675"/>
      <c r="J4" s="675"/>
    </row>
    <row r="5" spans="2:10" ht="15" thickBot="1" x14ac:dyDescent="0.25">
      <c r="B5" s="675"/>
      <c r="C5" s="675"/>
      <c r="D5" s="676"/>
      <c r="E5" s="677"/>
      <c r="F5" s="678"/>
      <c r="G5" s="675"/>
      <c r="H5" s="675"/>
      <c r="I5" s="675"/>
      <c r="J5" s="675"/>
    </row>
    <row r="6" spans="2:10" ht="26.25" thickBot="1" x14ac:dyDescent="0.25">
      <c r="B6" s="675"/>
      <c r="C6" s="729" t="s">
        <v>341</v>
      </c>
      <c r="D6" s="730" t="s">
        <v>5</v>
      </c>
      <c r="E6" s="730" t="s">
        <v>462</v>
      </c>
      <c r="F6" s="730" t="s">
        <v>0</v>
      </c>
      <c r="G6" s="730" t="s">
        <v>343</v>
      </c>
      <c r="H6" s="730" t="s">
        <v>342</v>
      </c>
      <c r="I6" s="730" t="s">
        <v>8</v>
      </c>
      <c r="J6" s="675"/>
    </row>
    <row r="7" spans="2:10" ht="6.75" customHeight="1" x14ac:dyDescent="0.2">
      <c r="B7" s="675"/>
      <c r="C7" s="679"/>
      <c r="D7" s="680"/>
      <c r="E7" s="681"/>
      <c r="F7" s="682"/>
      <c r="G7" s="682"/>
      <c r="H7" s="682"/>
      <c r="I7" s="683"/>
      <c r="J7" s="675"/>
    </row>
    <row r="8" spans="2:10" ht="15.75" customHeight="1" thickBot="1" x14ac:dyDescent="0.25">
      <c r="B8" s="675"/>
      <c r="C8" s="684" t="s">
        <v>344</v>
      </c>
      <c r="D8" s="685"/>
      <c r="E8" s="686"/>
      <c r="F8" s="687"/>
      <c r="G8" s="688"/>
      <c r="H8" s="687"/>
      <c r="I8" s="689"/>
      <c r="J8" s="675"/>
    </row>
    <row r="9" spans="2:10" ht="78" customHeight="1" x14ac:dyDescent="0.2">
      <c r="B9" s="675"/>
      <c r="C9" s="690" t="s">
        <v>345</v>
      </c>
      <c r="D9" s="691">
        <v>23020034</v>
      </c>
      <c r="E9" s="692" t="s">
        <v>1023</v>
      </c>
      <c r="F9" s="693" t="s">
        <v>346</v>
      </c>
      <c r="G9" s="303"/>
      <c r="H9" s="694">
        <v>1036</v>
      </c>
      <c r="I9" s="695">
        <f>H9*G9</f>
        <v>0</v>
      </c>
      <c r="J9" s="675"/>
    </row>
    <row r="10" spans="2:10" ht="78" customHeight="1" x14ac:dyDescent="0.2">
      <c r="B10" s="675"/>
      <c r="C10" s="696" t="s">
        <v>347</v>
      </c>
      <c r="D10" s="697">
        <v>23020071</v>
      </c>
      <c r="E10" s="698" t="s">
        <v>1022</v>
      </c>
      <c r="F10" s="699" t="s">
        <v>348</v>
      </c>
      <c r="G10" s="304"/>
      <c r="H10" s="700">
        <v>1712</v>
      </c>
      <c r="I10" s="701">
        <f>H10*G10</f>
        <v>0</v>
      </c>
      <c r="J10" s="675"/>
    </row>
    <row r="11" spans="2:10" ht="78" customHeight="1" x14ac:dyDescent="0.2">
      <c r="B11" s="675"/>
      <c r="C11" s="696" t="s">
        <v>349</v>
      </c>
      <c r="D11" s="697">
        <v>23020020</v>
      </c>
      <c r="E11" s="698" t="s">
        <v>1021</v>
      </c>
      <c r="F11" s="699" t="s">
        <v>350</v>
      </c>
      <c r="G11" s="304"/>
      <c r="H11" s="700">
        <v>638</v>
      </c>
      <c r="I11" s="701">
        <f>H11*G11</f>
        <v>0</v>
      </c>
      <c r="J11" s="675"/>
    </row>
    <row r="12" spans="2:10" ht="78" customHeight="1" thickBot="1" x14ac:dyDescent="0.25">
      <c r="B12" s="675"/>
      <c r="C12" s="702" t="s">
        <v>351</v>
      </c>
      <c r="D12" s="703">
        <v>23020076</v>
      </c>
      <c r="E12" s="704" t="s">
        <v>1020</v>
      </c>
      <c r="F12" s="705" t="s">
        <v>352</v>
      </c>
      <c r="G12" s="305"/>
      <c r="H12" s="706">
        <v>957</v>
      </c>
      <c r="I12" s="707">
        <f>H12*G12</f>
        <v>0</v>
      </c>
      <c r="J12" s="675"/>
    </row>
    <row r="13" spans="2:10" x14ac:dyDescent="0.2">
      <c r="B13" s="675"/>
      <c r="C13" s="679"/>
      <c r="D13" s="680"/>
      <c r="E13" s="681"/>
      <c r="F13" s="682"/>
      <c r="G13" s="682"/>
      <c r="H13" s="682"/>
      <c r="I13" s="683"/>
      <c r="J13" s="675"/>
    </row>
    <row r="14" spans="2:10" ht="15.75" thickBot="1" x14ac:dyDescent="0.25">
      <c r="B14" s="675"/>
      <c r="C14" s="708" t="s">
        <v>353</v>
      </c>
      <c r="D14" s="685"/>
      <c r="E14" s="686"/>
      <c r="F14" s="687"/>
      <c r="G14" s="688"/>
      <c r="H14" s="687"/>
      <c r="I14" s="689"/>
      <c r="J14" s="675"/>
    </row>
    <row r="15" spans="2:10" ht="102" customHeight="1" x14ac:dyDescent="0.2">
      <c r="B15" s="675"/>
      <c r="C15" s="709" t="s">
        <v>354</v>
      </c>
      <c r="D15" s="710">
        <v>23020035</v>
      </c>
      <c r="E15" s="711" t="s">
        <v>355</v>
      </c>
      <c r="F15" s="711" t="s">
        <v>355</v>
      </c>
      <c r="G15" s="306"/>
      <c r="H15" s="712">
        <v>3650.6342780026989</v>
      </c>
      <c r="I15" s="713">
        <f t="shared" ref="I15:I40" si="0">H15*G15</f>
        <v>0</v>
      </c>
      <c r="J15" s="675"/>
    </row>
    <row r="16" spans="2:10" ht="75" customHeight="1" x14ac:dyDescent="0.2">
      <c r="B16" s="675"/>
      <c r="C16" s="714" t="s">
        <v>356</v>
      </c>
      <c r="D16" s="715">
        <v>23020087</v>
      </c>
      <c r="E16" s="716" t="s">
        <v>357</v>
      </c>
      <c r="F16" s="716" t="s">
        <v>357</v>
      </c>
      <c r="G16" s="307"/>
      <c r="H16" s="717">
        <v>469.1894736842105</v>
      </c>
      <c r="I16" s="718">
        <f t="shared" si="0"/>
        <v>0</v>
      </c>
      <c r="J16" s="675"/>
    </row>
    <row r="17" spans="2:10" ht="75" customHeight="1" x14ac:dyDescent="0.2">
      <c r="B17" s="675"/>
      <c r="C17" s="714" t="s">
        <v>358</v>
      </c>
      <c r="D17" s="715"/>
      <c r="E17" s="716" t="s">
        <v>359</v>
      </c>
      <c r="F17" s="716" t="s">
        <v>359</v>
      </c>
      <c r="G17" s="307"/>
      <c r="H17" s="717">
        <v>293.91754385964913</v>
      </c>
      <c r="I17" s="718">
        <f t="shared" si="0"/>
        <v>0</v>
      </c>
      <c r="J17" s="675"/>
    </row>
    <row r="18" spans="2:10" ht="75" customHeight="1" x14ac:dyDescent="0.2">
      <c r="B18" s="675"/>
      <c r="C18" s="714" t="s">
        <v>360</v>
      </c>
      <c r="D18" s="715"/>
      <c r="E18" s="716" t="s">
        <v>361</v>
      </c>
      <c r="F18" s="716" t="s">
        <v>361</v>
      </c>
      <c r="G18" s="307"/>
      <c r="H18" s="717">
        <v>490.76140350877188</v>
      </c>
      <c r="I18" s="718">
        <f t="shared" si="0"/>
        <v>0</v>
      </c>
      <c r="J18" s="675"/>
    </row>
    <row r="19" spans="2:10" x14ac:dyDescent="0.2">
      <c r="B19" s="675"/>
      <c r="C19" s="714" t="s">
        <v>362</v>
      </c>
      <c r="D19" s="715"/>
      <c r="E19" s="716" t="s">
        <v>363</v>
      </c>
      <c r="F19" s="716" t="s">
        <v>364</v>
      </c>
      <c r="G19" s="307"/>
      <c r="H19" s="717">
        <v>582.44210526315794</v>
      </c>
      <c r="I19" s="718">
        <f t="shared" si="0"/>
        <v>0</v>
      </c>
      <c r="J19" s="675"/>
    </row>
    <row r="20" spans="2:10" ht="25.5" x14ac:dyDescent="0.2">
      <c r="B20" s="675"/>
      <c r="C20" s="714" t="s">
        <v>365</v>
      </c>
      <c r="D20" s="715">
        <v>23020078</v>
      </c>
      <c r="E20" s="716" t="s">
        <v>1024</v>
      </c>
      <c r="F20" s="716" t="s">
        <v>1024</v>
      </c>
      <c r="G20" s="307"/>
      <c r="H20" s="717">
        <v>640</v>
      </c>
      <c r="I20" s="718">
        <f t="shared" si="0"/>
        <v>0</v>
      </c>
      <c r="J20" s="675"/>
    </row>
    <row r="21" spans="2:10" ht="87.75" customHeight="1" x14ac:dyDescent="0.2">
      <c r="B21" s="675"/>
      <c r="C21" s="714" t="s">
        <v>366</v>
      </c>
      <c r="D21" s="715">
        <v>23020066</v>
      </c>
      <c r="E21" s="716" t="s">
        <v>367</v>
      </c>
      <c r="F21" s="716" t="s">
        <v>367</v>
      </c>
      <c r="G21" s="307"/>
      <c r="H21" s="717">
        <v>1917.2052631578947</v>
      </c>
      <c r="I21" s="718">
        <f t="shared" si="0"/>
        <v>0</v>
      </c>
      <c r="J21" s="675"/>
    </row>
    <row r="22" spans="2:10" ht="87.75" customHeight="1" x14ac:dyDescent="0.2">
      <c r="B22" s="675"/>
      <c r="C22" s="714" t="s">
        <v>368</v>
      </c>
      <c r="D22" s="715"/>
      <c r="E22" s="716" t="s">
        <v>369</v>
      </c>
      <c r="F22" s="716" t="s">
        <v>369</v>
      </c>
      <c r="G22" s="307"/>
      <c r="H22" s="717">
        <v>399.08070175438593</v>
      </c>
      <c r="I22" s="718">
        <f t="shared" si="0"/>
        <v>0</v>
      </c>
      <c r="J22" s="675"/>
    </row>
    <row r="23" spans="2:10" ht="87.75" customHeight="1" x14ac:dyDescent="0.2">
      <c r="B23" s="675"/>
      <c r="C23" s="714" t="s">
        <v>370</v>
      </c>
      <c r="D23" s="715">
        <v>23020120</v>
      </c>
      <c r="E23" s="716" t="s">
        <v>371</v>
      </c>
      <c r="F23" s="716" t="s">
        <v>371</v>
      </c>
      <c r="G23" s="307"/>
      <c r="H23" s="717">
        <v>520.42280701754385</v>
      </c>
      <c r="I23" s="718">
        <f t="shared" si="0"/>
        <v>0</v>
      </c>
      <c r="J23" s="675"/>
    </row>
    <row r="24" spans="2:10" ht="87.75" customHeight="1" x14ac:dyDescent="0.2">
      <c r="B24" s="675"/>
      <c r="C24" s="714" t="s">
        <v>372</v>
      </c>
      <c r="D24" s="715"/>
      <c r="E24" s="716" t="s">
        <v>373</v>
      </c>
      <c r="F24" s="716" t="s">
        <v>373</v>
      </c>
      <c r="G24" s="307"/>
      <c r="H24" s="717">
        <v>399.08070175438593</v>
      </c>
      <c r="I24" s="718">
        <f t="shared" si="0"/>
        <v>0</v>
      </c>
      <c r="J24" s="675"/>
    </row>
    <row r="25" spans="2:10" ht="87.75" customHeight="1" x14ac:dyDescent="0.2">
      <c r="B25" s="675"/>
      <c r="C25" s="714" t="s">
        <v>374</v>
      </c>
      <c r="D25" s="715">
        <v>23020119</v>
      </c>
      <c r="E25" s="716" t="s">
        <v>375</v>
      </c>
      <c r="F25" s="716" t="s">
        <v>375</v>
      </c>
      <c r="G25" s="307"/>
      <c r="H25" s="717">
        <v>520.42280701754385</v>
      </c>
      <c r="I25" s="718">
        <f t="shared" si="0"/>
        <v>0</v>
      </c>
      <c r="J25" s="675"/>
    </row>
    <row r="26" spans="2:10" ht="87.75" customHeight="1" x14ac:dyDescent="0.2">
      <c r="B26" s="675"/>
      <c r="C26" s="714" t="s">
        <v>376</v>
      </c>
      <c r="D26" s="715">
        <v>23020238</v>
      </c>
      <c r="E26" s="716" t="s">
        <v>377</v>
      </c>
      <c r="F26" s="716" t="s">
        <v>377</v>
      </c>
      <c r="G26" s="307"/>
      <c r="H26" s="717">
        <v>186.05789473684206</v>
      </c>
      <c r="I26" s="718">
        <f t="shared" si="0"/>
        <v>0</v>
      </c>
      <c r="J26" s="675"/>
    </row>
    <row r="27" spans="2:10" ht="87.75" customHeight="1" x14ac:dyDescent="0.2">
      <c r="B27" s="675"/>
      <c r="C27" s="714" t="s">
        <v>378</v>
      </c>
      <c r="D27" s="715"/>
      <c r="E27" s="716" t="s">
        <v>379</v>
      </c>
      <c r="F27" s="716" t="s">
        <v>379</v>
      </c>
      <c r="G27" s="307"/>
      <c r="H27" s="717">
        <v>242.68421052631581</v>
      </c>
      <c r="I27" s="718">
        <f t="shared" si="0"/>
        <v>0</v>
      </c>
      <c r="J27" s="675"/>
    </row>
    <row r="28" spans="2:10" ht="87.75" customHeight="1" x14ac:dyDescent="0.2">
      <c r="B28" s="675"/>
      <c r="C28" s="714" t="s">
        <v>380</v>
      </c>
      <c r="D28" s="715">
        <v>23020218</v>
      </c>
      <c r="E28" s="716" t="s">
        <v>381</v>
      </c>
      <c r="F28" s="716" t="s">
        <v>381</v>
      </c>
      <c r="G28" s="307"/>
      <c r="H28" s="717">
        <v>110.55614035087719</v>
      </c>
      <c r="I28" s="718">
        <f t="shared" si="0"/>
        <v>0</v>
      </c>
      <c r="J28" s="675"/>
    </row>
    <row r="29" spans="2:10" ht="25.5" x14ac:dyDescent="0.2">
      <c r="B29" s="675"/>
      <c r="C29" s="714" t="s">
        <v>382</v>
      </c>
      <c r="D29" s="715">
        <v>23020085</v>
      </c>
      <c r="E29" s="716" t="s">
        <v>383</v>
      </c>
      <c r="F29" s="716" t="s">
        <v>383</v>
      </c>
      <c r="G29" s="307"/>
      <c r="H29" s="717">
        <v>110.55614035087719</v>
      </c>
      <c r="I29" s="718">
        <f t="shared" si="0"/>
        <v>0</v>
      </c>
      <c r="J29" s="675"/>
    </row>
    <row r="30" spans="2:10" ht="38.25" x14ac:dyDescent="0.2">
      <c r="B30" s="675"/>
      <c r="C30" s="714" t="s">
        <v>384</v>
      </c>
      <c r="D30" s="715">
        <v>23020086</v>
      </c>
      <c r="E30" s="716" t="s">
        <v>385</v>
      </c>
      <c r="F30" s="716" t="s">
        <v>385</v>
      </c>
      <c r="G30" s="307"/>
      <c r="H30" s="717">
        <v>159.09298245614036</v>
      </c>
      <c r="I30" s="718">
        <f t="shared" si="0"/>
        <v>0</v>
      </c>
      <c r="J30" s="675"/>
    </row>
    <row r="31" spans="2:10" ht="25.5" x14ac:dyDescent="0.2">
      <c r="B31" s="675"/>
      <c r="C31" s="714" t="s">
        <v>386</v>
      </c>
      <c r="D31" s="715">
        <v>23020083</v>
      </c>
      <c r="E31" s="716" t="s">
        <v>387</v>
      </c>
      <c r="F31" s="716" t="s">
        <v>387</v>
      </c>
      <c r="G31" s="307"/>
      <c r="H31" s="717">
        <v>153.69999999999999</v>
      </c>
      <c r="I31" s="718">
        <f t="shared" si="0"/>
        <v>0</v>
      </c>
      <c r="J31" s="675"/>
    </row>
    <row r="32" spans="2:10" ht="38.25" x14ac:dyDescent="0.2">
      <c r="B32" s="675"/>
      <c r="C32" s="714" t="s">
        <v>388</v>
      </c>
      <c r="D32" s="715"/>
      <c r="E32" s="716" t="s">
        <v>389</v>
      </c>
      <c r="F32" s="716" t="s">
        <v>389</v>
      </c>
      <c r="G32" s="307"/>
      <c r="H32" s="717">
        <v>153.69999999999999</v>
      </c>
      <c r="I32" s="718">
        <f t="shared" si="0"/>
        <v>0</v>
      </c>
      <c r="J32" s="675"/>
    </row>
    <row r="33" spans="2:10" ht="38.25" x14ac:dyDescent="0.2">
      <c r="B33" s="675"/>
      <c r="C33" s="714" t="s">
        <v>390</v>
      </c>
      <c r="D33" s="715">
        <v>23020088</v>
      </c>
      <c r="E33" s="716" t="s">
        <v>391</v>
      </c>
      <c r="F33" s="716" t="s">
        <v>391</v>
      </c>
      <c r="G33" s="307"/>
      <c r="H33" s="717">
        <v>105.16315789473684</v>
      </c>
      <c r="I33" s="718">
        <f t="shared" si="0"/>
        <v>0</v>
      </c>
      <c r="J33" s="675"/>
    </row>
    <row r="34" spans="2:10" ht="66.75" customHeight="1" x14ac:dyDescent="0.2">
      <c r="B34" s="675"/>
      <c r="C34" s="714" t="s">
        <v>392</v>
      </c>
      <c r="D34" s="715">
        <v>23020141</v>
      </c>
      <c r="E34" s="716" t="s">
        <v>393</v>
      </c>
      <c r="F34" s="716" t="s">
        <v>393</v>
      </c>
      <c r="G34" s="307"/>
      <c r="H34" s="717">
        <v>277.73859649122807</v>
      </c>
      <c r="I34" s="718">
        <f t="shared" si="0"/>
        <v>0</v>
      </c>
      <c r="J34" s="675"/>
    </row>
    <row r="35" spans="2:10" ht="54" customHeight="1" x14ac:dyDescent="0.2">
      <c r="B35" s="675"/>
      <c r="C35" s="714" t="s">
        <v>394</v>
      </c>
      <c r="D35" s="715"/>
      <c r="E35" s="716" t="s">
        <v>395</v>
      </c>
      <c r="F35" s="716" t="s">
        <v>395</v>
      </c>
      <c r="G35" s="307"/>
      <c r="H35" s="717">
        <v>800.85789473684213</v>
      </c>
      <c r="I35" s="718">
        <f t="shared" si="0"/>
        <v>0</v>
      </c>
      <c r="J35" s="675"/>
    </row>
    <row r="36" spans="2:10" ht="59.25" customHeight="1" x14ac:dyDescent="0.2">
      <c r="B36" s="675"/>
      <c r="C36" s="714" t="s">
        <v>396</v>
      </c>
      <c r="D36" s="715">
        <v>23020136</v>
      </c>
      <c r="E36" s="716" t="s">
        <v>397</v>
      </c>
      <c r="F36" s="716" t="s">
        <v>397</v>
      </c>
      <c r="G36" s="307"/>
      <c r="H36" s="717">
        <v>1021.9701754385962</v>
      </c>
      <c r="I36" s="718">
        <f t="shared" si="0"/>
        <v>0</v>
      </c>
      <c r="J36" s="675"/>
    </row>
    <row r="37" spans="2:10" ht="67.5" customHeight="1" x14ac:dyDescent="0.2">
      <c r="B37" s="675"/>
      <c r="C37" s="714" t="s">
        <v>398</v>
      </c>
      <c r="D37" s="715"/>
      <c r="E37" s="716" t="s">
        <v>399</v>
      </c>
      <c r="F37" s="716" t="s">
        <v>399</v>
      </c>
      <c r="G37" s="307"/>
      <c r="H37" s="717">
        <v>2817.833333333333</v>
      </c>
      <c r="I37" s="718">
        <f t="shared" si="0"/>
        <v>0</v>
      </c>
      <c r="J37" s="675"/>
    </row>
    <row r="38" spans="2:10" ht="67.5" customHeight="1" x14ac:dyDescent="0.2">
      <c r="B38" s="675"/>
      <c r="C38" s="714" t="s">
        <v>400</v>
      </c>
      <c r="D38" s="715"/>
      <c r="E38" s="716" t="s">
        <v>401</v>
      </c>
      <c r="F38" s="716" t="s">
        <v>401</v>
      </c>
      <c r="G38" s="307"/>
      <c r="H38" s="717">
        <v>364.02631578947364</v>
      </c>
      <c r="I38" s="718">
        <f t="shared" si="0"/>
        <v>0</v>
      </c>
      <c r="J38" s="675"/>
    </row>
    <row r="39" spans="2:10" ht="47.25" customHeight="1" x14ac:dyDescent="0.2">
      <c r="B39" s="675"/>
      <c r="C39" s="714" t="s">
        <v>402</v>
      </c>
      <c r="D39" s="715"/>
      <c r="E39" s="716" t="s">
        <v>403</v>
      </c>
      <c r="F39" s="716" t="s">
        <v>403</v>
      </c>
      <c r="G39" s="307"/>
      <c r="H39" s="717">
        <v>444.92105263157896</v>
      </c>
      <c r="I39" s="718">
        <f t="shared" si="0"/>
        <v>0</v>
      </c>
      <c r="J39" s="675"/>
    </row>
    <row r="40" spans="2:10" ht="47.25" customHeight="1" thickBot="1" x14ac:dyDescent="0.25">
      <c r="B40" s="675"/>
      <c r="C40" s="719" t="s">
        <v>404</v>
      </c>
      <c r="D40" s="720"/>
      <c r="E40" s="721" t="s">
        <v>405</v>
      </c>
      <c r="F40" s="721" t="s">
        <v>405</v>
      </c>
      <c r="G40" s="308"/>
      <c r="H40" s="722">
        <v>498.85087719298247</v>
      </c>
      <c r="I40" s="723">
        <f t="shared" si="0"/>
        <v>0</v>
      </c>
      <c r="J40" s="675"/>
    </row>
    <row r="41" spans="2:10" x14ac:dyDescent="0.2">
      <c r="B41" s="675"/>
      <c r="C41" s="675"/>
      <c r="D41" s="676"/>
      <c r="E41" s="677"/>
      <c r="F41" s="678"/>
      <c r="G41" s="724"/>
      <c r="H41" s="675"/>
      <c r="I41" s="675"/>
      <c r="J41" s="675"/>
    </row>
    <row r="42" spans="2:10" ht="15" x14ac:dyDescent="0.25">
      <c r="B42" s="675"/>
      <c r="C42" s="675"/>
      <c r="D42" s="676"/>
      <c r="E42" s="677"/>
      <c r="F42" s="678"/>
      <c r="G42" s="725" t="s">
        <v>19</v>
      </c>
      <c r="H42" s="726"/>
      <c r="I42" s="727">
        <f>SUM(I9:I40)</f>
        <v>0</v>
      </c>
      <c r="J42" s="675"/>
    </row>
    <row r="43" spans="2:10" x14ac:dyDescent="0.2">
      <c r="B43" s="675"/>
      <c r="C43" s="675"/>
      <c r="D43" s="676"/>
      <c r="E43" s="677"/>
      <c r="F43" s="678"/>
      <c r="G43" s="675"/>
      <c r="H43" s="675"/>
      <c r="I43" s="675"/>
      <c r="J43" s="675"/>
    </row>
    <row r="44" spans="2:10" x14ac:dyDescent="0.2">
      <c r="B44" s="675"/>
      <c r="C44" s="675"/>
      <c r="D44" s="676"/>
      <c r="E44" s="677"/>
      <c r="F44" s="678"/>
      <c r="G44" s="675"/>
      <c r="H44" s="675"/>
      <c r="I44" s="675"/>
      <c r="J44" s="675"/>
    </row>
    <row r="45" spans="2:10" x14ac:dyDescent="0.2">
      <c r="B45" s="675"/>
      <c r="C45" s="675"/>
      <c r="D45" s="676"/>
      <c r="E45" s="677"/>
      <c r="F45" s="678"/>
      <c r="G45" s="675"/>
      <c r="H45" s="675"/>
      <c r="I45" s="675"/>
      <c r="J45" s="675"/>
    </row>
    <row r="46" spans="2:10" x14ac:dyDescent="0.2">
      <c r="B46" s="675"/>
      <c r="C46" s="675"/>
      <c r="D46" s="676"/>
      <c r="E46" s="677"/>
      <c r="F46" s="678"/>
      <c r="G46" s="675"/>
      <c r="H46" s="675"/>
      <c r="I46" s="675"/>
      <c r="J46" s="675"/>
    </row>
    <row r="47" spans="2:10" x14ac:dyDescent="0.2">
      <c r="B47" s="675"/>
      <c r="C47" s="675"/>
      <c r="D47" s="676"/>
      <c r="E47" s="677"/>
      <c r="F47" s="678"/>
      <c r="G47" s="675"/>
      <c r="H47" s="675"/>
      <c r="I47" s="675"/>
      <c r="J47" s="675"/>
    </row>
  </sheetData>
  <sheetProtection password="C523" sheet="1" objects="1" scenarios="1" selectLockedCells="1"/>
  <pageMargins left="0.70866141732283472" right="0.70866141732283472" top="0.74803149606299213" bottom="0.74803149606299213" header="0.31496062992125984" footer="0.31496062992125984"/>
  <pageSetup paperSize="9" scale="51" fitToHeight="4" orientation="portrait" r:id="rId1"/>
  <rowBreaks count="1" manualBreakCount="1">
    <brk id="26" min="1"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6" tint="0.39997558519241921"/>
  </sheetPr>
  <dimension ref="B3:T75"/>
  <sheetViews>
    <sheetView showGridLines="0" showRowColHeaders="0" topLeftCell="A8" zoomScale="93" zoomScaleNormal="115" workbookViewId="0">
      <selection activeCell="D59" sqref="D59"/>
    </sheetView>
  </sheetViews>
  <sheetFormatPr defaultRowHeight="12.75" x14ac:dyDescent="0.2"/>
  <cols>
    <col min="3" max="14" width="13" customWidth="1"/>
  </cols>
  <sheetData>
    <row r="3" spans="2:20" ht="24" thickBot="1" x14ac:dyDescent="0.4">
      <c r="B3" s="735" t="s">
        <v>1032</v>
      </c>
      <c r="C3" s="6"/>
      <c r="D3" s="6"/>
      <c r="E3" s="6"/>
      <c r="F3" s="6"/>
      <c r="G3" s="6"/>
      <c r="H3" s="6"/>
      <c r="I3" s="6"/>
      <c r="J3" s="6"/>
      <c r="K3" s="6"/>
      <c r="L3" s="6"/>
      <c r="M3" s="6"/>
      <c r="N3" s="6"/>
      <c r="O3" s="6"/>
      <c r="P3" s="6"/>
      <c r="Q3" s="6"/>
      <c r="R3" s="6"/>
      <c r="S3" s="6"/>
      <c r="T3" s="6"/>
    </row>
    <row r="6" spans="2:20" x14ac:dyDescent="0.2">
      <c r="D6" s="644" t="s">
        <v>5</v>
      </c>
      <c r="E6" s="644" t="s">
        <v>7</v>
      </c>
      <c r="F6" s="644" t="s">
        <v>999</v>
      </c>
      <c r="G6" s="921"/>
      <c r="H6" s="921"/>
      <c r="I6" s="921"/>
      <c r="J6" s="644" t="s">
        <v>1340</v>
      </c>
      <c r="K6" s="922"/>
      <c r="L6" s="922"/>
      <c r="M6" s="922"/>
      <c r="N6" s="922"/>
    </row>
    <row r="7" spans="2:20" x14ac:dyDescent="0.2">
      <c r="D7" s="1">
        <v>937600050</v>
      </c>
      <c r="E7" s="1">
        <v>10020142</v>
      </c>
      <c r="F7" t="s">
        <v>1320</v>
      </c>
      <c r="J7" s="93" t="s">
        <v>1339</v>
      </c>
    </row>
    <row r="8" spans="2:20" x14ac:dyDescent="0.2">
      <c r="D8" s="1">
        <v>937600080</v>
      </c>
      <c r="E8" s="1">
        <v>10040174</v>
      </c>
      <c r="F8" t="s">
        <v>1321</v>
      </c>
      <c r="J8" s="93" t="s">
        <v>1338</v>
      </c>
    </row>
    <row r="61" spans="3:13" ht="26.25" x14ac:dyDescent="0.4">
      <c r="C61" s="845" t="s">
        <v>1358</v>
      </c>
      <c r="K61" s="509"/>
    </row>
    <row r="62" spans="3:13" ht="27" thickBot="1" x14ac:dyDescent="0.45">
      <c r="C62" s="508"/>
      <c r="K62" s="509"/>
    </row>
    <row r="63" spans="3:13" ht="15" thickBot="1" x14ac:dyDescent="0.25">
      <c r="C63" s="510"/>
      <c r="D63" s="511" t="s">
        <v>632</v>
      </c>
      <c r="E63" s="512" t="s">
        <v>633</v>
      </c>
      <c r="F63" s="512" t="s">
        <v>634</v>
      </c>
      <c r="G63" s="512" t="s">
        <v>635</v>
      </c>
      <c r="H63" s="512" t="s">
        <v>636</v>
      </c>
      <c r="I63" s="512" t="s">
        <v>637</v>
      </c>
      <c r="J63" s="512" t="s">
        <v>638</v>
      </c>
      <c r="K63" s="512" t="s">
        <v>639</v>
      </c>
      <c r="L63" s="512" t="s">
        <v>640</v>
      </c>
      <c r="M63" s="513" t="s">
        <v>641</v>
      </c>
    </row>
    <row r="64" spans="3:13" ht="13.5" thickBot="1" x14ac:dyDescent="0.25">
      <c r="C64" s="514" t="s">
        <v>642</v>
      </c>
      <c r="D64" s="515" t="s">
        <v>643</v>
      </c>
      <c r="E64" s="516">
        <v>36</v>
      </c>
      <c r="F64" s="516">
        <v>50</v>
      </c>
      <c r="G64" s="516">
        <v>65</v>
      </c>
      <c r="H64" s="516">
        <v>80</v>
      </c>
      <c r="I64" s="516">
        <v>95</v>
      </c>
      <c r="J64" s="516">
        <v>110</v>
      </c>
      <c r="K64" s="516">
        <v>130</v>
      </c>
      <c r="L64" s="516">
        <v>150</v>
      </c>
      <c r="M64" s="517">
        <v>170</v>
      </c>
    </row>
    <row r="65" spans="3:13" ht="26.25" thickBot="1" x14ac:dyDescent="0.25">
      <c r="C65" s="518" t="s">
        <v>644</v>
      </c>
      <c r="D65" s="519">
        <v>33</v>
      </c>
      <c r="E65" s="520" t="s">
        <v>645</v>
      </c>
      <c r="F65" s="520" t="s">
        <v>646</v>
      </c>
      <c r="G65" s="520" t="s">
        <v>647</v>
      </c>
      <c r="H65" s="520" t="s">
        <v>648</v>
      </c>
      <c r="I65" s="520" t="s">
        <v>649</v>
      </c>
      <c r="J65" s="520" t="s">
        <v>650</v>
      </c>
      <c r="K65" s="520" t="s">
        <v>651</v>
      </c>
      <c r="L65" s="520" t="s">
        <v>652</v>
      </c>
      <c r="M65" s="521" t="s">
        <v>653</v>
      </c>
    </row>
    <row r="66" spans="3:13" ht="26.25" thickBot="1" x14ac:dyDescent="0.25">
      <c r="C66" s="518" t="s">
        <v>654</v>
      </c>
      <c r="D66" s="519">
        <v>50</v>
      </c>
      <c r="E66" s="520" t="s">
        <v>655</v>
      </c>
      <c r="F66" s="520" t="s">
        <v>656</v>
      </c>
      <c r="G66" s="520" t="s">
        <v>657</v>
      </c>
      <c r="H66" s="520" t="s">
        <v>658</v>
      </c>
      <c r="I66" s="520" t="s">
        <v>659</v>
      </c>
      <c r="J66" s="520" t="s">
        <v>660</v>
      </c>
      <c r="K66" s="520" t="s">
        <v>661</v>
      </c>
      <c r="L66" s="520" t="s">
        <v>662</v>
      </c>
      <c r="M66" s="521" t="s">
        <v>663</v>
      </c>
    </row>
    <row r="67" spans="3:13" ht="26.25" thickBot="1" x14ac:dyDescent="0.25">
      <c r="C67" s="518" t="s">
        <v>664</v>
      </c>
      <c r="D67" s="519">
        <v>70</v>
      </c>
      <c r="E67" s="520" t="s">
        <v>665</v>
      </c>
      <c r="F67" s="520" t="s">
        <v>666</v>
      </c>
      <c r="G67" s="520" t="s">
        <v>667</v>
      </c>
      <c r="H67" s="520" t="s">
        <v>668</v>
      </c>
      <c r="I67" s="520" t="s">
        <v>669</v>
      </c>
      <c r="J67" s="520" t="s">
        <v>670</v>
      </c>
      <c r="K67" s="520" t="s">
        <v>671</v>
      </c>
      <c r="L67" s="520" t="s">
        <v>672</v>
      </c>
      <c r="M67" s="521" t="s">
        <v>673</v>
      </c>
    </row>
    <row r="68" spans="3:13" ht="26.25" thickBot="1" x14ac:dyDescent="0.25">
      <c r="C68" s="518" t="s">
        <v>674</v>
      </c>
      <c r="D68" s="519">
        <v>90</v>
      </c>
      <c r="E68" s="520" t="s">
        <v>675</v>
      </c>
      <c r="F68" s="520" t="s">
        <v>676</v>
      </c>
      <c r="G68" s="520" t="s">
        <v>677</v>
      </c>
      <c r="H68" s="520" t="s">
        <v>678</v>
      </c>
      <c r="I68" s="520" t="s">
        <v>679</v>
      </c>
      <c r="J68" s="520" t="s">
        <v>680</v>
      </c>
      <c r="K68" s="520" t="s">
        <v>681</v>
      </c>
      <c r="L68" s="520" t="s">
        <v>682</v>
      </c>
      <c r="M68" s="521" t="s">
        <v>683</v>
      </c>
    </row>
    <row r="69" spans="3:13" ht="26.25" thickBot="1" x14ac:dyDescent="0.25">
      <c r="C69" s="518" t="s">
        <v>684</v>
      </c>
      <c r="D69" s="519">
        <v>110</v>
      </c>
      <c r="E69" s="520" t="s">
        <v>685</v>
      </c>
      <c r="F69" s="520" t="s">
        <v>686</v>
      </c>
      <c r="G69" s="520" t="s">
        <v>687</v>
      </c>
      <c r="H69" s="520" t="s">
        <v>688</v>
      </c>
      <c r="I69" s="520" t="s">
        <v>689</v>
      </c>
      <c r="J69" s="520" t="s">
        <v>690</v>
      </c>
      <c r="K69" s="520" t="s">
        <v>691</v>
      </c>
      <c r="L69" s="520" t="s">
        <v>692</v>
      </c>
      <c r="M69" s="521" t="s">
        <v>693</v>
      </c>
    </row>
    <row r="70" spans="3:13" ht="26.25" thickBot="1" x14ac:dyDescent="0.25">
      <c r="C70" s="518" t="s">
        <v>694</v>
      </c>
      <c r="D70" s="519">
        <v>140</v>
      </c>
      <c r="E70" s="520" t="s">
        <v>695</v>
      </c>
      <c r="F70" s="520" t="s">
        <v>696</v>
      </c>
      <c r="G70" s="520" t="s">
        <v>697</v>
      </c>
      <c r="H70" s="520" t="s">
        <v>698</v>
      </c>
      <c r="I70" s="520" t="s">
        <v>699</v>
      </c>
      <c r="J70" s="520" t="s">
        <v>700</v>
      </c>
      <c r="K70" s="520" t="s">
        <v>701</v>
      </c>
      <c r="L70" s="520" t="s">
        <v>702</v>
      </c>
      <c r="M70" s="521" t="s">
        <v>703</v>
      </c>
    </row>
    <row r="71" spans="3:13" ht="26.25" thickBot="1" x14ac:dyDescent="0.25">
      <c r="C71" s="518" t="s">
        <v>704</v>
      </c>
      <c r="D71" s="519">
        <v>170</v>
      </c>
      <c r="E71" s="520" t="s">
        <v>705</v>
      </c>
      <c r="F71" s="520" t="s">
        <v>706</v>
      </c>
      <c r="G71" s="520" t="s">
        <v>707</v>
      </c>
      <c r="H71" s="520" t="s">
        <v>708</v>
      </c>
      <c r="I71" s="520" t="s">
        <v>709</v>
      </c>
      <c r="J71" s="520" t="s">
        <v>710</v>
      </c>
      <c r="K71" s="520" t="s">
        <v>711</v>
      </c>
      <c r="L71" s="520" t="s">
        <v>712</v>
      </c>
      <c r="M71" s="521" t="s">
        <v>713</v>
      </c>
    </row>
    <row r="72" spans="3:13" ht="26.25" thickBot="1" x14ac:dyDescent="0.25">
      <c r="C72" s="518" t="s">
        <v>714</v>
      </c>
      <c r="D72" s="519">
        <v>200</v>
      </c>
      <c r="E72" s="520" t="s">
        <v>715</v>
      </c>
      <c r="F72" s="520" t="s">
        <v>716</v>
      </c>
      <c r="G72" s="520" t="s">
        <v>717</v>
      </c>
      <c r="H72" s="520" t="s">
        <v>718</v>
      </c>
      <c r="I72" s="520" t="s">
        <v>719</v>
      </c>
      <c r="J72" s="520" t="s">
        <v>720</v>
      </c>
      <c r="K72" s="520" t="s">
        <v>721</v>
      </c>
      <c r="L72" s="520" t="s">
        <v>722</v>
      </c>
      <c r="M72" s="521" t="s">
        <v>723</v>
      </c>
    </row>
    <row r="73" spans="3:13" ht="26.25" thickBot="1" x14ac:dyDescent="0.25">
      <c r="C73" s="518" t="s">
        <v>724</v>
      </c>
      <c r="D73" s="522">
        <v>230</v>
      </c>
      <c r="E73" s="520" t="s">
        <v>725</v>
      </c>
      <c r="F73" s="520" t="s">
        <v>726</v>
      </c>
      <c r="G73" s="520" t="s">
        <v>727</v>
      </c>
      <c r="H73" s="520" t="s">
        <v>728</v>
      </c>
      <c r="I73" s="520" t="s">
        <v>729</v>
      </c>
      <c r="J73" s="520" t="s">
        <v>730</v>
      </c>
      <c r="K73" s="520" t="s">
        <v>731</v>
      </c>
      <c r="L73" s="520" t="s">
        <v>732</v>
      </c>
      <c r="M73" s="521" t="s">
        <v>733</v>
      </c>
    </row>
    <row r="74" spans="3:13" ht="15.75" x14ac:dyDescent="0.2">
      <c r="C74" s="1135"/>
      <c r="D74" s="1137"/>
      <c r="E74" s="1139" t="s">
        <v>734</v>
      </c>
      <c r="F74" s="1140"/>
      <c r="G74" s="1140"/>
      <c r="H74" s="1140"/>
      <c r="I74" s="1140"/>
      <c r="J74" s="1141"/>
      <c r="K74" s="1142" t="s">
        <v>735</v>
      </c>
      <c r="L74" s="1143"/>
      <c r="M74" s="1144"/>
    </row>
    <row r="75" spans="3:13" ht="16.5" thickBot="1" x14ac:dyDescent="0.25">
      <c r="C75" s="1136"/>
      <c r="D75" s="1138"/>
      <c r="E75" s="1145" t="s">
        <v>736</v>
      </c>
      <c r="F75" s="1146"/>
      <c r="G75" s="1146"/>
      <c r="H75" s="1146"/>
      <c r="I75" s="1146"/>
      <c r="J75" s="1147"/>
      <c r="K75" s="1145" t="s">
        <v>737</v>
      </c>
      <c r="L75" s="1146"/>
      <c r="M75" s="1147"/>
    </row>
  </sheetData>
  <mergeCells count="6">
    <mergeCell ref="C74:C75"/>
    <mergeCell ref="D74:D75"/>
    <mergeCell ref="E74:J74"/>
    <mergeCell ref="K74:M74"/>
    <mergeCell ref="E75:J75"/>
    <mergeCell ref="K75:M75"/>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0"/>
  </sheetPr>
  <dimension ref="A1:N15"/>
  <sheetViews>
    <sheetView showGridLines="0" showRowColHeaders="0" topLeftCell="A16" workbookViewId="0">
      <selection sqref="A1:XFD15"/>
    </sheetView>
  </sheetViews>
  <sheetFormatPr defaultRowHeight="12.75" x14ac:dyDescent="0.2"/>
  <cols>
    <col min="2" max="2" width="13.28515625" style="2" customWidth="1"/>
    <col min="3" max="3" width="27.5703125" customWidth="1"/>
    <col min="4" max="4" width="10.7109375" customWidth="1"/>
    <col min="5" max="5" width="20.42578125" customWidth="1"/>
    <col min="6" max="6" width="11.7109375" customWidth="1"/>
  </cols>
  <sheetData>
    <row r="1" spans="1:14" ht="21" hidden="1" thickBot="1" x14ac:dyDescent="0.35">
      <c r="A1" s="148" t="s">
        <v>77</v>
      </c>
      <c r="B1" s="150"/>
      <c r="C1" s="6"/>
      <c r="D1" s="6"/>
      <c r="E1" s="6"/>
      <c r="F1" s="6"/>
      <c r="G1" s="6"/>
      <c r="H1" s="6"/>
      <c r="I1" s="6"/>
      <c r="J1" s="6"/>
      <c r="K1" s="6"/>
      <c r="L1" s="6"/>
      <c r="M1" s="6"/>
      <c r="N1" s="6"/>
    </row>
    <row r="2" spans="1:14" ht="18.75" hidden="1" x14ac:dyDescent="0.3">
      <c r="B2" s="151"/>
      <c r="C2" s="146"/>
      <c r="D2" s="147"/>
      <c r="E2" s="146"/>
      <c r="F2" s="146"/>
      <c r="G2" s="146"/>
    </row>
    <row r="3" spans="1:14" ht="12.75" hidden="1" customHeight="1" x14ac:dyDescent="0.2">
      <c r="B3" s="188"/>
      <c r="C3" s="115"/>
      <c r="D3" s="1149" t="s">
        <v>80</v>
      </c>
      <c r="E3" s="1149" t="s">
        <v>79</v>
      </c>
      <c r="F3" s="1149" t="s">
        <v>84</v>
      </c>
      <c r="G3" s="1148" t="s">
        <v>87</v>
      </c>
      <c r="H3" s="1148"/>
      <c r="I3" s="1148" t="s">
        <v>82</v>
      </c>
      <c r="J3" s="1148"/>
    </row>
    <row r="4" spans="1:14" ht="13.5" hidden="1" thickBot="1" x14ac:dyDescent="0.25">
      <c r="B4" s="185" t="s">
        <v>78</v>
      </c>
      <c r="C4" s="186" t="s">
        <v>72</v>
      </c>
      <c r="D4" s="1150"/>
      <c r="E4" s="1150"/>
      <c r="F4" s="1150"/>
      <c r="G4" s="187" t="s">
        <v>85</v>
      </c>
      <c r="H4" s="187" t="s">
        <v>86</v>
      </c>
      <c r="I4" s="187" t="s">
        <v>85</v>
      </c>
      <c r="J4" s="187" t="s">
        <v>86</v>
      </c>
    </row>
    <row r="5" spans="1:14" hidden="1" x14ac:dyDescent="0.2">
      <c r="B5" s="166" t="s">
        <v>202</v>
      </c>
      <c r="C5" s="167" t="s">
        <v>308</v>
      </c>
      <c r="D5" s="167"/>
      <c r="E5" s="168"/>
      <c r="F5" s="182">
        <v>0</v>
      </c>
      <c r="G5" s="183">
        <v>0.1</v>
      </c>
      <c r="H5" s="183">
        <v>0.15</v>
      </c>
      <c r="I5" s="252">
        <f>F5+G5</f>
        <v>0.1</v>
      </c>
      <c r="J5" s="252">
        <f>F5+H5</f>
        <v>0.15</v>
      </c>
      <c r="K5" s="149" t="s">
        <v>81</v>
      </c>
    </row>
    <row r="6" spans="1:14" hidden="1" x14ac:dyDescent="0.2">
      <c r="B6" s="166" t="s">
        <v>203</v>
      </c>
      <c r="C6" s="167" t="s">
        <v>457</v>
      </c>
      <c r="D6" s="167"/>
      <c r="E6" s="168"/>
      <c r="F6" s="182">
        <f>$F$5</f>
        <v>0</v>
      </c>
      <c r="G6" s="183">
        <v>0.05</v>
      </c>
      <c r="H6" s="183">
        <v>0.1</v>
      </c>
      <c r="I6" s="252">
        <f>F6+G6</f>
        <v>0.05</v>
      </c>
      <c r="J6" s="252">
        <f>F6+H6</f>
        <v>0.1</v>
      </c>
    </row>
    <row r="7" spans="1:14" hidden="1" x14ac:dyDescent="0.2">
      <c r="B7" s="166"/>
      <c r="C7" s="167"/>
      <c r="D7" s="167"/>
      <c r="E7" s="168"/>
      <c r="F7" s="252"/>
      <c r="G7" s="252"/>
      <c r="H7" s="252"/>
      <c r="I7" s="184"/>
      <c r="J7" s="184"/>
    </row>
    <row r="8" spans="1:14" hidden="1" x14ac:dyDescent="0.2">
      <c r="B8" s="166"/>
      <c r="C8" s="167"/>
      <c r="D8" s="167"/>
      <c r="E8" s="168"/>
      <c r="F8" s="252"/>
      <c r="G8" s="252"/>
      <c r="H8" s="252"/>
      <c r="I8" s="184"/>
      <c r="J8" s="184"/>
    </row>
    <row r="9" spans="1:14" hidden="1" x14ac:dyDescent="0.2"/>
    <row r="10" spans="1:14" hidden="1" x14ac:dyDescent="0.2"/>
    <row r="11" spans="1:14" hidden="1" x14ac:dyDescent="0.2"/>
    <row r="12" spans="1:14" hidden="1" x14ac:dyDescent="0.2"/>
    <row r="13" spans="1:14" hidden="1" x14ac:dyDescent="0.2"/>
    <row r="14" spans="1:14" hidden="1" x14ac:dyDescent="0.2"/>
    <row r="15" spans="1:14" hidden="1" x14ac:dyDescent="0.2"/>
  </sheetData>
  <sheetProtection algorithmName="SHA-512" hashValue="KLp4AIPXmzUJcbpS5wXWtOEsrhaih5OkcqTp5IMMWjMIhWAJoLsu50ziMM6blB0BBJpmcGVMt64PuE4fr5fIPQ==" saltValue="kVQvArgLqFwZIEb6M3gGew==" spinCount="100000" sheet="1" objects="1" scenarios="1" selectLockedCells="1" selectUnlockedCells="1"/>
  <mergeCells count="5">
    <mergeCell ref="G3:H3"/>
    <mergeCell ref="I3:J3"/>
    <mergeCell ref="F3:F4"/>
    <mergeCell ref="E3:E4"/>
    <mergeCell ref="D3:D4"/>
  </mergeCells>
  <pageMargins left="0.7" right="0.7" top="0.75" bottom="0.75" header="0.3" footer="0.3"/>
  <pageSetup paperSize="9" orientation="portrait" r:id="rId1"/>
  <ignoredErrors>
    <ignoredError sqref="B5:B6" numberStoredAsText="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B3:K13"/>
  <sheetViews>
    <sheetView workbookViewId="0">
      <selection activeCell="E23" sqref="E23:F23"/>
    </sheetView>
  </sheetViews>
  <sheetFormatPr defaultRowHeight="12.75" x14ac:dyDescent="0.2"/>
  <cols>
    <col min="2" max="2" width="10" bestFit="1" customWidth="1"/>
    <col min="9" max="9" width="12.28515625" customWidth="1"/>
    <col min="10" max="10" width="18.7109375" customWidth="1"/>
    <col min="11" max="11" width="14.7109375" bestFit="1" customWidth="1"/>
  </cols>
  <sheetData>
    <row r="3" spans="2:11" x14ac:dyDescent="0.2">
      <c r="I3" s="272" t="s">
        <v>212</v>
      </c>
      <c r="J3" s="272" t="s">
        <v>214</v>
      </c>
      <c r="K3" s="272" t="s">
        <v>225</v>
      </c>
    </row>
    <row r="4" spans="2:11" x14ac:dyDescent="0.2">
      <c r="I4" s="93" t="s">
        <v>220</v>
      </c>
      <c r="J4" s="93" t="s">
        <v>221</v>
      </c>
      <c r="K4" s="93" t="s">
        <v>226</v>
      </c>
    </row>
    <row r="5" spans="2:11" x14ac:dyDescent="0.2">
      <c r="B5" t="s">
        <v>212</v>
      </c>
      <c r="I5" t="s">
        <v>215</v>
      </c>
      <c r="J5" s="93" t="s">
        <v>222</v>
      </c>
      <c r="K5" s="93" t="s">
        <v>227</v>
      </c>
    </row>
    <row r="6" spans="2:11" x14ac:dyDescent="0.2">
      <c r="B6" t="s">
        <v>213</v>
      </c>
      <c r="I6" t="s">
        <v>216</v>
      </c>
      <c r="J6" s="93" t="s">
        <v>223</v>
      </c>
    </row>
    <row r="7" spans="2:11" x14ac:dyDescent="0.2">
      <c r="B7" t="s">
        <v>214</v>
      </c>
      <c r="I7" t="s">
        <v>217</v>
      </c>
      <c r="J7" s="93" t="s">
        <v>224</v>
      </c>
    </row>
    <row r="8" spans="2:11" x14ac:dyDescent="0.2">
      <c r="B8" t="s">
        <v>237</v>
      </c>
      <c r="I8" t="s">
        <v>218</v>
      </c>
    </row>
    <row r="9" spans="2:11" x14ac:dyDescent="0.2">
      <c r="I9" t="s">
        <v>219</v>
      </c>
    </row>
    <row r="10" spans="2:11" x14ac:dyDescent="0.2">
      <c r="I10" t="s">
        <v>219</v>
      </c>
    </row>
    <row r="11" spans="2:11" x14ac:dyDescent="0.2">
      <c r="I11" s="93" t="s">
        <v>229</v>
      </c>
    </row>
    <row r="12" spans="2:11" x14ac:dyDescent="0.2">
      <c r="I12" s="93" t="s">
        <v>230</v>
      </c>
    </row>
    <row r="13" spans="2:11" x14ac:dyDescent="0.2">
      <c r="I13" s="93" t="s">
        <v>228</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4DE81A1BD882643BDF117F07BE0FECF" ma:contentTypeVersion="15" ma:contentTypeDescription="Create a new document." ma:contentTypeScope="" ma:versionID="ea946fbb9cac9d8cebd1e327c3b9d6ce">
  <xsd:schema xmlns:xsd="http://www.w3.org/2001/XMLSchema" xmlns:xs="http://www.w3.org/2001/XMLSchema" xmlns:p="http://schemas.microsoft.com/office/2006/metadata/properties" xmlns:ns2="1ea5d932-94e3-47a8-9424-187ff5b6c338" xmlns:ns3="811803e2-254a-4f2e-9c72-4fa1e191475e" targetNamespace="http://schemas.microsoft.com/office/2006/metadata/properties" ma:root="true" ma:fieldsID="77d5642dc6420e039df81bbc4eea1b63" ns2:_="" ns3:_="">
    <xsd:import namespace="1ea5d932-94e3-47a8-9424-187ff5b6c338"/>
    <xsd:import namespace="811803e2-254a-4f2e-9c72-4fa1e191475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ea5d932-94e3-47a8-9424-187ff5b6c33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11803e2-254a-4f2e-9c72-4fa1e191475e"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0F46D3F-4A3F-412D-BCD1-85421756AAD6}">
  <ds:schemaRefs>
    <ds:schemaRef ds:uri="http://purl.org/dc/terms/"/>
    <ds:schemaRef ds:uri="811803e2-254a-4f2e-9c72-4fa1e191475e"/>
    <ds:schemaRef ds:uri="http://schemas.microsoft.com/office/2006/documentManagement/types"/>
    <ds:schemaRef ds:uri="http://schemas.microsoft.com/office/infopath/2007/PartnerControls"/>
    <ds:schemaRef ds:uri="1ea5d932-94e3-47a8-9424-187ff5b6c338"/>
    <ds:schemaRef ds:uri="http://purl.org/dc/elements/1.1/"/>
    <ds:schemaRef ds:uri="http://schemas.microsoft.com/office/2006/metadata/propertie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279E92D1-5E72-4C59-B182-11996BB54077}">
  <ds:schemaRefs>
    <ds:schemaRef ds:uri="http://schemas.microsoft.com/sharepoint/v3/contenttype/forms"/>
  </ds:schemaRefs>
</ds:datastoreItem>
</file>

<file path=customXml/itemProps3.xml><?xml version="1.0" encoding="utf-8"?>
<ds:datastoreItem xmlns:ds="http://schemas.openxmlformats.org/officeDocument/2006/customXml" ds:itemID="{308985F8-6B75-4B14-A9A4-8902C464FC7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ea5d932-94e3-47a8-9424-187ff5b6c338"/>
    <ds:schemaRef ds:uri="811803e2-254a-4f2e-9c72-4fa1e191475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Start</vt:lpstr>
      <vt:lpstr>PASS</vt:lpstr>
      <vt:lpstr>Authorisation</vt:lpstr>
      <vt:lpstr>Cover</vt:lpstr>
      <vt:lpstr>Picking Slip</vt:lpstr>
      <vt:lpstr>A-Series</vt:lpstr>
      <vt:lpstr>Marking Stations</vt:lpstr>
      <vt:lpstr>Spares Parts</vt:lpstr>
      <vt:lpstr>Install Guide</vt:lpstr>
      <vt:lpstr>CP</vt:lpstr>
      <vt:lpstr>PASSS</vt:lpstr>
      <vt:lpstr>Account</vt:lpstr>
      <vt:lpstr>Address1</vt:lpstr>
      <vt:lpstr>Email</vt:lpstr>
      <vt:lpstr>EntSft</vt:lpstr>
      <vt:lpstr>EntSftH</vt:lpstr>
      <vt:lpstr>erp_code</vt:lpstr>
      <vt:lpstr>ExpressSft</vt:lpstr>
      <vt:lpstr>ExpressSftH</vt:lpstr>
      <vt:lpstr>HStation</vt:lpstr>
      <vt:lpstr>HStationH</vt:lpstr>
      <vt:lpstr>JobTitle</vt:lpstr>
      <vt:lpstr>MControl</vt:lpstr>
      <vt:lpstr>MControlH</vt:lpstr>
      <vt:lpstr>Phone</vt:lpstr>
      <vt:lpstr>PrimaryContact</vt:lpstr>
      <vt:lpstr>'A-Series'!Print_Area</vt:lpstr>
      <vt:lpstr>Authorisation!Print_Area</vt:lpstr>
      <vt:lpstr>Cover!Print_Area</vt:lpstr>
      <vt:lpstr>'Marking Stations'!Print_Area</vt:lpstr>
      <vt:lpstr>PASS!Print_Area</vt:lpstr>
      <vt:lpstr>'Picking Slip'!Print_Area</vt:lpstr>
      <vt:lpstr>'Spares Parts'!Print_Area</vt:lpstr>
      <vt:lpstr>Quote</vt:lpstr>
      <vt:lpstr>QuoteNumber</vt:lpstr>
      <vt:lpstr>Salesman</vt:lpstr>
      <vt:lpstr>Topic</vt:lpstr>
    </vt:vector>
  </TitlesOfParts>
  <Company>Matthews Australasia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Trent Munro</dc:creator>
  <cp:lastModifiedBy>Danuja Chandrasena</cp:lastModifiedBy>
  <cp:lastPrinted>2018-02-02T02:02:11Z</cp:lastPrinted>
  <dcterms:created xsi:type="dcterms:W3CDTF">2008-03-20T00:05:27Z</dcterms:created>
  <dcterms:modified xsi:type="dcterms:W3CDTF">2020-08-05T04:50:50Z</dcterms:modified>
  <cp:category>Autolabel v9.0</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0x010100A4DE81A1BD882643BDF117F07BE0FECF</vt:lpwstr>
  </property>
  <property fmtid="{D5CDD505-2E9C-101B-9397-08002B2CF9AE}" pid="3" name="Order">
    <vt:r8>4108300</vt:r8>
  </property>
</Properties>
</file>