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ctrlProps/ctrlProp30.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D:\Testing Projects\Projects\OnlineBOM\"/>
    </mc:Choice>
  </mc:AlternateContent>
  <xr:revisionPtr revIDLastSave="0" documentId="8_{0296A2F4-0B86-4E33-8834-F2F90A96767E}" xr6:coauthVersionLast="45" xr6:coauthVersionMax="45" xr10:uidLastSave="{00000000-0000-0000-0000-000000000000}"/>
  <bookViews>
    <workbookView xWindow="-120" yWindow="-120" windowWidth="29040" windowHeight="15840" activeTab="14" xr2:uid="{00000000-000D-0000-FFFF-FFFF00000000}"/>
  </bookViews>
  <sheets>
    <sheet name="Start" sheetId="4" r:id="rId1"/>
    <sheet name="Cover" sheetId="8" r:id="rId2"/>
    <sheet name="PASS" sheetId="12" state="veryHidden" r:id="rId3"/>
    <sheet name="PASS " sheetId="26" r:id="rId4"/>
    <sheet name="Authorisation" sheetId="22" r:id="rId5"/>
    <sheet name="PickingSlip" sheetId="28" r:id="rId6"/>
    <sheet name="Finance" sheetId="25" state="hidden" r:id="rId7"/>
    <sheet name="CJ400" sheetId="16" state="hidden" r:id="rId8"/>
    <sheet name="4900" sheetId="9" state="hidden" r:id="rId9"/>
    <sheet name="5900" sheetId="21" state="hidden" r:id="rId10"/>
    <sheet name="7900" sheetId="17" r:id="rId11"/>
    <sheet name="Install Guide" sheetId="7" state="veryHidden" r:id="rId12"/>
    <sheet name="IJ600 OLD" sheetId="1" state="veryHidden" r:id="rId13"/>
    <sheet name="S" sheetId="14" state="veryHidden" r:id="rId14"/>
    <sheet name="8900" sheetId="27" r:id="rId15"/>
    <sheet name="Consumables" sheetId="30" r:id="rId16"/>
    <sheet name="PE" sheetId="20" r:id="rId17"/>
    <sheet name="CP" sheetId="13" state="hidden" r:id="rId18"/>
    <sheet name="SSSS" sheetId="15" state="veryHidden" r:id="rId19"/>
    <sheet name="Install" sheetId="23" r:id="rId20"/>
  </sheets>
  <definedNames>
    <definedName name="_xlnm._FilterDatabase" localSheetId="8" hidden="1">'4900'!$E$8:$E$9</definedName>
    <definedName name="_xlnm._FilterDatabase" localSheetId="9" hidden="1">'5900'!$D$15:$I$19</definedName>
    <definedName name="_xlnm._FilterDatabase" localSheetId="10" hidden="1">'7900'!$D$15:$I$19</definedName>
    <definedName name="_xlnm._FilterDatabase" localSheetId="14" hidden="1">'8900'!$C$142:$I$144</definedName>
    <definedName name="_xlnm._FilterDatabase" localSheetId="7" hidden="1">'CJ400'!$C$38:$H$39</definedName>
    <definedName name="_xlnm._FilterDatabase" localSheetId="18" hidden="1">SSSS!$B$5:$F$285</definedName>
    <definedName name="Account">Cover!$D$14</definedName>
    <definedName name="Address1">Cover!$E$38</definedName>
    <definedName name="Email">Cover!$E$43</definedName>
    <definedName name="erp_code">Cover!$E$36</definedName>
    <definedName name="JobTitle">Cover!$E$41</definedName>
    <definedName name="Lists">S!$N$17:$T$791</definedName>
    <definedName name="Phone">Cover!$E$42</definedName>
    <definedName name="PrimaryContact">Cover!$E$39</definedName>
    <definedName name="_xlnm.Print_Area" localSheetId="8">'4900'!$B$4:$I$144</definedName>
    <definedName name="_xlnm.Print_Area" localSheetId="9">'5900'!$B$4:$J$181</definedName>
    <definedName name="_xlnm.Print_Area" localSheetId="10">'7900'!$B$4:$J$193</definedName>
    <definedName name="_xlnm.Print_Area" localSheetId="14">'8900'!$B$4:$J$219</definedName>
    <definedName name="_xlnm.Print_Area" localSheetId="7">'CJ400'!$B$4:$I$172</definedName>
    <definedName name="_xlnm.Print_Area" localSheetId="1">Cover!$B$4:$G$176</definedName>
    <definedName name="_xlnm.Print_Area" localSheetId="12">'IJ600 OLD'!$A$1:$G$55</definedName>
    <definedName name="_xlnm.Print_Area" localSheetId="11">'Install Guide'!$B$3:$O$78</definedName>
    <definedName name="_xlnm.Print_Area" localSheetId="2">PASS!$C$5:$AA$270</definedName>
    <definedName name="_xlnm.Print_Area" localSheetId="3">'PASS '!$B$3:$K$100</definedName>
    <definedName name="_xlnm.Print_Titles" localSheetId="16">PE!$1:$3</definedName>
    <definedName name="Quote">Cover!$D$17</definedName>
    <definedName name="QuoteNumber">Start!$I$31</definedName>
    <definedName name="Salesman">Cover!$D$13</definedName>
    <definedName name="Topic">Start!$E$29</definedName>
  </definedNames>
  <calcPr calcId="191029"/>
  <pivotCaches>
    <pivotCache cacheId="2" r:id="rId2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1" i="8" l="1"/>
  <c r="E120" i="8"/>
  <c r="E119" i="8"/>
  <c r="G329" i="27" l="1"/>
  <c r="F313" i="27"/>
  <c r="F314" i="27"/>
  <c r="G314" i="27" s="1"/>
  <c r="F315" i="27"/>
  <c r="F316" i="27"/>
  <c r="G316" i="27" s="1"/>
  <c r="F317" i="27"/>
  <c r="G317" i="27" s="1"/>
  <c r="F318" i="27"/>
  <c r="G318" i="27" s="1"/>
  <c r="F319" i="27"/>
  <c r="G319" i="27" s="1"/>
  <c r="F320" i="27"/>
  <c r="G320" i="27" s="1"/>
  <c r="F321" i="27"/>
  <c r="G321" i="27" s="1"/>
  <c r="F322" i="27"/>
  <c r="G322" i="27" s="1"/>
  <c r="F326" i="27"/>
  <c r="G326" i="27" s="1"/>
  <c r="F327" i="27"/>
  <c r="G327" i="27" s="1"/>
  <c r="F329" i="27"/>
  <c r="F330" i="27"/>
  <c r="G330" i="27" s="1"/>
  <c r="F331" i="27"/>
  <c r="G331" i="27" s="1"/>
  <c r="F332" i="27"/>
  <c r="G332" i="27" s="1"/>
  <c r="F333" i="27"/>
  <c r="G333" i="27" s="1"/>
  <c r="F334" i="27"/>
  <c r="G334" i="27" s="1"/>
  <c r="F335" i="27"/>
  <c r="G335" i="27" s="1"/>
  <c r="F336" i="27"/>
  <c r="G336" i="27" s="1"/>
  <c r="D314" i="27"/>
  <c r="D320" i="27"/>
  <c r="D321" i="27"/>
  <c r="D325" i="27"/>
  <c r="D326" i="27"/>
  <c r="D329" i="27"/>
  <c r="D334" i="27"/>
  <c r="C313" i="27"/>
  <c r="E313" i="27" s="1"/>
  <c r="C314" i="27"/>
  <c r="E314" i="27" s="1"/>
  <c r="C315" i="27"/>
  <c r="E315" i="27" s="1"/>
  <c r="C316" i="27"/>
  <c r="E316" i="27" s="1"/>
  <c r="C317" i="27"/>
  <c r="E317" i="27" s="1"/>
  <c r="C318" i="27"/>
  <c r="E318" i="27" s="1"/>
  <c r="C319" i="27"/>
  <c r="E319" i="27" s="1"/>
  <c r="C320" i="27"/>
  <c r="E320" i="27" s="1"/>
  <c r="C321" i="27"/>
  <c r="E321" i="27" s="1"/>
  <c r="C322" i="27"/>
  <c r="E322" i="27" s="1"/>
  <c r="C323" i="27"/>
  <c r="E323" i="27" s="1"/>
  <c r="C324" i="27"/>
  <c r="E324" i="27" s="1"/>
  <c r="C325" i="27"/>
  <c r="E325" i="27" s="1"/>
  <c r="C326" i="27"/>
  <c r="E326" i="27" s="1"/>
  <c r="C327" i="27"/>
  <c r="E327" i="27" s="1"/>
  <c r="C328" i="27"/>
  <c r="E328" i="27" s="1"/>
  <c r="C329" i="27"/>
  <c r="E329" i="27" s="1"/>
  <c r="C330" i="27"/>
  <c r="E330" i="27" s="1"/>
  <c r="C331" i="27"/>
  <c r="E331" i="27" s="1"/>
  <c r="C332" i="27"/>
  <c r="E332" i="27" s="1"/>
  <c r="C333" i="27"/>
  <c r="E333" i="27" s="1"/>
  <c r="C334" i="27"/>
  <c r="E334" i="27" s="1"/>
  <c r="C335" i="27"/>
  <c r="E335" i="27" s="1"/>
  <c r="C336" i="27"/>
  <c r="E336" i="27" s="1"/>
  <c r="AQ37" i="27"/>
  <c r="Z37" i="27"/>
  <c r="AC37" i="27" s="1"/>
  <c r="Y37" i="27"/>
  <c r="V37" i="27" s="1"/>
  <c r="H37" i="27"/>
  <c r="I37" i="27" s="1"/>
  <c r="E37" i="27"/>
  <c r="X37" i="27" s="1"/>
  <c r="D37" i="27"/>
  <c r="W37" i="27" s="1"/>
  <c r="AQ35" i="27"/>
  <c r="Z35" i="27"/>
  <c r="AC35" i="27" s="1"/>
  <c r="Y35" i="27"/>
  <c r="V35" i="27" s="1"/>
  <c r="H35" i="27"/>
  <c r="I35" i="27" s="1"/>
  <c r="E35" i="27"/>
  <c r="X35" i="27" s="1"/>
  <c r="D35" i="27"/>
  <c r="W35" i="27" s="1"/>
  <c r="AQ23" i="27"/>
  <c r="Z23" i="27"/>
  <c r="AC23" i="27" s="1"/>
  <c r="Y23" i="27"/>
  <c r="V23" i="27" s="1"/>
  <c r="S23" i="27"/>
  <c r="L23" i="27"/>
  <c r="H23" i="27"/>
  <c r="I23" i="27" s="1"/>
  <c r="E23" i="27"/>
  <c r="X23" i="27" s="1"/>
  <c r="D23" i="27"/>
  <c r="W23" i="27" s="1"/>
  <c r="AQ22" i="27"/>
  <c r="Z22" i="27"/>
  <c r="AC22" i="27" s="1"/>
  <c r="Y22" i="27"/>
  <c r="V22" i="27" s="1"/>
  <c r="S22" i="27"/>
  <c r="L22" i="27"/>
  <c r="H22" i="27"/>
  <c r="I22" i="27" s="1"/>
  <c r="E22" i="27"/>
  <c r="X22" i="27" s="1"/>
  <c r="D22" i="27"/>
  <c r="W22" i="27" s="1"/>
  <c r="AQ20" i="27"/>
  <c r="Z20" i="27"/>
  <c r="AC20" i="27" s="1"/>
  <c r="Y20" i="27"/>
  <c r="V20" i="27" s="1"/>
  <c r="S20" i="27"/>
  <c r="L20" i="27"/>
  <c r="H20" i="27"/>
  <c r="I20" i="27" s="1"/>
  <c r="E20" i="27"/>
  <c r="X20" i="27" s="1"/>
  <c r="D20" i="27"/>
  <c r="W20" i="27" s="1"/>
  <c r="D318" i="27" l="1"/>
  <c r="F118" i="8"/>
  <c r="D333" i="27"/>
  <c r="E114" i="8"/>
  <c r="E116" i="8"/>
  <c r="D316" i="27"/>
  <c r="E117" i="8"/>
  <c r="D331" i="27"/>
  <c r="D319" i="27"/>
  <c r="E115" i="8"/>
  <c r="E118" i="8"/>
  <c r="G313" i="27"/>
  <c r="AA37" i="27"/>
  <c r="AA35" i="27"/>
  <c r="AA23" i="27"/>
  <c r="AA22" i="27"/>
  <c r="AA20" i="27"/>
  <c r="F305" i="27"/>
  <c r="F304" i="27"/>
  <c r="F308" i="27"/>
  <c r="F307" i="27"/>
  <c r="F306" i="27"/>
  <c r="F303" i="27"/>
  <c r="F302" i="27"/>
  <c r="F301" i="27"/>
  <c r="F300" i="27"/>
  <c r="F299" i="27"/>
  <c r="F298" i="27"/>
  <c r="F297" i="27"/>
  <c r="F296" i="27"/>
  <c r="F295" i="27"/>
  <c r="F294" i="27"/>
  <c r="F293" i="27"/>
  <c r="F292" i="27"/>
  <c r="F291" i="27"/>
  <c r="F290" i="27"/>
  <c r="D283" i="27" l="1"/>
  <c r="I422" i="27"/>
  <c r="I421" i="27"/>
  <c r="G47" i="27" l="1"/>
  <c r="G64" i="27"/>
  <c r="G71" i="27" s="1"/>
  <c r="AQ40" i="27"/>
  <c r="Z40" i="27"/>
  <c r="AC40" i="27" s="1"/>
  <c r="Y40" i="27"/>
  <c r="V40" i="27" s="1"/>
  <c r="H40" i="27"/>
  <c r="I40" i="27" s="1"/>
  <c r="E40" i="27"/>
  <c r="D40" i="27"/>
  <c r="W40" i="27" s="1"/>
  <c r="AQ39" i="27"/>
  <c r="Z39" i="27"/>
  <c r="AC39" i="27" s="1"/>
  <c r="Y39" i="27"/>
  <c r="V39" i="27" s="1"/>
  <c r="H39" i="27"/>
  <c r="I39" i="27" s="1"/>
  <c r="E39" i="27"/>
  <c r="D39" i="27"/>
  <c r="W39" i="27" s="1"/>
  <c r="AQ36" i="27"/>
  <c r="Z36" i="27"/>
  <c r="AC36" i="27" s="1"/>
  <c r="Y36" i="27"/>
  <c r="V36" i="27" s="1"/>
  <c r="H36" i="27"/>
  <c r="I36" i="27" s="1"/>
  <c r="E36" i="27"/>
  <c r="D36" i="27"/>
  <c r="W36" i="27" s="1"/>
  <c r="AQ21" i="27"/>
  <c r="Z21" i="27"/>
  <c r="AC21" i="27" s="1"/>
  <c r="Y21" i="27"/>
  <c r="V21" i="27" s="1"/>
  <c r="S21" i="27"/>
  <c r="L21" i="27"/>
  <c r="H21" i="27"/>
  <c r="I21" i="27" s="1"/>
  <c r="E21" i="27"/>
  <c r="D21" i="27"/>
  <c r="W21" i="27" s="1"/>
  <c r="X36" i="27" l="1"/>
  <c r="D332" i="27"/>
  <c r="X40" i="27"/>
  <c r="D336" i="27"/>
  <c r="X39" i="27"/>
  <c r="D335" i="27"/>
  <c r="X21" i="27"/>
  <c r="D317" i="27"/>
  <c r="AA40" i="27"/>
  <c r="AA39" i="27"/>
  <c r="AA36" i="27"/>
  <c r="AA21" i="27"/>
  <c r="I412" i="27"/>
  <c r="G131" i="27" l="1"/>
  <c r="G151" i="27" l="1"/>
  <c r="G150" i="27"/>
  <c r="G149" i="27"/>
  <c r="H149" i="27" s="1"/>
  <c r="G132" i="27" l="1"/>
  <c r="AC173" i="27" l="1"/>
  <c r="AC172" i="27"/>
  <c r="AC171" i="27"/>
  <c r="AC170" i="27"/>
  <c r="AC169" i="27"/>
  <c r="AC167" i="27"/>
  <c r="AC166" i="27"/>
  <c r="AC162" i="27"/>
  <c r="AC161" i="27"/>
  <c r="AC160" i="27"/>
  <c r="AC159" i="27"/>
  <c r="AC158" i="27"/>
  <c r="AC157" i="27"/>
  <c r="AC152" i="27"/>
  <c r="AC147" i="27"/>
  <c r="AC143" i="27"/>
  <c r="AC142" i="27"/>
  <c r="AC141" i="27"/>
  <c r="AC140" i="27"/>
  <c r="AC139" i="27"/>
  <c r="AC138" i="27"/>
  <c r="AC137" i="27"/>
  <c r="AC136" i="27"/>
  <c r="AC135" i="27"/>
  <c r="AC133" i="27"/>
  <c r="AC130" i="27"/>
  <c r="AC124" i="27"/>
  <c r="AC121" i="27"/>
  <c r="AC120" i="27"/>
  <c r="AC119" i="27"/>
  <c r="AC118" i="27"/>
  <c r="AC117" i="27"/>
  <c r="AC116" i="27"/>
  <c r="AC115" i="27"/>
  <c r="AC114" i="27"/>
  <c r="AC113" i="27"/>
  <c r="AC109" i="27"/>
  <c r="AC108" i="27"/>
  <c r="AC107" i="27"/>
  <c r="AC105" i="27"/>
  <c r="AC102" i="27"/>
  <c r="AC98" i="27"/>
  <c r="AC95" i="27"/>
  <c r="AC94" i="27"/>
  <c r="AC93" i="27"/>
  <c r="AC90" i="27"/>
  <c r="AC88" i="27"/>
  <c r="AC87" i="27"/>
  <c r="AC86" i="27"/>
  <c r="AC85" i="27"/>
  <c r="AC84" i="27"/>
  <c r="AC83" i="27"/>
  <c r="AC76" i="27"/>
  <c r="AC72" i="27"/>
  <c r="AC68" i="27"/>
  <c r="AC66" i="27"/>
  <c r="AC65" i="27"/>
  <c r="AC63" i="27"/>
  <c r="AC62" i="27"/>
  <c r="AC61" i="27"/>
  <c r="AC60" i="27"/>
  <c r="AC59" i="27"/>
  <c r="AC58" i="27"/>
  <c r="AC56" i="27"/>
  <c r="AC50" i="27"/>
  <c r="AC49" i="27"/>
  <c r="AC46" i="27"/>
  <c r="AC45" i="27"/>
  <c r="AC44" i="27"/>
  <c r="AC43" i="27"/>
  <c r="AC42" i="27"/>
  <c r="AC41" i="27"/>
  <c r="AC33" i="27"/>
  <c r="AC32" i="27"/>
  <c r="AC31" i="27"/>
  <c r="AC30" i="27"/>
  <c r="AC29" i="27"/>
  <c r="AC28" i="27"/>
  <c r="AC27" i="27"/>
  <c r="AC26" i="27"/>
  <c r="AC25" i="27"/>
  <c r="AC24" i="27"/>
  <c r="AC18" i="27"/>
  <c r="G219" i="17"/>
  <c r="F248" i="27"/>
  <c r="U188" i="27"/>
  <c r="U187" i="27"/>
  <c r="U186" i="27"/>
  <c r="U185" i="27"/>
  <c r="U184" i="27"/>
  <c r="U183" i="27"/>
  <c r="U182" i="27"/>
  <c r="U181" i="27"/>
  <c r="U180" i="27"/>
  <c r="U179" i="27"/>
  <c r="U178" i="27"/>
  <c r="U177" i="27"/>
  <c r="U176" i="27"/>
  <c r="U175" i="27"/>
  <c r="U174" i="27"/>
  <c r="Z188" i="27"/>
  <c r="AC188" i="27" s="1"/>
  <c r="Z187" i="27"/>
  <c r="AC187" i="27" s="1"/>
  <c r="Z186" i="27"/>
  <c r="AC186" i="27" s="1"/>
  <c r="Z185" i="27"/>
  <c r="AC185" i="27" s="1"/>
  <c r="Z184" i="27"/>
  <c r="AC184" i="27" s="1"/>
  <c r="Z183" i="27"/>
  <c r="AC183" i="27" s="1"/>
  <c r="Z182" i="27"/>
  <c r="AC182" i="27" s="1"/>
  <c r="Z181" i="27"/>
  <c r="AC181" i="27" s="1"/>
  <c r="Z180" i="27"/>
  <c r="AC180" i="27" s="1"/>
  <c r="Z179" i="27"/>
  <c r="AC179" i="27" s="1"/>
  <c r="Z178" i="27"/>
  <c r="AC178" i="27" s="1"/>
  <c r="Z177" i="27"/>
  <c r="AC177" i="27" s="1"/>
  <c r="Z176" i="27"/>
  <c r="AC176" i="27" s="1"/>
  <c r="Z175" i="27"/>
  <c r="AC175" i="27" s="1"/>
  <c r="Z174" i="27"/>
  <c r="AC174" i="27" s="1"/>
  <c r="X188" i="27"/>
  <c r="X187" i="27"/>
  <c r="X186" i="27"/>
  <c r="X185" i="27"/>
  <c r="X184" i="27"/>
  <c r="X183" i="27"/>
  <c r="X182" i="27"/>
  <c r="X181" i="27"/>
  <c r="X180" i="27"/>
  <c r="X179" i="27"/>
  <c r="X178" i="27"/>
  <c r="X177" i="27"/>
  <c r="X176" i="27"/>
  <c r="X175" i="27"/>
  <c r="X174" i="27"/>
  <c r="Y168" i="27"/>
  <c r="Z165" i="27"/>
  <c r="AC165" i="27" s="1"/>
  <c r="Z164" i="27"/>
  <c r="AC164" i="27" s="1"/>
  <c r="Z163" i="27"/>
  <c r="AC163" i="27" s="1"/>
  <c r="Y163" i="27"/>
  <c r="Y156" i="27"/>
  <c r="Y155" i="27"/>
  <c r="Y154" i="27"/>
  <c r="AB153" i="27"/>
  <c r="AA153" i="27"/>
  <c r="Y153" i="27"/>
  <c r="X153" i="27"/>
  <c r="W153" i="27"/>
  <c r="Z149" i="27"/>
  <c r="AC149" i="27" s="1"/>
  <c r="Y149" i="27"/>
  <c r="Y144" i="27"/>
  <c r="Z134" i="27"/>
  <c r="AC134" i="27" s="1"/>
  <c r="Y134" i="27"/>
  <c r="X134" i="27"/>
  <c r="W134" i="27"/>
  <c r="AB132" i="27"/>
  <c r="AA132" i="27"/>
  <c r="Z132" i="27"/>
  <c r="AC132" i="27" s="1"/>
  <c r="Y132" i="27"/>
  <c r="X132" i="27"/>
  <c r="W132" i="27"/>
  <c r="AA131" i="27"/>
  <c r="Y131" i="27"/>
  <c r="X131" i="27"/>
  <c r="W131" i="27"/>
  <c r="Z129" i="27"/>
  <c r="AC129" i="27" s="1"/>
  <c r="Y129" i="27"/>
  <c r="X129" i="27"/>
  <c r="W129" i="27"/>
  <c r="Z128" i="27"/>
  <c r="AC128" i="27" s="1"/>
  <c r="Y128" i="27"/>
  <c r="X128" i="27"/>
  <c r="W128" i="27"/>
  <c r="Z127" i="27"/>
  <c r="AC127" i="27" s="1"/>
  <c r="Y127" i="27"/>
  <c r="X127" i="27"/>
  <c r="W127" i="27"/>
  <c r="Z126" i="27"/>
  <c r="AC126" i="27" s="1"/>
  <c r="Y126" i="27"/>
  <c r="X126" i="27"/>
  <c r="W126" i="27"/>
  <c r="Z125" i="27"/>
  <c r="AC125" i="27" s="1"/>
  <c r="Y125" i="27"/>
  <c r="X125" i="27"/>
  <c r="W125" i="27"/>
  <c r="Z123" i="27"/>
  <c r="AC123" i="27" s="1"/>
  <c r="Y123" i="27"/>
  <c r="X123" i="27"/>
  <c r="W123" i="27"/>
  <c r="Y122" i="27"/>
  <c r="X122" i="27"/>
  <c r="Z112" i="27"/>
  <c r="AC112" i="27" s="1"/>
  <c r="Y112" i="27"/>
  <c r="Z111" i="27"/>
  <c r="AC111" i="27" s="1"/>
  <c r="Y111" i="27"/>
  <c r="Z110" i="27"/>
  <c r="AC110" i="27" s="1"/>
  <c r="Y110" i="27"/>
  <c r="Z106" i="27"/>
  <c r="AC106" i="27" s="1"/>
  <c r="Y106" i="27"/>
  <c r="Z104" i="27"/>
  <c r="AC104" i="27" s="1"/>
  <c r="Y104" i="27"/>
  <c r="Y103" i="27"/>
  <c r="Z101" i="27"/>
  <c r="AC101" i="27" s="1"/>
  <c r="Y101" i="27"/>
  <c r="Z100" i="27"/>
  <c r="AC100" i="27" s="1"/>
  <c r="Y100" i="27"/>
  <c r="Y99" i="27"/>
  <c r="Y97" i="27"/>
  <c r="Z96" i="27"/>
  <c r="AC96" i="27" s="1"/>
  <c r="Y96" i="27"/>
  <c r="Z92" i="27"/>
  <c r="AC92" i="27" s="1"/>
  <c r="Y92" i="27"/>
  <c r="Z91" i="27"/>
  <c r="AC91" i="27" s="1"/>
  <c r="Y91" i="27"/>
  <c r="Z89" i="27"/>
  <c r="AC89" i="27" s="1"/>
  <c r="Y89" i="27"/>
  <c r="Z82" i="27"/>
  <c r="AC82" i="27" s="1"/>
  <c r="Y82" i="27"/>
  <c r="Z81" i="27"/>
  <c r="AC81" i="27" s="1"/>
  <c r="Y81" i="27"/>
  <c r="Z80" i="27"/>
  <c r="AC80" i="27" s="1"/>
  <c r="Y80" i="27"/>
  <c r="X80" i="27"/>
  <c r="W80" i="27"/>
  <c r="Z79" i="27"/>
  <c r="AC79" i="27" s="1"/>
  <c r="Y79" i="27"/>
  <c r="Z78" i="27"/>
  <c r="AC78" i="27" s="1"/>
  <c r="Y78" i="27"/>
  <c r="Z77" i="27"/>
  <c r="AC77" i="27" s="1"/>
  <c r="Y77" i="27"/>
  <c r="Z75" i="27"/>
  <c r="AC75" i="27" s="1"/>
  <c r="Y75" i="27"/>
  <c r="Z74" i="27"/>
  <c r="AC74" i="27" s="1"/>
  <c r="Y74" i="27"/>
  <c r="Y73" i="27"/>
  <c r="Y71" i="27"/>
  <c r="Y70" i="27"/>
  <c r="Y69" i="27"/>
  <c r="Z67" i="27"/>
  <c r="AC67" i="27" s="1"/>
  <c r="Y67" i="27"/>
  <c r="X67" i="27"/>
  <c r="W67" i="27"/>
  <c r="Y64" i="27"/>
  <c r="Z57" i="27"/>
  <c r="AC57" i="27" s="1"/>
  <c r="Y57" i="27"/>
  <c r="Z55" i="27"/>
  <c r="AC55" i="27" s="1"/>
  <c r="Y55" i="27"/>
  <c r="Y54" i="27"/>
  <c r="Y53" i="27"/>
  <c r="Y52" i="27"/>
  <c r="Y51" i="27"/>
  <c r="Y48" i="27"/>
  <c r="Y47" i="27"/>
  <c r="Z34" i="27"/>
  <c r="AC34" i="27" s="1"/>
  <c r="Y34" i="27"/>
  <c r="V34" i="27" s="1"/>
  <c r="Z19" i="27"/>
  <c r="AC19" i="27" s="1"/>
  <c r="Y19" i="27"/>
  <c r="V19" i="27" s="1"/>
  <c r="Z17" i="27"/>
  <c r="AC17" i="27" s="1"/>
  <c r="Y17" i="27"/>
  <c r="V17" i="27" s="1"/>
  <c r="F247" i="27" l="1"/>
  <c r="F244" i="27"/>
  <c r="F245" i="27"/>
  <c r="F246" i="27"/>
  <c r="E246" i="27"/>
  <c r="F134" i="8" s="1"/>
  <c r="F242" i="27"/>
  <c r="F243" i="27"/>
  <c r="E247" i="27"/>
  <c r="F135" i="8" s="1"/>
  <c r="E244" i="27"/>
  <c r="F132" i="8" s="1"/>
  <c r="E62" i="8" l="1"/>
  <c r="C152" i="8"/>
  <c r="H111" i="27" l="1"/>
  <c r="I111" i="27" s="1"/>
  <c r="E111" i="27"/>
  <c r="X111" i="27" s="1"/>
  <c r="D111" i="27"/>
  <c r="W111" i="27" s="1"/>
  <c r="AA111" i="27" l="1"/>
  <c r="AB111" i="27"/>
  <c r="E28" i="8"/>
  <c r="D29" i="8"/>
  <c r="G97" i="27" l="1"/>
  <c r="E97" i="27"/>
  <c r="X97" i="27" s="1"/>
  <c r="D97" i="27"/>
  <c r="W97" i="27" s="1"/>
  <c r="H97" i="27" l="1"/>
  <c r="I97" i="27" s="1"/>
  <c r="AA97" i="27" s="1"/>
  <c r="Z97" i="27"/>
  <c r="AC97" i="27" s="1"/>
  <c r="AQ42" i="27"/>
  <c r="AQ41" i="27"/>
  <c r="AQ34" i="27"/>
  <c r="AQ33" i="27"/>
  <c r="AQ32" i="27"/>
  <c r="AQ31" i="27"/>
  <c r="AQ30" i="27"/>
  <c r="AQ29" i="27"/>
  <c r="AQ28" i="27"/>
  <c r="AQ27" i="27"/>
  <c r="AQ26" i="27"/>
  <c r="AQ25" i="27"/>
  <c r="AQ24" i="27"/>
  <c r="AQ19" i="27"/>
  <c r="AQ18" i="27"/>
  <c r="AQ17" i="27"/>
  <c r="G308" i="27"/>
  <c r="G307" i="27"/>
  <c r="G303" i="27"/>
  <c r="G302" i="27"/>
  <c r="G300" i="27"/>
  <c r="G299" i="27"/>
  <c r="G296" i="27"/>
  <c r="G295" i="27"/>
  <c r="G292" i="27"/>
  <c r="C174" i="27"/>
  <c r="Z168" i="27"/>
  <c r="AC168" i="27" s="1"/>
  <c r="I128" i="27"/>
  <c r="I126" i="27"/>
  <c r="H125" i="27"/>
  <c r="I125" i="27" s="1"/>
  <c r="AB97" i="27" l="1"/>
  <c r="AA126" i="27"/>
  <c r="AB126" i="27"/>
  <c r="AA128" i="27"/>
  <c r="AB128" i="27"/>
  <c r="AB125" i="27"/>
  <c r="AA125" i="27"/>
  <c r="G306" i="27"/>
  <c r="G293" i="27"/>
  <c r="G294" i="27"/>
  <c r="G297" i="27"/>
  <c r="Z145" i="27" l="1"/>
  <c r="AC145" i="27" s="1"/>
  <c r="Z144" i="27"/>
  <c r="AC144" i="27" s="1"/>
  <c r="G156" i="27" l="1"/>
  <c r="Z156" i="27" s="1"/>
  <c r="AC156" i="27" s="1"/>
  <c r="Z153" i="27"/>
  <c r="AC153" i="27" s="1"/>
  <c r="G52" i="17"/>
  <c r="H101" i="27" l="1"/>
  <c r="I101" i="27" s="1"/>
  <c r="H100" i="27"/>
  <c r="I100" i="27" s="1"/>
  <c r="AA100" i="27" l="1"/>
  <c r="AB100" i="27"/>
  <c r="AA101" i="27"/>
  <c r="AB101" i="27"/>
  <c r="F283" i="27"/>
  <c r="H283" i="27" s="1"/>
  <c r="G283" i="27"/>
  <c r="G284" i="27"/>
  <c r="D284" i="27"/>
  <c r="F284" i="27" s="1"/>
  <c r="G154" i="27"/>
  <c r="E34" i="27"/>
  <c r="D34" i="27"/>
  <c r="W34" i="27" s="1"/>
  <c r="H34" i="27"/>
  <c r="I34" i="27" s="1"/>
  <c r="E232" i="27"/>
  <c r="E156" i="27"/>
  <c r="X156" i="27" s="1"/>
  <c r="D156" i="27"/>
  <c r="W156" i="27" s="1"/>
  <c r="E155" i="27"/>
  <c r="X155" i="27" s="1"/>
  <c r="D155" i="27"/>
  <c r="W155" i="27" s="1"/>
  <c r="E154" i="27"/>
  <c r="X154" i="27" s="1"/>
  <c r="D154" i="27"/>
  <c r="W154" i="27" s="1"/>
  <c r="Z150" i="27"/>
  <c r="AC150" i="27" s="1"/>
  <c r="E101" i="27"/>
  <c r="X101" i="27" s="1"/>
  <c r="D101" i="27"/>
  <c r="W101" i="27" s="1"/>
  <c r="E100" i="27"/>
  <c r="X100" i="27" s="1"/>
  <c r="D100" i="27"/>
  <c r="W100" i="27" s="1"/>
  <c r="H106" i="27"/>
  <c r="I106" i="27" s="1"/>
  <c r="E106" i="27"/>
  <c r="X106" i="27" s="1"/>
  <c r="D106" i="27"/>
  <c r="W106" i="27" s="1"/>
  <c r="D99" i="27"/>
  <c r="W99" i="27" s="1"/>
  <c r="E99" i="27"/>
  <c r="X99" i="27" s="1"/>
  <c r="G99" i="27"/>
  <c r="D96" i="27"/>
  <c r="W96" i="27" s="1"/>
  <c r="E96" i="27"/>
  <c r="X96" i="27" s="1"/>
  <c r="H96" i="27"/>
  <c r="I96" i="27" s="1"/>
  <c r="I107" i="17"/>
  <c r="E176" i="17" s="1"/>
  <c r="F165" i="27"/>
  <c r="F146" i="27"/>
  <c r="F164" i="27"/>
  <c r="D144" i="27"/>
  <c r="W144" i="27" s="1"/>
  <c r="E144" i="27"/>
  <c r="X144" i="27" s="1"/>
  <c r="H144" i="27"/>
  <c r="I144" i="27" s="1"/>
  <c r="J50" i="26"/>
  <c r="G218" i="17"/>
  <c r="G217" i="17"/>
  <c r="H217" i="17" s="1"/>
  <c r="D218" i="17"/>
  <c r="F218" i="17" s="1"/>
  <c r="D217" i="17"/>
  <c r="F217" i="17" s="1"/>
  <c r="G282" i="27"/>
  <c r="D282" i="27"/>
  <c r="F282" i="27" s="1"/>
  <c r="H165" i="27"/>
  <c r="I165" i="27" s="1"/>
  <c r="Z151" i="27"/>
  <c r="AC151" i="27" s="1"/>
  <c r="F151" i="27"/>
  <c r="F150" i="27"/>
  <c r="F145" i="27"/>
  <c r="I177" i="27"/>
  <c r="AB177" i="27" s="1"/>
  <c r="I176" i="27"/>
  <c r="AB176" i="27" s="1"/>
  <c r="I149" i="27"/>
  <c r="I584" i="27"/>
  <c r="H584" i="27"/>
  <c r="G584" i="27"/>
  <c r="I581" i="27"/>
  <c r="H581" i="27"/>
  <c r="G581" i="27"/>
  <c r="I586" i="27"/>
  <c r="H586" i="27"/>
  <c r="D149" i="27" s="1"/>
  <c r="W149" i="27" s="1"/>
  <c r="G586" i="27"/>
  <c r="E149" i="27" s="1"/>
  <c r="X149" i="27" s="1"/>
  <c r="I579" i="27"/>
  <c r="H579" i="27"/>
  <c r="G579" i="27"/>
  <c r="H578" i="27"/>
  <c r="G578" i="27"/>
  <c r="H577" i="27"/>
  <c r="I577" i="27"/>
  <c r="G577" i="27"/>
  <c r="C153" i="8"/>
  <c r="E37" i="26"/>
  <c r="E42" i="26" s="1"/>
  <c r="E47" i="26" s="1"/>
  <c r="J47" i="26"/>
  <c r="J48" i="26" s="1"/>
  <c r="J49" i="26" s="1"/>
  <c r="J27" i="26"/>
  <c r="E48" i="26"/>
  <c r="G101" i="21"/>
  <c r="H101" i="21" s="1"/>
  <c r="I175" i="27"/>
  <c r="AB175" i="27" s="1"/>
  <c r="I178" i="27"/>
  <c r="AB178" i="27" s="1"/>
  <c r="E66" i="27"/>
  <c r="D66" i="27"/>
  <c r="G36" i="21"/>
  <c r="H36" i="21" s="1"/>
  <c r="I36" i="21" s="1"/>
  <c r="P37" i="8"/>
  <c r="G100" i="17"/>
  <c r="H100" i="17" s="1"/>
  <c r="G116" i="17"/>
  <c r="BH413" i="21"/>
  <c r="BH412" i="21"/>
  <c r="BH411" i="21"/>
  <c r="BH410" i="21"/>
  <c r="BH409" i="21"/>
  <c r="BH408" i="21"/>
  <c r="BH407" i="21"/>
  <c r="BH406" i="21"/>
  <c r="BH405" i="21"/>
  <c r="BH404" i="21"/>
  <c r="BH403" i="21"/>
  <c r="BH402" i="21"/>
  <c r="BH398" i="21"/>
  <c r="BH397" i="21"/>
  <c r="BH396" i="21"/>
  <c r="BH395" i="21"/>
  <c r="BH394" i="21"/>
  <c r="BH393" i="21"/>
  <c r="BH392" i="21"/>
  <c r="BH388" i="21"/>
  <c r="BH387" i="21"/>
  <c r="BH386" i="21"/>
  <c r="BH385" i="21"/>
  <c r="BH384" i="21"/>
  <c r="BH383" i="21"/>
  <c r="BH382" i="21"/>
  <c r="BH381" i="21"/>
  <c r="BH380" i="21"/>
  <c r="BH379" i="21"/>
  <c r="BH378" i="21"/>
  <c r="BH374" i="21"/>
  <c r="BH373" i="21"/>
  <c r="BH372" i="21"/>
  <c r="BH371" i="21"/>
  <c r="BH370" i="21"/>
  <c r="BH369" i="21"/>
  <c r="BH368" i="21"/>
  <c r="BH367" i="21"/>
  <c r="BH366" i="21"/>
  <c r="BH365" i="21"/>
  <c r="BH364" i="21"/>
  <c r="BH363" i="21"/>
  <c r="BH362" i="21"/>
  <c r="BH361" i="21"/>
  <c r="BH360" i="21"/>
  <c r="BH359" i="21"/>
  <c r="BH296" i="21"/>
  <c r="BH295" i="21"/>
  <c r="BH294" i="21"/>
  <c r="BH293" i="21"/>
  <c r="BH292" i="21"/>
  <c r="BH291" i="21"/>
  <c r="BH290" i="21"/>
  <c r="BH289" i="21"/>
  <c r="BH288" i="21"/>
  <c r="BH287" i="21"/>
  <c r="BH286" i="21"/>
  <c r="BH285" i="21"/>
  <c r="BH284" i="21"/>
  <c r="BH283" i="21"/>
  <c r="BH282" i="21"/>
  <c r="BH281" i="21"/>
  <c r="BH446" i="17"/>
  <c r="BH445" i="17"/>
  <c r="BH444" i="17"/>
  <c r="BH443" i="17"/>
  <c r="BH442" i="17"/>
  <c r="BH441" i="17"/>
  <c r="BH440" i="17"/>
  <c r="BH439" i="17"/>
  <c r="BH438" i="17"/>
  <c r="BH437" i="17"/>
  <c r="BH436" i="17"/>
  <c r="BH435" i="17"/>
  <c r="BH434" i="17"/>
  <c r="BH428" i="17"/>
  <c r="BH427" i="17"/>
  <c r="BH426" i="17"/>
  <c r="BH425" i="17"/>
  <c r="BH420" i="17"/>
  <c r="BH419" i="17"/>
  <c r="BH418" i="17"/>
  <c r="BH417" i="17"/>
  <c r="BH416" i="17"/>
  <c r="BH415" i="17"/>
  <c r="BH414" i="17"/>
  <c r="BH413" i="17"/>
  <c r="BH412" i="17"/>
  <c r="I98" i="17"/>
  <c r="I123" i="27"/>
  <c r="D107" i="27"/>
  <c r="E107" i="27"/>
  <c r="E19" i="27"/>
  <c r="D19" i="27"/>
  <c r="W19" i="27" s="1"/>
  <c r="S41" i="25"/>
  <c r="R41" i="25"/>
  <c r="Q41" i="25"/>
  <c r="P41" i="25"/>
  <c r="O41" i="25"/>
  <c r="S40" i="25"/>
  <c r="R40" i="25"/>
  <c r="Q40" i="25"/>
  <c r="P40" i="25"/>
  <c r="O40" i="25"/>
  <c r="P34" i="25"/>
  <c r="O34" i="25"/>
  <c r="Q33" i="25"/>
  <c r="O33" i="25"/>
  <c r="O32" i="25"/>
  <c r="O31" i="25"/>
  <c r="P30" i="25"/>
  <c r="O30" i="25"/>
  <c r="S27" i="25"/>
  <c r="R27" i="25"/>
  <c r="Q27" i="25"/>
  <c r="P27" i="25"/>
  <c r="O27" i="25"/>
  <c r="S26" i="25"/>
  <c r="R26" i="25"/>
  <c r="Q26" i="25"/>
  <c r="P26" i="25"/>
  <c r="O26" i="25"/>
  <c r="S25" i="25"/>
  <c r="R25" i="25"/>
  <c r="Q25" i="25"/>
  <c r="P25" i="25"/>
  <c r="O25" i="25"/>
  <c r="P33" i="25"/>
  <c r="P32" i="25"/>
  <c r="Q31" i="25"/>
  <c r="O29" i="25"/>
  <c r="T13" i="25"/>
  <c r="T12" i="25"/>
  <c r="T11" i="25"/>
  <c r="G87" i="16"/>
  <c r="H87" i="16" s="1"/>
  <c r="G58" i="17"/>
  <c r="H58" i="17" s="1"/>
  <c r="I58" i="17" s="1"/>
  <c r="G53" i="21"/>
  <c r="G59" i="21" s="1"/>
  <c r="H59" i="21" s="1"/>
  <c r="G57" i="21"/>
  <c r="H57" i="21" s="1"/>
  <c r="I57" i="21" s="1"/>
  <c r="G56" i="17"/>
  <c r="H56" i="17" s="1"/>
  <c r="I56" i="17" s="1"/>
  <c r="G60" i="17"/>
  <c r="H60" i="17" s="1"/>
  <c r="I60" i="17" s="1"/>
  <c r="Q30" i="25"/>
  <c r="S33" i="25"/>
  <c r="R33" i="25"/>
  <c r="Q34" i="25"/>
  <c r="P31" i="25"/>
  <c r="G57" i="17"/>
  <c r="H57" i="17" s="1"/>
  <c r="I57" i="17" s="1"/>
  <c r="G65" i="17"/>
  <c r="H65" i="17" s="1"/>
  <c r="I65" i="17" s="1"/>
  <c r="H113" i="27"/>
  <c r="I113" i="27" s="1"/>
  <c r="I678" i="27"/>
  <c r="I677" i="27"/>
  <c r="I676" i="27"/>
  <c r="I675" i="27"/>
  <c r="AZ659" i="27"/>
  <c r="AZ658" i="27"/>
  <c r="AZ657" i="27"/>
  <c r="E657" i="27"/>
  <c r="AZ656" i="27"/>
  <c r="AZ655" i="27"/>
  <c r="AZ654" i="27"/>
  <c r="E654" i="27"/>
  <c r="AZ653" i="27"/>
  <c r="AZ652" i="27"/>
  <c r="AZ651" i="27"/>
  <c r="E651" i="27"/>
  <c r="E652" i="27" s="1"/>
  <c r="D652" i="27" s="1"/>
  <c r="AZ650" i="27"/>
  <c r="AZ649" i="27"/>
  <c r="AZ648" i="27"/>
  <c r="E648" i="27"/>
  <c r="E650" i="27" s="1"/>
  <c r="D650" i="27" s="1"/>
  <c r="AZ647" i="27"/>
  <c r="AZ646" i="27"/>
  <c r="AZ645" i="27"/>
  <c r="AZ644" i="27"/>
  <c r="AZ643" i="27"/>
  <c r="AZ642" i="27"/>
  <c r="AZ641" i="27"/>
  <c r="AZ640" i="27"/>
  <c r="AZ639" i="27"/>
  <c r="AZ638" i="27"/>
  <c r="AZ637" i="27"/>
  <c r="AZ636" i="27"/>
  <c r="AZ635" i="27"/>
  <c r="AZ634" i="27"/>
  <c r="AZ633" i="27"/>
  <c r="AZ632" i="27"/>
  <c r="AZ631" i="27"/>
  <c r="AZ630" i="27"/>
  <c r="AZ629" i="27"/>
  <c r="AZ628" i="27"/>
  <c r="AZ627" i="27"/>
  <c r="AZ626" i="27"/>
  <c r="AZ625" i="27"/>
  <c r="AZ617" i="27"/>
  <c r="AZ615" i="27"/>
  <c r="AZ614" i="27"/>
  <c r="AZ612" i="27"/>
  <c r="AZ611" i="27"/>
  <c r="AZ610" i="27"/>
  <c r="AZ609" i="27"/>
  <c r="AZ608" i="27"/>
  <c r="AZ607" i="27"/>
  <c r="AZ606" i="27"/>
  <c r="AZ605" i="27"/>
  <c r="AZ604" i="27"/>
  <c r="W551" i="27"/>
  <c r="Y551" i="27" s="1"/>
  <c r="L551" i="27"/>
  <c r="X551" i="27" s="1"/>
  <c r="W550" i="27"/>
  <c r="Y550" i="27" s="1"/>
  <c r="L550" i="27"/>
  <c r="O550" i="27" s="1"/>
  <c r="W549" i="27"/>
  <c r="Y549" i="27" s="1"/>
  <c r="L549" i="27"/>
  <c r="AF549" i="27" s="1"/>
  <c r="W548" i="27"/>
  <c r="Y548" i="27" s="1"/>
  <c r="L548" i="27"/>
  <c r="O548" i="27" s="1"/>
  <c r="W547" i="27"/>
  <c r="Y547" i="27" s="1"/>
  <c r="L547" i="27"/>
  <c r="AF547" i="27" s="1"/>
  <c r="W546" i="27"/>
  <c r="Y546" i="27" s="1"/>
  <c r="L546" i="27"/>
  <c r="O546" i="27" s="1"/>
  <c r="W545" i="27"/>
  <c r="Y545" i="27" s="1"/>
  <c r="L545" i="27"/>
  <c r="X545" i="27" s="1"/>
  <c r="W544" i="27"/>
  <c r="Y544" i="27" s="1"/>
  <c r="L544" i="27"/>
  <c r="X544" i="27" s="1"/>
  <c r="W543" i="27"/>
  <c r="Y543" i="27" s="1"/>
  <c r="L543" i="27"/>
  <c r="O543" i="27" s="1"/>
  <c r="W542" i="27"/>
  <c r="Y542" i="27" s="1"/>
  <c r="L542" i="27"/>
  <c r="N542" i="27" s="1"/>
  <c r="W541" i="27"/>
  <c r="Y541" i="27" s="1"/>
  <c r="L541" i="27"/>
  <c r="M541" i="27" s="1"/>
  <c r="W540" i="27"/>
  <c r="Y540" i="27" s="1"/>
  <c r="L540" i="27"/>
  <c r="N540" i="27" s="1"/>
  <c r="W539" i="27"/>
  <c r="Y539" i="27" s="1"/>
  <c r="L539" i="27"/>
  <c r="M539" i="27" s="1"/>
  <c r="W538" i="27"/>
  <c r="Y538" i="27" s="1"/>
  <c r="L538" i="27"/>
  <c r="O538" i="27" s="1"/>
  <c r="W537" i="27"/>
  <c r="Y537" i="27" s="1"/>
  <c r="L537" i="27"/>
  <c r="W536" i="27"/>
  <c r="Y536" i="27" s="1"/>
  <c r="L536" i="27"/>
  <c r="N536" i="27" s="1"/>
  <c r="W535" i="27"/>
  <c r="Y535" i="27" s="1"/>
  <c r="L535" i="27"/>
  <c r="M535" i="27" s="1"/>
  <c r="W534" i="27"/>
  <c r="Y534" i="27" s="1"/>
  <c r="L534" i="27"/>
  <c r="N534" i="27" s="1"/>
  <c r="AG514" i="27"/>
  <c r="AG513" i="27"/>
  <c r="AG512" i="27"/>
  <c r="AI491" i="27"/>
  <c r="AI492" i="27" s="1"/>
  <c r="AI493" i="27" s="1"/>
  <c r="AC491" i="27"/>
  <c r="AC492" i="27" s="1"/>
  <c r="AC493" i="27" s="1"/>
  <c r="AC494" i="27" s="1"/>
  <c r="AC495" i="27" s="1"/>
  <c r="AC496" i="27" s="1"/>
  <c r="AC497" i="27" s="1"/>
  <c r="AZ490" i="27"/>
  <c r="AZ488" i="27"/>
  <c r="AZ487" i="27"/>
  <c r="AZ486" i="27"/>
  <c r="AZ485" i="27"/>
  <c r="AZ481" i="27"/>
  <c r="AZ480" i="27"/>
  <c r="AZ479" i="27"/>
  <c r="AZ478" i="27"/>
  <c r="AZ476" i="27"/>
  <c r="AZ475" i="27"/>
  <c r="D216" i="27"/>
  <c r="D215" i="27"/>
  <c r="E214" i="27"/>
  <c r="D214" i="27"/>
  <c r="F196" i="27"/>
  <c r="E195" i="27"/>
  <c r="I191" i="27"/>
  <c r="I188" i="27"/>
  <c r="AB188" i="27" s="1"/>
  <c r="I187" i="27"/>
  <c r="AB187" i="27" s="1"/>
  <c r="I186" i="27"/>
  <c r="AB186" i="27" s="1"/>
  <c r="I185" i="27"/>
  <c r="AB185" i="27" s="1"/>
  <c r="I184" i="27"/>
  <c r="AB184" i="27" s="1"/>
  <c r="I183" i="27"/>
  <c r="AB183" i="27" s="1"/>
  <c r="I182" i="27"/>
  <c r="AB182" i="27" s="1"/>
  <c r="I181" i="27"/>
  <c r="AB181" i="27" s="1"/>
  <c r="I180" i="27"/>
  <c r="AB180" i="27" s="1"/>
  <c r="I179" i="27"/>
  <c r="AB179" i="27" s="1"/>
  <c r="I174" i="27"/>
  <c r="H168" i="27"/>
  <c r="I168" i="27" s="1"/>
  <c r="E168" i="27"/>
  <c r="X168" i="27" s="1"/>
  <c r="D168" i="27"/>
  <c r="W168" i="27" s="1"/>
  <c r="H164" i="27"/>
  <c r="I164" i="27" s="1"/>
  <c r="H163" i="27"/>
  <c r="I163" i="27" s="1"/>
  <c r="E163" i="27"/>
  <c r="X163" i="27" s="1"/>
  <c r="D163" i="27"/>
  <c r="W163" i="27" s="1"/>
  <c r="G159" i="27"/>
  <c r="H159" i="27" s="1"/>
  <c r="I159" i="27" s="1"/>
  <c r="D159" i="27"/>
  <c r="I143" i="27"/>
  <c r="I136" i="27"/>
  <c r="I135" i="27"/>
  <c r="I134" i="27"/>
  <c r="I129" i="27"/>
  <c r="I127" i="27"/>
  <c r="D122" i="27"/>
  <c r="W122" i="27" s="1"/>
  <c r="H117" i="27"/>
  <c r="I117" i="27" s="1"/>
  <c r="H116" i="27"/>
  <c r="I116" i="27" s="1"/>
  <c r="E115" i="27"/>
  <c r="D115" i="27"/>
  <c r="H114" i="27"/>
  <c r="I114" i="27" s="1"/>
  <c r="E114" i="27"/>
  <c r="D114" i="27"/>
  <c r="H112" i="27"/>
  <c r="I112" i="27" s="1"/>
  <c r="E112" i="27"/>
  <c r="X112" i="27" s="1"/>
  <c r="D112" i="27"/>
  <c r="W112" i="27" s="1"/>
  <c r="H110" i="27"/>
  <c r="I110" i="27" s="1"/>
  <c r="E110" i="27"/>
  <c r="X110" i="27" s="1"/>
  <c r="D110" i="27"/>
  <c r="W110" i="27" s="1"/>
  <c r="H108" i="27"/>
  <c r="I108" i="27" s="1"/>
  <c r="E108" i="27"/>
  <c r="D108" i="27"/>
  <c r="H107" i="27"/>
  <c r="I107" i="27" s="1"/>
  <c r="H104" i="27"/>
  <c r="I104" i="27" s="1"/>
  <c r="E104" i="27"/>
  <c r="X104" i="27" s="1"/>
  <c r="D104" i="27"/>
  <c r="W104" i="27" s="1"/>
  <c r="G103" i="27"/>
  <c r="E103" i="27"/>
  <c r="X103" i="27" s="1"/>
  <c r="D103" i="27"/>
  <c r="W103" i="27" s="1"/>
  <c r="H95" i="27"/>
  <c r="I95" i="27" s="1"/>
  <c r="E95" i="27"/>
  <c r="D95" i="27"/>
  <c r="H94" i="27"/>
  <c r="I94" i="27" s="1"/>
  <c r="E94" i="27"/>
  <c r="D94" i="27"/>
  <c r="H93" i="27"/>
  <c r="I93" i="27" s="1"/>
  <c r="E93" i="27"/>
  <c r="D93" i="27"/>
  <c r="H92" i="27"/>
  <c r="I92" i="27" s="1"/>
  <c r="E92" i="27"/>
  <c r="X92" i="27" s="1"/>
  <c r="D92" i="27"/>
  <c r="W92" i="27" s="1"/>
  <c r="H91" i="27"/>
  <c r="I91" i="27" s="1"/>
  <c r="E91" i="27"/>
  <c r="X91" i="27" s="1"/>
  <c r="D91" i="27"/>
  <c r="W91" i="27" s="1"/>
  <c r="H89" i="27"/>
  <c r="I89" i="27" s="1"/>
  <c r="E89" i="27"/>
  <c r="X89" i="27" s="1"/>
  <c r="D89" i="27"/>
  <c r="W89" i="27" s="1"/>
  <c r="F87" i="27"/>
  <c r="H84" i="27"/>
  <c r="I84" i="27" s="1"/>
  <c r="H83" i="27"/>
  <c r="I83" i="27" s="1"/>
  <c r="H82" i="27"/>
  <c r="I82" i="27" s="1"/>
  <c r="E82" i="27"/>
  <c r="X82" i="27" s="1"/>
  <c r="D82" i="27"/>
  <c r="W82" i="27" s="1"/>
  <c r="H81" i="27"/>
  <c r="I81" i="27" s="1"/>
  <c r="E81" i="27"/>
  <c r="X81" i="27" s="1"/>
  <c r="D81" i="27"/>
  <c r="W81" i="27" s="1"/>
  <c r="H80" i="27"/>
  <c r="I80" i="27" s="1"/>
  <c r="H79" i="27"/>
  <c r="I79" i="27" s="1"/>
  <c r="E79" i="27"/>
  <c r="X79" i="27" s="1"/>
  <c r="D79" i="27"/>
  <c r="W79" i="27" s="1"/>
  <c r="H78" i="27"/>
  <c r="I78" i="27" s="1"/>
  <c r="E78" i="27"/>
  <c r="X78" i="27" s="1"/>
  <c r="D78" i="27"/>
  <c r="W78" i="27" s="1"/>
  <c r="H77" i="27"/>
  <c r="I77" i="27" s="1"/>
  <c r="E77" i="27"/>
  <c r="X77" i="27" s="1"/>
  <c r="D77" i="27"/>
  <c r="W77" i="27" s="1"/>
  <c r="H75" i="27"/>
  <c r="I75" i="27" s="1"/>
  <c r="E75" i="27"/>
  <c r="X75" i="27" s="1"/>
  <c r="D75" i="27"/>
  <c r="W75" i="27" s="1"/>
  <c r="H74" i="27"/>
  <c r="I74" i="27" s="1"/>
  <c r="E74" i="27"/>
  <c r="X74" i="27" s="1"/>
  <c r="D74" i="27"/>
  <c r="W74" i="27" s="1"/>
  <c r="E73" i="27"/>
  <c r="X73" i="27" s="1"/>
  <c r="D73" i="27"/>
  <c r="W73" i="27" s="1"/>
  <c r="E71" i="27"/>
  <c r="X71" i="27" s="1"/>
  <c r="D71" i="27"/>
  <c r="W71" i="27" s="1"/>
  <c r="E70" i="27"/>
  <c r="X70" i="27" s="1"/>
  <c r="D70" i="27"/>
  <c r="W70" i="27" s="1"/>
  <c r="E69" i="27"/>
  <c r="X69" i="27" s="1"/>
  <c r="D69" i="27"/>
  <c r="W69" i="27" s="1"/>
  <c r="I67" i="27"/>
  <c r="H65" i="27"/>
  <c r="I65" i="27" s="1"/>
  <c r="E65" i="27"/>
  <c r="D65" i="27"/>
  <c r="E64" i="27"/>
  <c r="X64" i="27" s="1"/>
  <c r="D64" i="27"/>
  <c r="W64" i="27" s="1"/>
  <c r="H59" i="27"/>
  <c r="I59" i="27" s="1"/>
  <c r="H57" i="27"/>
  <c r="I57" i="27" s="1"/>
  <c r="E57" i="27"/>
  <c r="X57" i="27" s="1"/>
  <c r="D57" i="27"/>
  <c r="W57" i="27" s="1"/>
  <c r="H56" i="27"/>
  <c r="I56" i="27" s="1"/>
  <c r="AB56" i="27" s="1"/>
  <c r="E56" i="27"/>
  <c r="D56" i="27"/>
  <c r="H55" i="27"/>
  <c r="I55" i="27" s="1"/>
  <c r="E55" i="27"/>
  <c r="X55" i="27" s="1"/>
  <c r="D55" i="27"/>
  <c r="W55" i="27" s="1"/>
  <c r="E54" i="27"/>
  <c r="X54" i="27" s="1"/>
  <c r="D54" i="27"/>
  <c r="W54" i="27" s="1"/>
  <c r="E53" i="27"/>
  <c r="X53" i="27" s="1"/>
  <c r="D53" i="27"/>
  <c r="W53" i="27" s="1"/>
  <c r="E52" i="27"/>
  <c r="X52" i="27" s="1"/>
  <c r="D52" i="27"/>
  <c r="W52" i="27" s="1"/>
  <c r="E51" i="27"/>
  <c r="X51" i="27" s="1"/>
  <c r="D51" i="27"/>
  <c r="W51" i="27" s="1"/>
  <c r="E47" i="27"/>
  <c r="X47" i="27" s="1"/>
  <c r="D47" i="27"/>
  <c r="W47" i="27" s="1"/>
  <c r="H41" i="27"/>
  <c r="I41" i="27" s="1"/>
  <c r="H33" i="27"/>
  <c r="I33" i="27" s="1"/>
  <c r="G32" i="27"/>
  <c r="E32" i="27"/>
  <c r="D328" i="27" s="1"/>
  <c r="D32" i="27"/>
  <c r="H31" i="27"/>
  <c r="I31" i="27" s="1"/>
  <c r="E31" i="27"/>
  <c r="D327" i="27" s="1"/>
  <c r="D31" i="27"/>
  <c r="G29" i="27"/>
  <c r="L28" i="27"/>
  <c r="G28" i="27"/>
  <c r="E28" i="27"/>
  <c r="D324" i="27" s="1"/>
  <c r="D28" i="27"/>
  <c r="L27" i="27"/>
  <c r="AJ492" i="27" s="1"/>
  <c r="G27" i="27"/>
  <c r="E27" i="27"/>
  <c r="D323" i="27" s="1"/>
  <c r="D27" i="27"/>
  <c r="L26" i="27"/>
  <c r="H26" i="27"/>
  <c r="I26" i="27" s="1"/>
  <c r="E26" i="27"/>
  <c r="D322" i="27" s="1"/>
  <c r="D26" i="27"/>
  <c r="H25" i="27"/>
  <c r="I25" i="27" s="1"/>
  <c r="S24" i="27"/>
  <c r="H24" i="27"/>
  <c r="I24" i="27" s="1"/>
  <c r="S19" i="27"/>
  <c r="L19" i="27"/>
  <c r="AD500" i="27" s="1"/>
  <c r="H19" i="27"/>
  <c r="I19" i="27" s="1"/>
  <c r="G315" i="27" s="1"/>
  <c r="S17" i="27"/>
  <c r="L17" i="27"/>
  <c r="H17" i="27"/>
  <c r="I17" i="27" s="1"/>
  <c r="E17" i="27"/>
  <c r="D17" i="27"/>
  <c r="W17" i="27" s="1"/>
  <c r="F13" i="27"/>
  <c r="F10" i="27"/>
  <c r="R31" i="25"/>
  <c r="S31" i="25"/>
  <c r="R34" i="25"/>
  <c r="T17" i="25"/>
  <c r="R30" i="25"/>
  <c r="Q32" i="25"/>
  <c r="T19" i="25"/>
  <c r="P29" i="25"/>
  <c r="D34" i="25"/>
  <c r="D33" i="25"/>
  <c r="D32" i="25"/>
  <c r="D31" i="25"/>
  <c r="D30" i="25"/>
  <c r="E20" i="25"/>
  <c r="E34" i="25" s="1"/>
  <c r="E19" i="25"/>
  <c r="F19" i="25" s="1"/>
  <c r="G19" i="25" s="1"/>
  <c r="E18" i="25"/>
  <c r="E32" i="25" s="1"/>
  <c r="F18" i="25"/>
  <c r="G18" i="25" s="1"/>
  <c r="E17" i="25"/>
  <c r="F17" i="25" s="1"/>
  <c r="E16" i="25"/>
  <c r="D15" i="25"/>
  <c r="S32" i="25"/>
  <c r="R32" i="25"/>
  <c r="S30" i="25"/>
  <c r="T16" i="25"/>
  <c r="Q29" i="25"/>
  <c r="S34" i="25"/>
  <c r="T20" i="25"/>
  <c r="T18" i="25"/>
  <c r="E33" i="25"/>
  <c r="F20" i="25"/>
  <c r="G20" i="25" s="1"/>
  <c r="D25" i="25"/>
  <c r="R29" i="25"/>
  <c r="H41" i="25"/>
  <c r="G41" i="25"/>
  <c r="F41" i="25"/>
  <c r="E41" i="25"/>
  <c r="D41" i="25"/>
  <c r="D40" i="25"/>
  <c r="H40" i="25"/>
  <c r="G40" i="25"/>
  <c r="F40" i="25"/>
  <c r="E40" i="25"/>
  <c r="I13" i="25"/>
  <c r="I12" i="25"/>
  <c r="I11" i="25"/>
  <c r="H27" i="25"/>
  <c r="G27" i="25"/>
  <c r="F27" i="25"/>
  <c r="E27" i="25"/>
  <c r="D27" i="25"/>
  <c r="H26" i="25"/>
  <c r="G26" i="25"/>
  <c r="F26" i="25"/>
  <c r="E26" i="25"/>
  <c r="D26" i="25"/>
  <c r="H25" i="25"/>
  <c r="G25" i="25"/>
  <c r="F25" i="25"/>
  <c r="E25" i="25"/>
  <c r="S29" i="25"/>
  <c r="T15" i="25"/>
  <c r="M34" i="8"/>
  <c r="F113" i="16"/>
  <c r="G113" i="16" s="1"/>
  <c r="S34" i="8" s="1"/>
  <c r="E67" i="17"/>
  <c r="D67" i="17"/>
  <c r="H67" i="17"/>
  <c r="I67" i="17" s="1"/>
  <c r="H68" i="21"/>
  <c r="I68" i="21" s="1"/>
  <c r="F89" i="16"/>
  <c r="C278" i="16"/>
  <c r="C275" i="16"/>
  <c r="C272" i="16"/>
  <c r="C269" i="16"/>
  <c r="F51" i="16"/>
  <c r="G51" i="16" s="1"/>
  <c r="H51" i="16" s="1"/>
  <c r="H63" i="16"/>
  <c r="D63" i="16"/>
  <c r="C63" i="16"/>
  <c r="C270" i="16"/>
  <c r="C271" i="16"/>
  <c r="H89" i="16"/>
  <c r="C279" i="16"/>
  <c r="C280" i="16"/>
  <c r="C273" i="16"/>
  <c r="C274" i="16"/>
  <c r="C276" i="16"/>
  <c r="C277" i="16"/>
  <c r="F111" i="16"/>
  <c r="H111" i="16" s="1"/>
  <c r="W111" i="16" s="1"/>
  <c r="F23" i="16"/>
  <c r="H23" i="16" s="1"/>
  <c r="F25" i="16"/>
  <c r="F24" i="16"/>
  <c r="H24" i="16" s="1"/>
  <c r="F22" i="16"/>
  <c r="F21" i="16"/>
  <c r="H21" i="16" s="1"/>
  <c r="F20" i="16"/>
  <c r="F19" i="16"/>
  <c r="F18" i="16"/>
  <c r="H29" i="16"/>
  <c r="H28" i="16"/>
  <c r="D171" i="21"/>
  <c r="D170" i="21"/>
  <c r="D169" i="21"/>
  <c r="E169" i="21"/>
  <c r="D172" i="21"/>
  <c r="E172" i="21" s="1"/>
  <c r="D160" i="16"/>
  <c r="BH216" i="16"/>
  <c r="H216" i="16"/>
  <c r="G25" i="21"/>
  <c r="H25" i="21" s="1"/>
  <c r="H85" i="16"/>
  <c r="H116" i="16"/>
  <c r="H100" i="16"/>
  <c r="H99" i="16"/>
  <c r="I136" i="17"/>
  <c r="I135" i="17"/>
  <c r="I134" i="17"/>
  <c r="F75" i="21"/>
  <c r="F13" i="21"/>
  <c r="I55" i="21"/>
  <c r="I54" i="17"/>
  <c r="E36" i="17"/>
  <c r="D89" i="17"/>
  <c r="E89" i="17"/>
  <c r="I137" i="21"/>
  <c r="I136" i="21"/>
  <c r="I135" i="21"/>
  <c r="F74" i="17"/>
  <c r="H92" i="21"/>
  <c r="I92" i="21" s="1"/>
  <c r="H91" i="21"/>
  <c r="I91" i="21" s="1"/>
  <c r="H89" i="21"/>
  <c r="I89" i="21" s="1"/>
  <c r="H88" i="21"/>
  <c r="I88" i="21" s="1"/>
  <c r="E89" i="21"/>
  <c r="D89" i="21"/>
  <c r="E88" i="21"/>
  <c r="D88" i="21"/>
  <c r="G83" i="17"/>
  <c r="H83" i="17" s="1"/>
  <c r="I83" i="17" s="1"/>
  <c r="H89" i="17"/>
  <c r="I89" i="17" s="1"/>
  <c r="G84" i="21"/>
  <c r="H84" i="21" s="1"/>
  <c r="I84" i="21" s="1"/>
  <c r="P35" i="8"/>
  <c r="Q35" i="8"/>
  <c r="F11" i="17"/>
  <c r="C150" i="8" s="1"/>
  <c r="D94" i="21"/>
  <c r="E94" i="21"/>
  <c r="E129" i="16"/>
  <c r="E128" i="16"/>
  <c r="C148" i="8"/>
  <c r="AS446" i="17"/>
  <c r="AS445" i="17"/>
  <c r="AS444" i="17"/>
  <c r="AS443" i="17"/>
  <c r="AS442" i="17"/>
  <c r="AS441" i="17"/>
  <c r="AS440" i="17"/>
  <c r="AS439" i="17"/>
  <c r="AS438" i="17"/>
  <c r="AS437" i="17"/>
  <c r="AS436" i="17"/>
  <c r="AS435" i="17"/>
  <c r="AS428" i="17"/>
  <c r="AS427" i="17"/>
  <c r="AS426" i="17"/>
  <c r="AS425" i="17"/>
  <c r="AS420" i="17"/>
  <c r="AS419" i="17"/>
  <c r="AS418" i="17"/>
  <c r="AS417" i="17"/>
  <c r="AS416" i="17"/>
  <c r="AS415" i="17"/>
  <c r="AS414" i="17"/>
  <c r="AS413" i="17"/>
  <c r="AS412" i="17"/>
  <c r="AS407" i="17"/>
  <c r="AS406" i="17"/>
  <c r="AS405" i="17"/>
  <c r="AS404" i="17"/>
  <c r="AS403" i="17"/>
  <c r="AS402" i="17"/>
  <c r="AS401" i="17"/>
  <c r="AS400" i="17"/>
  <c r="AS399" i="17"/>
  <c r="AS398" i="17"/>
  <c r="AS397" i="17"/>
  <c r="AS395" i="17"/>
  <c r="AS394" i="17"/>
  <c r="AS393" i="17"/>
  <c r="AS392" i="17"/>
  <c r="AS324" i="17"/>
  <c r="AS323" i="17"/>
  <c r="AS322" i="17"/>
  <c r="AS321" i="17"/>
  <c r="AS320" i="17"/>
  <c r="AS319" i="17"/>
  <c r="AS318" i="17"/>
  <c r="AS317" i="17"/>
  <c r="AS316" i="17"/>
  <c r="AS315" i="17"/>
  <c r="AS314" i="17"/>
  <c r="AY413" i="21"/>
  <c r="AY412" i="21"/>
  <c r="AY411" i="21"/>
  <c r="AY410" i="21"/>
  <c r="AY409" i="21"/>
  <c r="AY408" i="21"/>
  <c r="AY407" i="21"/>
  <c r="AY406" i="21"/>
  <c r="AY405" i="21"/>
  <c r="AY404" i="21"/>
  <c r="AY403" i="21"/>
  <c r="AY402" i="21"/>
  <c r="AY401" i="21"/>
  <c r="AY400" i="21"/>
  <c r="AY399" i="21"/>
  <c r="AY398" i="21"/>
  <c r="AY397" i="21"/>
  <c r="AY396" i="21"/>
  <c r="AY395" i="21"/>
  <c r="AY394" i="21"/>
  <c r="AY393" i="21"/>
  <c r="AY392" i="21"/>
  <c r="AY391" i="21"/>
  <c r="AY390" i="21"/>
  <c r="AY389" i="21"/>
  <c r="AY388" i="21"/>
  <c r="AY387" i="21"/>
  <c r="AY386" i="21"/>
  <c r="AY385" i="21"/>
  <c r="AY384" i="21"/>
  <c r="AY383" i="21"/>
  <c r="AY382" i="21"/>
  <c r="AY381" i="21"/>
  <c r="AY380" i="21"/>
  <c r="AY379" i="21"/>
  <c r="AY371" i="21"/>
  <c r="AY370" i="21"/>
  <c r="AY369" i="21"/>
  <c r="AY367" i="21"/>
  <c r="AY366" i="21"/>
  <c r="AY365" i="21"/>
  <c r="AY364" i="21"/>
  <c r="AY363" i="21"/>
  <c r="AY362" i="21"/>
  <c r="AY361" i="21"/>
  <c r="AY360" i="21"/>
  <c r="AY359" i="21"/>
  <c r="AY291" i="21"/>
  <c r="AY290" i="21"/>
  <c r="AY289" i="21"/>
  <c r="AY288" i="21"/>
  <c r="AY287" i="21"/>
  <c r="AY286" i="21"/>
  <c r="AY285" i="21"/>
  <c r="AY284" i="21"/>
  <c r="AY283" i="21"/>
  <c r="AY282" i="21"/>
  <c r="AY281" i="21"/>
  <c r="BJ254" i="16"/>
  <c r="BJ253" i="16"/>
  <c r="BJ252" i="16"/>
  <c r="BJ251" i="16"/>
  <c r="BJ250" i="16"/>
  <c r="BJ249" i="16"/>
  <c r="BJ248" i="16"/>
  <c r="BJ247" i="16"/>
  <c r="BJ246" i="16"/>
  <c r="BJ245" i="16"/>
  <c r="BJ244" i="16"/>
  <c r="BJ243" i="16"/>
  <c r="BJ242" i="16"/>
  <c r="BJ241" i="16"/>
  <c r="BJ240" i="16"/>
  <c r="BJ238" i="16"/>
  <c r="BJ237" i="16"/>
  <c r="BJ236" i="16"/>
  <c r="BJ235" i="16"/>
  <c r="BJ234" i="16"/>
  <c r="BJ233" i="16"/>
  <c r="BJ232" i="16"/>
  <c r="BJ231" i="16"/>
  <c r="BJ230" i="16"/>
  <c r="BJ229" i="16"/>
  <c r="BJ228" i="16"/>
  <c r="BJ227" i="16"/>
  <c r="BJ226" i="16"/>
  <c r="BJ225" i="16"/>
  <c r="BJ224" i="16"/>
  <c r="BJ223" i="16"/>
  <c r="BJ222" i="16"/>
  <c r="BJ221" i="16"/>
  <c r="H20" i="21"/>
  <c r="I20" i="21" s="1"/>
  <c r="D120" i="21"/>
  <c r="G120" i="21"/>
  <c r="H120" i="21" s="1"/>
  <c r="I120" i="21" s="1"/>
  <c r="I432" i="21"/>
  <c r="I431" i="21"/>
  <c r="I430" i="21"/>
  <c r="I429" i="21"/>
  <c r="E411" i="21"/>
  <c r="E412" i="21" s="1"/>
  <c r="E413" i="21" s="1"/>
  <c r="E408" i="21"/>
  <c r="E405" i="21"/>
  <c r="E406" i="21" s="1"/>
  <c r="E407" i="21" s="1"/>
  <c r="D407" i="21" s="1"/>
  <c r="E402" i="21"/>
  <c r="D402" i="21" s="1"/>
  <c r="V352" i="21"/>
  <c r="X352" i="21" s="1"/>
  <c r="L352" i="21"/>
  <c r="V351" i="21"/>
  <c r="X351" i="21" s="1"/>
  <c r="L351" i="21"/>
  <c r="N351" i="21" s="1"/>
  <c r="V350" i="21"/>
  <c r="X350" i="21" s="1"/>
  <c r="L350" i="21"/>
  <c r="N350" i="21" s="1"/>
  <c r="V349" i="21"/>
  <c r="X349" i="21" s="1"/>
  <c r="L349" i="21"/>
  <c r="N349" i="21" s="1"/>
  <c r="V348" i="21"/>
  <c r="X348" i="21" s="1"/>
  <c r="L348" i="21"/>
  <c r="V347" i="21"/>
  <c r="X347" i="21" s="1"/>
  <c r="L347" i="21"/>
  <c r="W347" i="21" s="1"/>
  <c r="N347" i="21"/>
  <c r="V346" i="21"/>
  <c r="X346" i="21" s="1"/>
  <c r="L346" i="21"/>
  <c r="N346" i="21"/>
  <c r="V345" i="21"/>
  <c r="X345" i="21" s="1"/>
  <c r="L345" i="21"/>
  <c r="N345" i="21" s="1"/>
  <c r="V344" i="21"/>
  <c r="X344" i="21" s="1"/>
  <c r="L344" i="21"/>
  <c r="AE344" i="21" s="1"/>
  <c r="V343" i="21"/>
  <c r="X343" i="21" s="1"/>
  <c r="L343" i="21"/>
  <c r="N343" i="21" s="1"/>
  <c r="V342" i="21"/>
  <c r="X342" i="21" s="1"/>
  <c r="L342" i="21"/>
  <c r="O342" i="21" s="1"/>
  <c r="V341" i="21"/>
  <c r="X341" i="21" s="1"/>
  <c r="L341" i="21"/>
  <c r="V340" i="21"/>
  <c r="X340" i="21" s="1"/>
  <c r="L340" i="21"/>
  <c r="W340" i="21" s="1"/>
  <c r="V339" i="21"/>
  <c r="X339" i="21" s="1"/>
  <c r="L339" i="21"/>
  <c r="V338" i="21"/>
  <c r="X338" i="21"/>
  <c r="L338" i="21"/>
  <c r="M338" i="21" s="1"/>
  <c r="V337" i="21"/>
  <c r="X337" i="21" s="1"/>
  <c r="L337" i="21"/>
  <c r="M337" i="21" s="1"/>
  <c r="V336" i="21"/>
  <c r="X336" i="21" s="1"/>
  <c r="L336" i="21"/>
  <c r="V335" i="21"/>
  <c r="X335" i="21" s="1"/>
  <c r="L335" i="21"/>
  <c r="AF315" i="21"/>
  <c r="AF314" i="21"/>
  <c r="AF313" i="21"/>
  <c r="AH292" i="21"/>
  <c r="AH293" i="21" s="1"/>
  <c r="AB292" i="21"/>
  <c r="AB293" i="21" s="1"/>
  <c r="AB294" i="21" s="1"/>
  <c r="F170" i="21"/>
  <c r="F151" i="21"/>
  <c r="E150" i="21"/>
  <c r="I146" i="21"/>
  <c r="I143" i="21"/>
  <c r="I142" i="21"/>
  <c r="I141" i="21"/>
  <c r="I140" i="21"/>
  <c r="I139" i="21"/>
  <c r="I138" i="21"/>
  <c r="I134" i="21"/>
  <c r="I133" i="21"/>
  <c r="H128" i="21"/>
  <c r="I128" i="21" s="1"/>
  <c r="E128" i="21"/>
  <c r="D128" i="21"/>
  <c r="H125" i="21"/>
  <c r="I125" i="21" s="1"/>
  <c r="H124" i="21"/>
  <c r="I124" i="21" s="1"/>
  <c r="E124" i="21"/>
  <c r="D124" i="21"/>
  <c r="G117" i="21"/>
  <c r="D117" i="21"/>
  <c r="I110" i="21"/>
  <c r="I109" i="21"/>
  <c r="I108" i="21"/>
  <c r="I103" i="21"/>
  <c r="H102" i="21"/>
  <c r="I102" i="21" s="1"/>
  <c r="I104" i="21"/>
  <c r="G106" i="21"/>
  <c r="H106" i="21" s="1"/>
  <c r="S35" i="8" s="1"/>
  <c r="I101" i="21"/>
  <c r="E101" i="21"/>
  <c r="D101" i="21"/>
  <c r="H96" i="21"/>
  <c r="I96" i="21" s="1"/>
  <c r="H95" i="21"/>
  <c r="I95" i="21" s="1"/>
  <c r="G93" i="21"/>
  <c r="H93" i="21" s="1"/>
  <c r="I93" i="21" s="1"/>
  <c r="E93" i="21"/>
  <c r="D93" i="21"/>
  <c r="E92" i="21"/>
  <c r="D92" i="21"/>
  <c r="E91" i="21"/>
  <c r="D91" i="21"/>
  <c r="H87" i="21"/>
  <c r="I87" i="21" s="1"/>
  <c r="E87" i="21"/>
  <c r="D87" i="21"/>
  <c r="H85" i="21"/>
  <c r="I85" i="21" s="1"/>
  <c r="E85" i="21"/>
  <c r="D85" i="21"/>
  <c r="E84" i="21"/>
  <c r="D84" i="21"/>
  <c r="H82" i="21"/>
  <c r="I82" i="21" s="1"/>
  <c r="E82" i="21"/>
  <c r="D82" i="21"/>
  <c r="H81" i="21"/>
  <c r="I81" i="21" s="1"/>
  <c r="E81" i="21"/>
  <c r="D81" i="21"/>
  <c r="H80" i="21"/>
  <c r="I80" i="21" s="1"/>
  <c r="E80" i="21"/>
  <c r="D80" i="21"/>
  <c r="H79" i="21"/>
  <c r="I79" i="21" s="1"/>
  <c r="E79" i="21"/>
  <c r="D79" i="21"/>
  <c r="H78" i="21"/>
  <c r="I78" i="21" s="1"/>
  <c r="E78" i="21"/>
  <c r="D78" i="21"/>
  <c r="H77" i="21"/>
  <c r="I77" i="21" s="1"/>
  <c r="E77" i="21"/>
  <c r="D77" i="21"/>
  <c r="H72" i="21"/>
  <c r="I72" i="21" s="1"/>
  <c r="H71" i="21"/>
  <c r="I71" i="21" s="1"/>
  <c r="H70" i="21"/>
  <c r="I70" i="21" s="1"/>
  <c r="E70" i="21"/>
  <c r="D70" i="21"/>
  <c r="H69" i="21"/>
  <c r="I69" i="21" s="1"/>
  <c r="E69" i="21"/>
  <c r="D69" i="21"/>
  <c r="H67" i="21"/>
  <c r="I67" i="21" s="1"/>
  <c r="E67" i="21"/>
  <c r="D67" i="21"/>
  <c r="E66" i="21"/>
  <c r="D66" i="21"/>
  <c r="H65" i="21"/>
  <c r="I65" i="21" s="1"/>
  <c r="E65" i="21"/>
  <c r="D65" i="21"/>
  <c r="H63" i="21"/>
  <c r="I63" i="21" s="1"/>
  <c r="E63" i="21"/>
  <c r="D63" i="21"/>
  <c r="H62" i="21"/>
  <c r="I62" i="21" s="1"/>
  <c r="E62" i="21"/>
  <c r="D62" i="21"/>
  <c r="E61" i="21"/>
  <c r="D61" i="21"/>
  <c r="I59" i="21"/>
  <c r="E59" i="21"/>
  <c r="D59" i="21"/>
  <c r="E58" i="21"/>
  <c r="D58" i="21"/>
  <c r="E57" i="21"/>
  <c r="D57" i="21"/>
  <c r="H54" i="21"/>
  <c r="I54" i="21" s="1"/>
  <c r="E54" i="21"/>
  <c r="D54" i="21"/>
  <c r="E53" i="21"/>
  <c r="D53" i="21"/>
  <c r="H48" i="21"/>
  <c r="I48" i="21" s="1"/>
  <c r="I47" i="21"/>
  <c r="H46" i="21"/>
  <c r="I46" i="21" s="1"/>
  <c r="E46" i="21"/>
  <c r="D46" i="21"/>
  <c r="H45" i="21"/>
  <c r="I45" i="21" s="1"/>
  <c r="E45" i="21"/>
  <c r="D45" i="21"/>
  <c r="H44" i="21"/>
  <c r="I44" i="21" s="1"/>
  <c r="E44" i="21"/>
  <c r="D44" i="21"/>
  <c r="G43" i="21"/>
  <c r="H43" i="21" s="1"/>
  <c r="I43" i="21" s="1"/>
  <c r="E43" i="21"/>
  <c r="D43" i="21"/>
  <c r="G42" i="21"/>
  <c r="H42" i="21" s="1"/>
  <c r="I42" i="21" s="1"/>
  <c r="E42" i="21"/>
  <c r="D42" i="21"/>
  <c r="G41" i="21"/>
  <c r="H41" i="21" s="1"/>
  <c r="I41" i="21" s="1"/>
  <c r="E41" i="21"/>
  <c r="D41" i="21"/>
  <c r="H40" i="21"/>
  <c r="I40" i="21" s="1"/>
  <c r="E40" i="21"/>
  <c r="D40" i="21"/>
  <c r="E36" i="21"/>
  <c r="D36" i="21"/>
  <c r="H30" i="21"/>
  <c r="I30" i="21" s="1"/>
  <c r="H29" i="21"/>
  <c r="I29" i="21" s="1"/>
  <c r="G28" i="21"/>
  <c r="H28" i="21" s="1"/>
  <c r="I28" i="21" s="1"/>
  <c r="E28" i="21"/>
  <c r="D28" i="21"/>
  <c r="H27" i="21"/>
  <c r="I27" i="21" s="1"/>
  <c r="E27" i="21"/>
  <c r="D27" i="21"/>
  <c r="I25" i="21"/>
  <c r="L24" i="21"/>
  <c r="G24" i="21"/>
  <c r="H24" i="21" s="1"/>
  <c r="I24" i="21" s="1"/>
  <c r="E24" i="21"/>
  <c r="D24" i="21"/>
  <c r="L23" i="21"/>
  <c r="AI315" i="21" s="1"/>
  <c r="G23" i="21"/>
  <c r="H23" i="21" s="1"/>
  <c r="I23" i="21" s="1"/>
  <c r="E23" i="21"/>
  <c r="D23" i="21"/>
  <c r="L22" i="21"/>
  <c r="H22" i="21"/>
  <c r="I22" i="21" s="1"/>
  <c r="E22" i="21"/>
  <c r="D22" i="21"/>
  <c r="H21" i="21"/>
  <c r="I21" i="21" s="1"/>
  <c r="S20" i="21"/>
  <c r="S19" i="21"/>
  <c r="L19" i="21"/>
  <c r="G19" i="21"/>
  <c r="H19" i="21" s="1"/>
  <c r="I19" i="21" s="1"/>
  <c r="E19" i="21"/>
  <c r="D19" i="21"/>
  <c r="S18" i="21"/>
  <c r="L18" i="21"/>
  <c r="AC298" i="21" s="1"/>
  <c r="G18" i="21"/>
  <c r="H18" i="21" s="1"/>
  <c r="I18" i="21" s="1"/>
  <c r="E18" i="21"/>
  <c r="D18" i="21"/>
  <c r="S17" i="21"/>
  <c r="L17" i="21"/>
  <c r="H17" i="21"/>
  <c r="I17" i="21" s="1"/>
  <c r="E17" i="21"/>
  <c r="D17" i="21"/>
  <c r="F10" i="21"/>
  <c r="F9" i="21"/>
  <c r="W35" i="8"/>
  <c r="W39" i="8" s="1"/>
  <c r="G37" i="21"/>
  <c r="H37" i="21" s="1"/>
  <c r="I37" i="21" s="1"/>
  <c r="AC307" i="21"/>
  <c r="AC296" i="21"/>
  <c r="W337" i="21"/>
  <c r="O337" i="21"/>
  <c r="W342" i="21"/>
  <c r="AI296" i="21"/>
  <c r="AC303" i="21"/>
  <c r="AE340" i="21"/>
  <c r="N340" i="21"/>
  <c r="AE341" i="21"/>
  <c r="M343" i="21"/>
  <c r="AE345" i="21"/>
  <c r="W345" i="21"/>
  <c r="AE347" i="21"/>
  <c r="M347" i="21"/>
  <c r="AE349" i="21"/>
  <c r="O351" i="21"/>
  <c r="M351" i="21"/>
  <c r="AE346" i="21"/>
  <c r="W346" i="21"/>
  <c r="O346" i="21"/>
  <c r="M346" i="21"/>
  <c r="AE348" i="21"/>
  <c r="AE352" i="21"/>
  <c r="D413" i="21"/>
  <c r="D412" i="21"/>
  <c r="D411" i="21"/>
  <c r="H189" i="9"/>
  <c r="H188" i="9"/>
  <c r="H187" i="9"/>
  <c r="E170" i="21"/>
  <c r="D39" i="16"/>
  <c r="G90" i="17"/>
  <c r="H90" i="17" s="1"/>
  <c r="I90" i="17" s="1"/>
  <c r="H88" i="17"/>
  <c r="I88" i="17" s="1"/>
  <c r="E90" i="17"/>
  <c r="D90" i="17"/>
  <c r="E88" i="17"/>
  <c r="D88" i="17"/>
  <c r="H25" i="17"/>
  <c r="I25" i="17" s="1"/>
  <c r="H20" i="17"/>
  <c r="I20" i="17" s="1"/>
  <c r="R35" i="8"/>
  <c r="O35" i="8"/>
  <c r="E171" i="21"/>
  <c r="G127" i="17"/>
  <c r="H127" i="17" s="1"/>
  <c r="I127" i="17" s="1"/>
  <c r="F102" i="9"/>
  <c r="F83" i="9"/>
  <c r="G83" i="9" s="1"/>
  <c r="G36" i="16"/>
  <c r="H36" i="16" s="1"/>
  <c r="G37" i="16"/>
  <c r="H37" i="16" s="1"/>
  <c r="W37" i="16" s="1"/>
  <c r="G78" i="16"/>
  <c r="H78" i="16" s="1"/>
  <c r="W78" i="16" s="1"/>
  <c r="G77" i="16"/>
  <c r="H77" i="16" s="1"/>
  <c r="G76" i="16"/>
  <c r="H76" i="16" s="1"/>
  <c r="G75" i="16"/>
  <c r="H75" i="16" s="1"/>
  <c r="G74" i="16"/>
  <c r="H74" i="16" s="1"/>
  <c r="G73" i="16"/>
  <c r="H73" i="16" s="1"/>
  <c r="G71" i="16"/>
  <c r="H71" i="16" s="1"/>
  <c r="G70" i="16"/>
  <c r="H70" i="16" s="1"/>
  <c r="G69" i="16"/>
  <c r="H69" i="16" s="1"/>
  <c r="G67" i="16"/>
  <c r="H67" i="16" s="1"/>
  <c r="G66" i="16"/>
  <c r="H66" i="16" s="1"/>
  <c r="G65" i="16"/>
  <c r="H65" i="16" s="1"/>
  <c r="G64" i="16"/>
  <c r="H64" i="16" s="1"/>
  <c r="D77" i="16"/>
  <c r="C77" i="16"/>
  <c r="D76" i="16"/>
  <c r="C76" i="16"/>
  <c r="D75" i="16"/>
  <c r="C75" i="16"/>
  <c r="D74" i="16"/>
  <c r="C74" i="16"/>
  <c r="D73" i="16"/>
  <c r="C73" i="16"/>
  <c r="D71" i="16"/>
  <c r="C71" i="16"/>
  <c r="D70" i="16"/>
  <c r="C70" i="16"/>
  <c r="D69" i="16"/>
  <c r="C69" i="16"/>
  <c r="D67" i="16"/>
  <c r="C67" i="16"/>
  <c r="D66" i="16"/>
  <c r="C66" i="16"/>
  <c r="D65" i="16"/>
  <c r="C65" i="16"/>
  <c r="D64" i="16"/>
  <c r="C64" i="16"/>
  <c r="C43" i="16"/>
  <c r="C42" i="16"/>
  <c r="C41" i="16"/>
  <c r="C40" i="16"/>
  <c r="C39" i="16"/>
  <c r="C38" i="16"/>
  <c r="C37" i="16"/>
  <c r="D42" i="16"/>
  <c r="D40" i="16"/>
  <c r="D38" i="16"/>
  <c r="D37" i="16"/>
  <c r="D36" i="16"/>
  <c r="L17" i="9"/>
  <c r="N17" i="9" s="1"/>
  <c r="P18" i="9" s="1"/>
  <c r="S20" i="17"/>
  <c r="S19" i="17"/>
  <c r="S18" i="17"/>
  <c r="S17" i="17"/>
  <c r="L24" i="17"/>
  <c r="L26" i="17" s="1"/>
  <c r="L19" i="17"/>
  <c r="H27" i="17"/>
  <c r="I27" i="17" s="1"/>
  <c r="D105" i="8"/>
  <c r="Q36" i="8"/>
  <c r="D102" i="8" s="1"/>
  <c r="Q34" i="8"/>
  <c r="H101" i="16"/>
  <c r="H98" i="16"/>
  <c r="S67" i="20"/>
  <c r="R67" i="20"/>
  <c r="S63" i="20"/>
  <c r="R63" i="20"/>
  <c r="S59" i="20"/>
  <c r="R59" i="20"/>
  <c r="S55" i="20"/>
  <c r="R55" i="20"/>
  <c r="S52" i="20"/>
  <c r="R52" i="20"/>
  <c r="S49" i="20"/>
  <c r="R49" i="20"/>
  <c r="S46" i="20"/>
  <c r="R46" i="20"/>
  <c r="R43" i="20"/>
  <c r="S38" i="20"/>
  <c r="R38" i="20"/>
  <c r="T33" i="20"/>
  <c r="S33" i="20"/>
  <c r="R33" i="20"/>
  <c r="S30" i="20"/>
  <c r="R30" i="20"/>
  <c r="S27" i="20"/>
  <c r="R27" i="20"/>
  <c r="S24" i="20"/>
  <c r="R24" i="20"/>
  <c r="S21" i="20"/>
  <c r="R21" i="20"/>
  <c r="R19" i="20"/>
  <c r="S15" i="20"/>
  <c r="R15" i="20"/>
  <c r="S12" i="20"/>
  <c r="R12" i="20"/>
  <c r="S9" i="20"/>
  <c r="R9" i="20"/>
  <c r="S6" i="20"/>
  <c r="R6" i="20"/>
  <c r="R4" i="20"/>
  <c r="G119" i="17"/>
  <c r="H119" i="17" s="1"/>
  <c r="I119" i="17" s="1"/>
  <c r="H117" i="16"/>
  <c r="H115" i="16"/>
  <c r="F57" i="16"/>
  <c r="F56" i="16"/>
  <c r="E10" i="17"/>
  <c r="E9" i="17"/>
  <c r="D83" i="17"/>
  <c r="E83" i="17"/>
  <c r="AH328" i="17"/>
  <c r="AH329" i="17" s="1"/>
  <c r="AH330" i="17" s="1"/>
  <c r="G97" i="17"/>
  <c r="I97" i="17" s="1"/>
  <c r="E81" i="17"/>
  <c r="D81" i="17"/>
  <c r="H81" i="17"/>
  <c r="I81" i="17" s="1"/>
  <c r="G36" i="17"/>
  <c r="H36" i="17" s="1"/>
  <c r="I36" i="17" s="1"/>
  <c r="G28" i="17"/>
  <c r="H28" i="17" s="1"/>
  <c r="I28" i="17" s="1"/>
  <c r="D119" i="17"/>
  <c r="E28" i="17"/>
  <c r="D28" i="17"/>
  <c r="E27" i="17"/>
  <c r="D27" i="17"/>
  <c r="D10" i="9"/>
  <c r="D9" i="9"/>
  <c r="I465" i="17"/>
  <c r="I464" i="17"/>
  <c r="I463" i="17"/>
  <c r="I462" i="17"/>
  <c r="E444" i="17"/>
  <c r="E445" i="17" s="1"/>
  <c r="E446" i="17" s="1"/>
  <c r="D446" i="17" s="1"/>
  <c r="E441" i="17"/>
  <c r="E442" i="17" s="1"/>
  <c r="E438" i="17"/>
  <c r="E439" i="17" s="1"/>
  <c r="E435" i="17"/>
  <c r="E437" i="17" s="1"/>
  <c r="D437" i="17" s="1"/>
  <c r="V385" i="17"/>
  <c r="X385" i="17" s="1"/>
  <c r="L385" i="17"/>
  <c r="W385" i="17" s="1"/>
  <c r="V384" i="17"/>
  <c r="X384" i="17" s="1"/>
  <c r="L384" i="17"/>
  <c r="N384" i="17" s="1"/>
  <c r="V383" i="17"/>
  <c r="X383" i="17" s="1"/>
  <c r="L383" i="17"/>
  <c r="M383" i="17" s="1"/>
  <c r="V382" i="17"/>
  <c r="X382" i="17" s="1"/>
  <c r="L382" i="17"/>
  <c r="W382" i="17" s="1"/>
  <c r="V381" i="17"/>
  <c r="X381" i="17" s="1"/>
  <c r="L381" i="17"/>
  <c r="N381" i="17" s="1"/>
  <c r="V380" i="17"/>
  <c r="X380" i="17" s="1"/>
  <c r="L380" i="17"/>
  <c r="V379" i="17"/>
  <c r="X379" i="17" s="1"/>
  <c r="L379" i="17"/>
  <c r="N379" i="17" s="1"/>
  <c r="V378" i="17"/>
  <c r="X378" i="17" s="1"/>
  <c r="L378" i="17"/>
  <c r="N378" i="17" s="1"/>
  <c r="V377" i="17"/>
  <c r="X377" i="17" s="1"/>
  <c r="L377" i="17"/>
  <c r="N377" i="17" s="1"/>
  <c r="V376" i="17"/>
  <c r="X376" i="17" s="1"/>
  <c r="L376" i="17"/>
  <c r="V375" i="17"/>
  <c r="X375" i="17" s="1"/>
  <c r="L375" i="17"/>
  <c r="N375" i="17" s="1"/>
  <c r="V374" i="17"/>
  <c r="X374" i="17" s="1"/>
  <c r="L374" i="17"/>
  <c r="N374" i="17" s="1"/>
  <c r="V373" i="17"/>
  <c r="X373" i="17" s="1"/>
  <c r="L373" i="17"/>
  <c r="N373" i="17" s="1"/>
  <c r="V372" i="17"/>
  <c r="X372" i="17" s="1"/>
  <c r="L372" i="17"/>
  <c r="V371" i="17"/>
  <c r="X371" i="17" s="1"/>
  <c r="L371" i="17"/>
  <c r="AE371" i="17" s="1"/>
  <c r="V370" i="17"/>
  <c r="X370" i="17" s="1"/>
  <c r="L370" i="17"/>
  <c r="N370" i="17" s="1"/>
  <c r="V369" i="17"/>
  <c r="X369" i="17" s="1"/>
  <c r="L369" i="17"/>
  <c r="N369" i="17" s="1"/>
  <c r="V368" i="17"/>
  <c r="X368" i="17" s="1"/>
  <c r="L368" i="17"/>
  <c r="N368" i="17" s="1"/>
  <c r="AF351" i="17"/>
  <c r="AF350" i="17"/>
  <c r="AF349" i="17"/>
  <c r="AB328" i="17"/>
  <c r="F150" i="17"/>
  <c r="E149" i="17"/>
  <c r="I145" i="17"/>
  <c r="I142" i="17"/>
  <c r="I141" i="17"/>
  <c r="I140" i="17"/>
  <c r="I139" i="17"/>
  <c r="I138" i="17"/>
  <c r="I137" i="17"/>
  <c r="I133" i="17"/>
  <c r="I132" i="17"/>
  <c r="E127" i="17"/>
  <c r="D127" i="17"/>
  <c r="H124" i="17"/>
  <c r="I124" i="17" s="1"/>
  <c r="H123" i="17"/>
  <c r="I123" i="17" s="1"/>
  <c r="E123" i="17"/>
  <c r="D123" i="17"/>
  <c r="H116" i="17"/>
  <c r="I116" i="17" s="1"/>
  <c r="D116" i="17"/>
  <c r="I109" i="17"/>
  <c r="I108" i="17"/>
  <c r="I105" i="17"/>
  <c r="H104" i="17"/>
  <c r="I104" i="17" s="1"/>
  <c r="I102" i="17"/>
  <c r="H92" i="17"/>
  <c r="I92" i="17" s="1"/>
  <c r="H91" i="17"/>
  <c r="I91" i="17" s="1"/>
  <c r="H87" i="17"/>
  <c r="I87" i="17" s="1"/>
  <c r="E87" i="17"/>
  <c r="D87" i="17"/>
  <c r="H86" i="17"/>
  <c r="I86" i="17" s="1"/>
  <c r="E86" i="17"/>
  <c r="D86" i="17"/>
  <c r="H84" i="17"/>
  <c r="I84" i="17" s="1"/>
  <c r="E84" i="17"/>
  <c r="D84" i="17"/>
  <c r="H80" i="17"/>
  <c r="I80" i="17" s="1"/>
  <c r="E80" i="17"/>
  <c r="D80" i="17"/>
  <c r="H79" i="17"/>
  <c r="I79" i="17" s="1"/>
  <c r="E79" i="17"/>
  <c r="D79" i="17"/>
  <c r="H78" i="17"/>
  <c r="I78" i="17" s="1"/>
  <c r="E78" i="17"/>
  <c r="D78" i="17"/>
  <c r="H77" i="17"/>
  <c r="I77" i="17" s="1"/>
  <c r="E77" i="17"/>
  <c r="D77" i="17"/>
  <c r="H76" i="17"/>
  <c r="I76" i="17" s="1"/>
  <c r="E76" i="17"/>
  <c r="D76" i="17"/>
  <c r="H71" i="17"/>
  <c r="I71" i="17" s="1"/>
  <c r="H70" i="17"/>
  <c r="I70" i="17" s="1"/>
  <c r="H69" i="17"/>
  <c r="I69" i="17" s="1"/>
  <c r="E69" i="17"/>
  <c r="D69" i="17"/>
  <c r="H68" i="17"/>
  <c r="I68" i="17" s="1"/>
  <c r="E68" i="17"/>
  <c r="D68" i="17"/>
  <c r="H66" i="17"/>
  <c r="I66" i="17" s="1"/>
  <c r="E66" i="17"/>
  <c r="D66" i="17"/>
  <c r="E65" i="17"/>
  <c r="D65" i="17"/>
  <c r="H64" i="17"/>
  <c r="I64" i="17" s="1"/>
  <c r="E64" i="17"/>
  <c r="D64" i="17"/>
  <c r="H62" i="17"/>
  <c r="I62" i="17" s="1"/>
  <c r="E62" i="17"/>
  <c r="D62" i="17"/>
  <c r="H61" i="17"/>
  <c r="I61" i="17" s="1"/>
  <c r="E61" i="17"/>
  <c r="D61" i="17"/>
  <c r="E60" i="17"/>
  <c r="D60" i="17"/>
  <c r="E58" i="17"/>
  <c r="D58" i="17"/>
  <c r="E57" i="17"/>
  <c r="D57" i="17"/>
  <c r="E56" i="17"/>
  <c r="D56" i="17"/>
  <c r="H53" i="17"/>
  <c r="I53" i="17" s="1"/>
  <c r="E53" i="17"/>
  <c r="D53" i="17"/>
  <c r="I52" i="17"/>
  <c r="H47" i="17"/>
  <c r="I47" i="17" s="1"/>
  <c r="I46" i="17"/>
  <c r="H45" i="17"/>
  <c r="I45" i="17" s="1"/>
  <c r="E45" i="17"/>
  <c r="D45" i="17"/>
  <c r="H44" i="17"/>
  <c r="I44" i="17" s="1"/>
  <c r="E44" i="17"/>
  <c r="D44" i="17"/>
  <c r="G43" i="17"/>
  <c r="H43" i="17"/>
  <c r="I43" i="17" s="1"/>
  <c r="E43" i="17"/>
  <c r="D43" i="17"/>
  <c r="G42" i="17"/>
  <c r="H42" i="17"/>
  <c r="I42" i="17" s="1"/>
  <c r="E42" i="17"/>
  <c r="D42" i="17"/>
  <c r="G41" i="17"/>
  <c r="H41" i="17"/>
  <c r="I41" i="17" s="1"/>
  <c r="E41" i="17"/>
  <c r="D41" i="17"/>
  <c r="H40" i="17"/>
  <c r="I40" i="17" s="1"/>
  <c r="E40" i="17"/>
  <c r="D40" i="17"/>
  <c r="D36" i="17"/>
  <c r="H30" i="17"/>
  <c r="I30" i="17" s="1"/>
  <c r="H29" i="17"/>
  <c r="I29" i="17" s="1"/>
  <c r="G24" i="17"/>
  <c r="H24" i="17" s="1"/>
  <c r="I24" i="17" s="1"/>
  <c r="E24" i="17"/>
  <c r="D24" i="17"/>
  <c r="L23" i="17"/>
  <c r="AI344" i="17" s="1"/>
  <c r="G23" i="17"/>
  <c r="H23" i="17" s="1"/>
  <c r="I23" i="17" s="1"/>
  <c r="E23" i="17"/>
  <c r="D23" i="17"/>
  <c r="L22" i="17"/>
  <c r="L25" i="17" s="1"/>
  <c r="H22" i="17"/>
  <c r="I22" i="17" s="1"/>
  <c r="E22" i="17"/>
  <c r="D22" i="17"/>
  <c r="H21" i="17"/>
  <c r="I21" i="17" s="1"/>
  <c r="G19" i="17"/>
  <c r="H19" i="17" s="1"/>
  <c r="I19" i="17" s="1"/>
  <c r="E19" i="17"/>
  <c r="D19" i="17"/>
  <c r="L18" i="17"/>
  <c r="L21" i="17" s="1"/>
  <c r="G18" i="17"/>
  <c r="H18" i="17" s="1"/>
  <c r="I18" i="17" s="1"/>
  <c r="E18" i="17"/>
  <c r="D18" i="17"/>
  <c r="L17" i="17"/>
  <c r="H17" i="17"/>
  <c r="I17" i="17" s="1"/>
  <c r="E17" i="17"/>
  <c r="D17" i="17"/>
  <c r="F13" i="17"/>
  <c r="C149" i="8" s="1"/>
  <c r="H292" i="16"/>
  <c r="H293" i="16" s="1"/>
  <c r="H294" i="16" s="1"/>
  <c r="H295" i="16" s="1"/>
  <c r="H296" i="16" s="1"/>
  <c r="H297" i="16" s="1"/>
  <c r="H298" i="16" s="1"/>
  <c r="H299" i="16" s="1"/>
  <c r="H300" i="16" s="1"/>
  <c r="H301" i="16" s="1"/>
  <c r="L227" i="16"/>
  <c r="L226" i="16"/>
  <c r="L225" i="16"/>
  <c r="H119" i="16"/>
  <c r="W119" i="16" s="1"/>
  <c r="H118" i="16"/>
  <c r="W118" i="16" s="1"/>
  <c r="H114" i="16"/>
  <c r="W114" i="16" s="1"/>
  <c r="G112" i="16"/>
  <c r="H112" i="16" s="1"/>
  <c r="H105" i="16"/>
  <c r="W105" i="16" s="1"/>
  <c r="H104" i="16"/>
  <c r="W104" i="16" s="1"/>
  <c r="H103" i="16"/>
  <c r="H102" i="16"/>
  <c r="H97" i="16"/>
  <c r="W91" i="16"/>
  <c r="G86" i="16"/>
  <c r="H86" i="16" s="1"/>
  <c r="D86" i="16"/>
  <c r="C86" i="16"/>
  <c r="L84" i="16"/>
  <c r="K84" i="16"/>
  <c r="H84" i="16"/>
  <c r="D78" i="16"/>
  <c r="C78" i="16"/>
  <c r="G60" i="16"/>
  <c r="H60" i="16" s="1"/>
  <c r="D60" i="16"/>
  <c r="C60" i="16"/>
  <c r="G59" i="16"/>
  <c r="H59" i="16" s="1"/>
  <c r="W59" i="16" s="1"/>
  <c r="D59" i="16"/>
  <c r="C59" i="16"/>
  <c r="G58" i="16"/>
  <c r="H58" i="16" s="1"/>
  <c r="D58" i="16"/>
  <c r="C58" i="16"/>
  <c r="G57" i="16"/>
  <c r="H57" i="16" s="1"/>
  <c r="D57" i="16"/>
  <c r="C57" i="16"/>
  <c r="G56" i="16"/>
  <c r="H56" i="16" s="1"/>
  <c r="W56" i="16" s="1"/>
  <c r="D56" i="16"/>
  <c r="C56" i="16"/>
  <c r="G55" i="16"/>
  <c r="H55" i="16" s="1"/>
  <c r="W55" i="16" s="1"/>
  <c r="D55" i="16"/>
  <c r="C55" i="16"/>
  <c r="G52" i="16"/>
  <c r="H52" i="16" s="1"/>
  <c r="W52" i="16" s="1"/>
  <c r="D52" i="16"/>
  <c r="C52" i="16"/>
  <c r="G50" i="16"/>
  <c r="H50" i="16" s="1"/>
  <c r="D50" i="16"/>
  <c r="C50" i="16"/>
  <c r="G44" i="16"/>
  <c r="H44" i="16" s="1"/>
  <c r="W44" i="16" s="1"/>
  <c r="D44" i="16"/>
  <c r="C44" i="16"/>
  <c r="G42" i="16"/>
  <c r="H42" i="16" s="1"/>
  <c r="W42" i="16" s="1"/>
  <c r="G41" i="16"/>
  <c r="H41" i="16" s="1"/>
  <c r="W41" i="16" s="1"/>
  <c r="G40" i="16"/>
  <c r="H40" i="16"/>
  <c r="W40" i="16" s="1"/>
  <c r="G39" i="16"/>
  <c r="H39" i="16" s="1"/>
  <c r="W39" i="16" s="1"/>
  <c r="G38" i="16"/>
  <c r="H38" i="16" s="1"/>
  <c r="K36" i="16"/>
  <c r="K35" i="16"/>
  <c r="H31" i="16"/>
  <c r="H25" i="16"/>
  <c r="H22" i="16"/>
  <c r="H20" i="16"/>
  <c r="H19" i="16"/>
  <c r="H18" i="16"/>
  <c r="W18" i="16" s="1"/>
  <c r="K17" i="16"/>
  <c r="G17" i="16"/>
  <c r="H17" i="16" s="1"/>
  <c r="W17" i="16" s="1"/>
  <c r="D17" i="16"/>
  <c r="U10" i="16"/>
  <c r="V10" i="16" s="1"/>
  <c r="E13" i="9"/>
  <c r="AE276" i="9"/>
  <c r="AE275" i="9"/>
  <c r="AE274" i="9"/>
  <c r="AA253" i="9"/>
  <c r="AA254" i="9"/>
  <c r="E285" i="15"/>
  <c r="E284" i="15"/>
  <c r="E283" i="15"/>
  <c r="E282" i="15"/>
  <c r="E281" i="15"/>
  <c r="E280" i="15"/>
  <c r="E279" i="15"/>
  <c r="E278" i="15"/>
  <c r="E277" i="15"/>
  <c r="E276" i="15"/>
  <c r="E275" i="15"/>
  <c r="E274" i="15"/>
  <c r="E273" i="15"/>
  <c r="E272" i="15"/>
  <c r="E271" i="15"/>
  <c r="E270" i="15"/>
  <c r="E269" i="15"/>
  <c r="E268" i="15"/>
  <c r="E267" i="15"/>
  <c r="E266" i="15"/>
  <c r="E265" i="15"/>
  <c r="E264" i="15"/>
  <c r="E263"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30" i="15"/>
  <c r="E229"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W38" i="16"/>
  <c r="AI342" i="17"/>
  <c r="AI330" i="17"/>
  <c r="AI349" i="17"/>
  <c r="AI333" i="17"/>
  <c r="AC344" i="17"/>
  <c r="AE369" i="17"/>
  <c r="M371" i="17"/>
  <c r="D441" i="17"/>
  <c r="W84" i="16"/>
  <c r="T791" i="14"/>
  <c r="T790" i="14"/>
  <c r="T789" i="14"/>
  <c r="T788" i="14"/>
  <c r="T787" i="14"/>
  <c r="T786" i="14"/>
  <c r="T785" i="14"/>
  <c r="T784" i="14"/>
  <c r="T783" i="14"/>
  <c r="T782" i="14"/>
  <c r="T781" i="14"/>
  <c r="T780" i="14"/>
  <c r="T779" i="14"/>
  <c r="T778" i="14"/>
  <c r="T777" i="14"/>
  <c r="T776" i="14"/>
  <c r="T775" i="14"/>
  <c r="T774" i="14"/>
  <c r="T773" i="14"/>
  <c r="T772" i="14"/>
  <c r="T771" i="14"/>
  <c r="T770" i="14"/>
  <c r="T769" i="14"/>
  <c r="T768" i="14"/>
  <c r="T767" i="14"/>
  <c r="T766" i="14"/>
  <c r="T765" i="14"/>
  <c r="T764" i="14"/>
  <c r="T763" i="14"/>
  <c r="T762" i="14"/>
  <c r="T761" i="14"/>
  <c r="T760" i="14"/>
  <c r="T759" i="14"/>
  <c r="T758" i="14"/>
  <c r="T757" i="14"/>
  <c r="T756" i="14"/>
  <c r="T755" i="14"/>
  <c r="T754" i="14"/>
  <c r="T753" i="14"/>
  <c r="T752" i="14"/>
  <c r="T751" i="14"/>
  <c r="T750" i="14"/>
  <c r="T749" i="14"/>
  <c r="T748" i="14"/>
  <c r="T747" i="14"/>
  <c r="T746" i="14"/>
  <c r="T745" i="14"/>
  <c r="T744" i="14"/>
  <c r="T743" i="14"/>
  <c r="T742" i="14"/>
  <c r="T741" i="14"/>
  <c r="T740" i="14"/>
  <c r="T739" i="14"/>
  <c r="T738" i="14"/>
  <c r="T737" i="14"/>
  <c r="T736" i="14"/>
  <c r="T735" i="14"/>
  <c r="T734" i="14"/>
  <c r="T733" i="14"/>
  <c r="T732" i="14"/>
  <c r="T731" i="14"/>
  <c r="T730" i="14"/>
  <c r="T729" i="14"/>
  <c r="T728" i="14"/>
  <c r="T727" i="14"/>
  <c r="T726" i="14"/>
  <c r="T725" i="14"/>
  <c r="T724" i="14"/>
  <c r="T723" i="14"/>
  <c r="T722" i="14"/>
  <c r="T721" i="14"/>
  <c r="T720" i="14"/>
  <c r="T719" i="14"/>
  <c r="T718" i="14"/>
  <c r="T717" i="14"/>
  <c r="T716" i="14"/>
  <c r="T715" i="14"/>
  <c r="T714" i="14"/>
  <c r="T713" i="14"/>
  <c r="T712" i="14"/>
  <c r="T711" i="14"/>
  <c r="T710" i="14"/>
  <c r="T709" i="14"/>
  <c r="T708" i="14"/>
  <c r="T707" i="14"/>
  <c r="T706" i="14"/>
  <c r="T705" i="14"/>
  <c r="T704" i="14"/>
  <c r="T703" i="14"/>
  <c r="T702" i="14"/>
  <c r="T701" i="14"/>
  <c r="T700" i="14"/>
  <c r="T699" i="14"/>
  <c r="T698" i="14"/>
  <c r="T697" i="14"/>
  <c r="T696" i="14"/>
  <c r="T695" i="14"/>
  <c r="T694" i="14"/>
  <c r="T693" i="14"/>
  <c r="T692" i="14"/>
  <c r="T691" i="14"/>
  <c r="T690" i="14"/>
  <c r="T689" i="14"/>
  <c r="T688" i="14"/>
  <c r="T687" i="14"/>
  <c r="T686" i="14"/>
  <c r="T685" i="14"/>
  <c r="T684" i="14"/>
  <c r="T683" i="14"/>
  <c r="T682" i="14"/>
  <c r="T681" i="14"/>
  <c r="T680" i="14"/>
  <c r="T679" i="14"/>
  <c r="T678" i="14"/>
  <c r="T677" i="14"/>
  <c r="T676" i="14"/>
  <c r="T675" i="14"/>
  <c r="T674" i="14"/>
  <c r="T673" i="14"/>
  <c r="T672" i="14"/>
  <c r="T671" i="14"/>
  <c r="T670" i="14"/>
  <c r="T669" i="14"/>
  <c r="T668" i="14"/>
  <c r="T667" i="14"/>
  <c r="T666" i="14"/>
  <c r="T665" i="14"/>
  <c r="T664" i="14"/>
  <c r="T663" i="14"/>
  <c r="T662" i="14"/>
  <c r="T661" i="14"/>
  <c r="T660" i="14"/>
  <c r="T659" i="14"/>
  <c r="T658" i="14"/>
  <c r="T657" i="14"/>
  <c r="T656" i="14"/>
  <c r="T655" i="14"/>
  <c r="T654" i="14"/>
  <c r="T653" i="14"/>
  <c r="T652" i="14"/>
  <c r="T651" i="14"/>
  <c r="T650" i="14"/>
  <c r="T649" i="14"/>
  <c r="T648" i="14"/>
  <c r="T647" i="14"/>
  <c r="T646" i="14"/>
  <c r="T645" i="14"/>
  <c r="T644" i="14"/>
  <c r="T643" i="14"/>
  <c r="T642" i="14"/>
  <c r="T641" i="14"/>
  <c r="T640" i="14"/>
  <c r="T639" i="14"/>
  <c r="T638" i="14"/>
  <c r="T637" i="14"/>
  <c r="T636" i="14"/>
  <c r="T635" i="14"/>
  <c r="T634" i="14"/>
  <c r="T633" i="14"/>
  <c r="T632" i="14"/>
  <c r="T631" i="14"/>
  <c r="T630" i="14"/>
  <c r="T629" i="14"/>
  <c r="T628" i="14"/>
  <c r="T627" i="14"/>
  <c r="T626" i="14"/>
  <c r="T625" i="14"/>
  <c r="T624" i="14"/>
  <c r="T623" i="14"/>
  <c r="T622" i="14"/>
  <c r="T621" i="14"/>
  <c r="T620" i="14"/>
  <c r="T619" i="14"/>
  <c r="T618" i="14"/>
  <c r="T617" i="14"/>
  <c r="T616" i="14"/>
  <c r="T615" i="14"/>
  <c r="T614" i="14"/>
  <c r="T613" i="14"/>
  <c r="T612" i="14"/>
  <c r="T611" i="14"/>
  <c r="T610" i="14"/>
  <c r="T609" i="14"/>
  <c r="T608" i="14"/>
  <c r="T607" i="14"/>
  <c r="T606" i="14"/>
  <c r="T605" i="14"/>
  <c r="T604" i="14"/>
  <c r="T603" i="14"/>
  <c r="T602" i="14"/>
  <c r="T601" i="14"/>
  <c r="T600" i="14"/>
  <c r="T599" i="14"/>
  <c r="T598" i="14"/>
  <c r="T597" i="14"/>
  <c r="T596" i="14"/>
  <c r="T595" i="14"/>
  <c r="T594" i="14"/>
  <c r="T593" i="14"/>
  <c r="T592" i="14"/>
  <c r="T591" i="14"/>
  <c r="T590" i="14"/>
  <c r="T589" i="14"/>
  <c r="T588" i="14"/>
  <c r="T587" i="14"/>
  <c r="T586" i="14"/>
  <c r="T585" i="14"/>
  <c r="T584" i="14"/>
  <c r="T583" i="14"/>
  <c r="T582" i="14"/>
  <c r="T581" i="14"/>
  <c r="T580" i="14"/>
  <c r="T579" i="14"/>
  <c r="T578" i="14"/>
  <c r="T577" i="14"/>
  <c r="T576" i="14"/>
  <c r="T575" i="14"/>
  <c r="T574" i="14"/>
  <c r="T573" i="14"/>
  <c r="T572" i="14"/>
  <c r="T571" i="14"/>
  <c r="T570" i="14"/>
  <c r="T569" i="14"/>
  <c r="T568" i="14"/>
  <c r="T567" i="14"/>
  <c r="T566" i="14"/>
  <c r="T565" i="14"/>
  <c r="T564" i="14"/>
  <c r="T563" i="14"/>
  <c r="T562" i="14"/>
  <c r="T561" i="14"/>
  <c r="T560" i="14"/>
  <c r="T559" i="14"/>
  <c r="T558" i="14"/>
  <c r="T557" i="14"/>
  <c r="T556" i="14"/>
  <c r="T555" i="14"/>
  <c r="T554" i="14"/>
  <c r="T553" i="14"/>
  <c r="T552" i="14"/>
  <c r="T551" i="14"/>
  <c r="T550" i="14"/>
  <c r="T549" i="14"/>
  <c r="T548" i="14"/>
  <c r="T547" i="14"/>
  <c r="T546" i="14"/>
  <c r="T545" i="14"/>
  <c r="T544" i="14"/>
  <c r="T543" i="14"/>
  <c r="T542" i="14"/>
  <c r="T541" i="14"/>
  <c r="T540" i="14"/>
  <c r="T539" i="14"/>
  <c r="T538" i="14"/>
  <c r="T537" i="14"/>
  <c r="T536" i="14"/>
  <c r="T535" i="14"/>
  <c r="T534" i="14"/>
  <c r="T533" i="14"/>
  <c r="T532" i="14"/>
  <c r="T531" i="14"/>
  <c r="T530" i="14"/>
  <c r="T529" i="14"/>
  <c r="T528" i="14"/>
  <c r="T527" i="14"/>
  <c r="T526" i="14"/>
  <c r="T525" i="14"/>
  <c r="T524" i="14"/>
  <c r="T523" i="14"/>
  <c r="T522" i="14"/>
  <c r="T521" i="14"/>
  <c r="T520" i="14"/>
  <c r="T519" i="14"/>
  <c r="T518" i="14"/>
  <c r="T517" i="14"/>
  <c r="T516" i="14"/>
  <c r="T515" i="14"/>
  <c r="T514" i="14"/>
  <c r="T513" i="14"/>
  <c r="T512" i="14"/>
  <c r="T511" i="14"/>
  <c r="T510" i="14"/>
  <c r="T509" i="14"/>
  <c r="T508" i="14"/>
  <c r="T507" i="14"/>
  <c r="T506" i="14"/>
  <c r="T505" i="14"/>
  <c r="T504" i="14"/>
  <c r="T503" i="14"/>
  <c r="T502" i="14"/>
  <c r="T501" i="14"/>
  <c r="T500" i="14"/>
  <c r="T499" i="14"/>
  <c r="T498" i="14"/>
  <c r="T497" i="14"/>
  <c r="T496" i="14"/>
  <c r="T495" i="14"/>
  <c r="T494" i="14"/>
  <c r="T493" i="14"/>
  <c r="T492" i="14"/>
  <c r="T491" i="14"/>
  <c r="T490" i="14"/>
  <c r="T489" i="14"/>
  <c r="T488" i="14"/>
  <c r="T487" i="14"/>
  <c r="T486" i="14"/>
  <c r="T485" i="14"/>
  <c r="T484" i="14"/>
  <c r="T483" i="14"/>
  <c r="T482" i="14"/>
  <c r="T481" i="14"/>
  <c r="T480" i="14"/>
  <c r="T479" i="14"/>
  <c r="T478" i="14"/>
  <c r="T477" i="14"/>
  <c r="T476" i="14"/>
  <c r="T475" i="14"/>
  <c r="T474" i="14"/>
  <c r="T473" i="14"/>
  <c r="T472" i="14"/>
  <c r="T471" i="14"/>
  <c r="T470" i="14"/>
  <c r="T469" i="14"/>
  <c r="T468" i="14"/>
  <c r="T467" i="14"/>
  <c r="T466" i="14"/>
  <c r="T465" i="14"/>
  <c r="T464" i="14"/>
  <c r="T463" i="14"/>
  <c r="T462" i="14"/>
  <c r="T461" i="14"/>
  <c r="T460" i="14"/>
  <c r="T459" i="14"/>
  <c r="T458" i="14"/>
  <c r="T457" i="14"/>
  <c r="T456" i="14"/>
  <c r="T455" i="14"/>
  <c r="T454" i="14"/>
  <c r="T453" i="14"/>
  <c r="T452" i="14"/>
  <c r="T451" i="14"/>
  <c r="T450" i="14"/>
  <c r="T449" i="14"/>
  <c r="T448" i="14"/>
  <c r="T447" i="14"/>
  <c r="T446" i="14"/>
  <c r="T445" i="14"/>
  <c r="T444" i="14"/>
  <c r="T443" i="14"/>
  <c r="T442" i="14"/>
  <c r="T441" i="14"/>
  <c r="T440" i="14"/>
  <c r="T439" i="14"/>
  <c r="T438" i="14"/>
  <c r="T437" i="14"/>
  <c r="T436" i="14"/>
  <c r="T435" i="14"/>
  <c r="T434" i="14"/>
  <c r="T433" i="14"/>
  <c r="T432" i="14"/>
  <c r="T431" i="14"/>
  <c r="T430" i="14"/>
  <c r="T429" i="14"/>
  <c r="T428" i="14"/>
  <c r="T427" i="14"/>
  <c r="T426" i="14"/>
  <c r="T425" i="14"/>
  <c r="T424" i="14"/>
  <c r="T423" i="14"/>
  <c r="T422" i="14"/>
  <c r="T421" i="14"/>
  <c r="T420" i="14"/>
  <c r="T419" i="14"/>
  <c r="T418" i="14"/>
  <c r="T417" i="14"/>
  <c r="T416" i="14"/>
  <c r="T415" i="14"/>
  <c r="T414" i="14"/>
  <c r="T413" i="14"/>
  <c r="T412" i="14"/>
  <c r="T411" i="14"/>
  <c r="T410" i="14"/>
  <c r="T409" i="14"/>
  <c r="T408" i="14"/>
  <c r="T407" i="14"/>
  <c r="T406" i="14"/>
  <c r="T405" i="14"/>
  <c r="T404" i="14"/>
  <c r="T403" i="14"/>
  <c r="T402" i="14"/>
  <c r="T401" i="14"/>
  <c r="T400" i="14"/>
  <c r="T399" i="14"/>
  <c r="T398" i="14"/>
  <c r="T397" i="14"/>
  <c r="T396" i="14"/>
  <c r="T395" i="14"/>
  <c r="T394" i="14"/>
  <c r="T393" i="14"/>
  <c r="T392" i="14"/>
  <c r="T391" i="14"/>
  <c r="T390" i="14"/>
  <c r="T389" i="14"/>
  <c r="T388" i="14"/>
  <c r="T387" i="14"/>
  <c r="T386" i="14"/>
  <c r="T385" i="14"/>
  <c r="T384" i="14"/>
  <c r="T383" i="14"/>
  <c r="T382" i="14"/>
  <c r="T381" i="14"/>
  <c r="T380" i="14"/>
  <c r="T379" i="14"/>
  <c r="T378" i="14"/>
  <c r="T377" i="14"/>
  <c r="T376" i="14"/>
  <c r="T375" i="14"/>
  <c r="T374" i="14"/>
  <c r="T373" i="14"/>
  <c r="T372" i="14"/>
  <c r="T371" i="14"/>
  <c r="T370" i="14"/>
  <c r="T369" i="14"/>
  <c r="T368" i="14"/>
  <c r="T367" i="14"/>
  <c r="T366" i="14"/>
  <c r="T365" i="14"/>
  <c r="T364" i="14"/>
  <c r="T363" i="14"/>
  <c r="T362" i="14"/>
  <c r="T361" i="14"/>
  <c r="T360" i="14"/>
  <c r="T359" i="14"/>
  <c r="T358" i="14"/>
  <c r="T357" i="14"/>
  <c r="T356" i="14"/>
  <c r="T355" i="14"/>
  <c r="T354" i="14"/>
  <c r="T353" i="14"/>
  <c r="T352" i="14"/>
  <c r="T351" i="14"/>
  <c r="T350" i="14"/>
  <c r="T349" i="14"/>
  <c r="T348" i="14"/>
  <c r="T347" i="14"/>
  <c r="T346" i="14"/>
  <c r="T345" i="14"/>
  <c r="T344" i="14"/>
  <c r="T343" i="14"/>
  <c r="T342" i="14"/>
  <c r="T341" i="14"/>
  <c r="T340" i="14"/>
  <c r="T339" i="14"/>
  <c r="T338" i="14"/>
  <c r="T337" i="14"/>
  <c r="T336" i="14"/>
  <c r="T335" i="14"/>
  <c r="T334" i="14"/>
  <c r="T333" i="14"/>
  <c r="T332" i="14"/>
  <c r="T331" i="14"/>
  <c r="T330" i="14"/>
  <c r="T329" i="14"/>
  <c r="T328" i="14"/>
  <c r="T327" i="14"/>
  <c r="T326" i="14"/>
  <c r="T325" i="14"/>
  <c r="T324" i="14"/>
  <c r="T323" i="14"/>
  <c r="T322" i="14"/>
  <c r="T321" i="14"/>
  <c r="T320" i="14"/>
  <c r="T319" i="14"/>
  <c r="T318" i="14"/>
  <c r="T317" i="14"/>
  <c r="T316" i="14"/>
  <c r="T315" i="14"/>
  <c r="T314" i="14"/>
  <c r="T313" i="14"/>
  <c r="T312" i="14"/>
  <c r="T311" i="14"/>
  <c r="T310" i="14"/>
  <c r="T309" i="14"/>
  <c r="T308" i="14"/>
  <c r="T307" i="14"/>
  <c r="T306" i="14"/>
  <c r="T305" i="14"/>
  <c r="T304" i="14"/>
  <c r="T303" i="14"/>
  <c r="T302" i="14"/>
  <c r="T301" i="14"/>
  <c r="T300" i="14"/>
  <c r="T299" i="14"/>
  <c r="T298" i="14"/>
  <c r="T297" i="14"/>
  <c r="T296" i="14"/>
  <c r="T295" i="14"/>
  <c r="T294" i="14"/>
  <c r="T293" i="14"/>
  <c r="T292" i="14"/>
  <c r="T291" i="14"/>
  <c r="T290" i="14"/>
  <c r="T289" i="14"/>
  <c r="T288" i="14"/>
  <c r="T287" i="14"/>
  <c r="T286" i="14"/>
  <c r="T285" i="14"/>
  <c r="T284" i="14"/>
  <c r="T283" i="14"/>
  <c r="T282" i="14"/>
  <c r="T281" i="14"/>
  <c r="T280" i="14"/>
  <c r="T279" i="14"/>
  <c r="T278" i="14"/>
  <c r="T277" i="14"/>
  <c r="T276" i="14"/>
  <c r="T275" i="14"/>
  <c r="T274" i="14"/>
  <c r="T273" i="14"/>
  <c r="T272" i="14"/>
  <c r="T271" i="14"/>
  <c r="T270" i="14"/>
  <c r="T269" i="14"/>
  <c r="T268" i="14"/>
  <c r="T267" i="14"/>
  <c r="T266" i="14"/>
  <c r="T265" i="14"/>
  <c r="T264" i="14"/>
  <c r="T263" i="14"/>
  <c r="T262" i="14"/>
  <c r="T261" i="14"/>
  <c r="T260" i="14"/>
  <c r="T259" i="14"/>
  <c r="T258" i="14"/>
  <c r="T257" i="14"/>
  <c r="T256" i="14"/>
  <c r="T255" i="14"/>
  <c r="T254" i="14"/>
  <c r="T253" i="14"/>
  <c r="T252" i="14"/>
  <c r="T251" i="14"/>
  <c r="T250" i="14"/>
  <c r="T249" i="14"/>
  <c r="T248" i="14"/>
  <c r="T247" i="14"/>
  <c r="T246" i="14"/>
  <c r="T245" i="14"/>
  <c r="T244" i="14"/>
  <c r="T243" i="14"/>
  <c r="T242" i="14"/>
  <c r="T241" i="14"/>
  <c r="T240" i="14"/>
  <c r="T239" i="14"/>
  <c r="T238" i="14"/>
  <c r="T237" i="14"/>
  <c r="T236" i="14"/>
  <c r="T235" i="14"/>
  <c r="T234" i="14"/>
  <c r="T233" i="14"/>
  <c r="T232" i="14"/>
  <c r="T231" i="14"/>
  <c r="T230" i="14"/>
  <c r="T229" i="14"/>
  <c r="T228" i="14"/>
  <c r="T227" i="14"/>
  <c r="T226" i="14"/>
  <c r="T225" i="14"/>
  <c r="T224" i="14"/>
  <c r="T223" i="14"/>
  <c r="T222" i="14"/>
  <c r="T221" i="14"/>
  <c r="T220" i="14"/>
  <c r="T219" i="14"/>
  <c r="T218" i="14"/>
  <c r="T217" i="14"/>
  <c r="T216" i="14"/>
  <c r="T215" i="14"/>
  <c r="T214" i="14"/>
  <c r="T213" i="14"/>
  <c r="T212" i="14"/>
  <c r="T211" i="14"/>
  <c r="T210" i="14"/>
  <c r="T209" i="14"/>
  <c r="T208" i="14"/>
  <c r="T207" i="14"/>
  <c r="T206" i="14"/>
  <c r="T205" i="14"/>
  <c r="T204" i="14"/>
  <c r="T203" i="14"/>
  <c r="T202" i="14"/>
  <c r="T201" i="14"/>
  <c r="T200" i="14"/>
  <c r="T199" i="14"/>
  <c r="T198" i="14"/>
  <c r="T197" i="14"/>
  <c r="T196" i="14"/>
  <c r="T195" i="14"/>
  <c r="T194" i="14"/>
  <c r="T193" i="14"/>
  <c r="T192" i="14"/>
  <c r="T191" i="14"/>
  <c r="T190" i="14"/>
  <c r="T189" i="14"/>
  <c r="T188" i="14"/>
  <c r="T187" i="14"/>
  <c r="T186" i="14"/>
  <c r="T185" i="14"/>
  <c r="T184" i="14"/>
  <c r="T183" i="14"/>
  <c r="T182" i="14"/>
  <c r="T181" i="14"/>
  <c r="T180" i="14"/>
  <c r="T179" i="14"/>
  <c r="T178" i="14"/>
  <c r="T177" i="14"/>
  <c r="T176" i="14"/>
  <c r="T175" i="14"/>
  <c r="T174" i="14"/>
  <c r="T173" i="14"/>
  <c r="T172" i="14"/>
  <c r="T171" i="14"/>
  <c r="T170" i="14"/>
  <c r="T169" i="14"/>
  <c r="T168" i="14"/>
  <c r="T167" i="14"/>
  <c r="T166" i="14"/>
  <c r="T165" i="14"/>
  <c r="T164" i="14"/>
  <c r="T163" i="14"/>
  <c r="T162" i="14"/>
  <c r="T161" i="14"/>
  <c r="T160" i="14"/>
  <c r="T159" i="14"/>
  <c r="T158" i="14"/>
  <c r="T157" i="14"/>
  <c r="T156" i="14"/>
  <c r="T155" i="14"/>
  <c r="T154" i="14"/>
  <c r="T153" i="14"/>
  <c r="T152" i="14"/>
  <c r="T151" i="14"/>
  <c r="T150" i="14"/>
  <c r="T149" i="14"/>
  <c r="T148" i="14"/>
  <c r="T147" i="14"/>
  <c r="T146" i="14"/>
  <c r="T145" i="14"/>
  <c r="T144" i="14"/>
  <c r="T143" i="14"/>
  <c r="T142" i="14"/>
  <c r="T141" i="14"/>
  <c r="T140" i="14"/>
  <c r="T139" i="14"/>
  <c r="T138" i="14"/>
  <c r="T137" i="14"/>
  <c r="T136" i="14"/>
  <c r="T135" i="14"/>
  <c r="T134" i="14"/>
  <c r="T133" i="14"/>
  <c r="T132" i="14"/>
  <c r="T131" i="14"/>
  <c r="T130" i="14"/>
  <c r="T129" i="14"/>
  <c r="T128" i="14"/>
  <c r="T127" i="14"/>
  <c r="T126" i="14"/>
  <c r="T125" i="14"/>
  <c r="T124" i="14"/>
  <c r="T123" i="14"/>
  <c r="T122" i="14"/>
  <c r="T121" i="14"/>
  <c r="T120" i="14"/>
  <c r="T119" i="14"/>
  <c r="T118" i="14"/>
  <c r="T117" i="14"/>
  <c r="T116" i="14"/>
  <c r="T115" i="14"/>
  <c r="T114" i="14"/>
  <c r="T113" i="14"/>
  <c r="T112" i="14"/>
  <c r="T111" i="14"/>
  <c r="T110" i="14"/>
  <c r="T109" i="14"/>
  <c r="T108" i="14"/>
  <c r="T107" i="14"/>
  <c r="T106" i="14"/>
  <c r="T105" i="14"/>
  <c r="T104" i="14"/>
  <c r="T103" i="14"/>
  <c r="T102" i="14"/>
  <c r="T101" i="14"/>
  <c r="T100" i="14"/>
  <c r="T99" i="14"/>
  <c r="T98" i="14"/>
  <c r="T97" i="14"/>
  <c r="T96" i="14"/>
  <c r="T95" i="14"/>
  <c r="T94" i="14"/>
  <c r="T93" i="14"/>
  <c r="T92" i="14"/>
  <c r="T91" i="14"/>
  <c r="T90" i="14"/>
  <c r="T89" i="14"/>
  <c r="T88" i="14"/>
  <c r="T87" i="14"/>
  <c r="T86" i="14"/>
  <c r="T85" i="14"/>
  <c r="T84" i="14"/>
  <c r="T83" i="14"/>
  <c r="T82" i="14"/>
  <c r="T81" i="14"/>
  <c r="T80" i="14"/>
  <c r="T79" i="14"/>
  <c r="T78" i="14"/>
  <c r="T77" i="14"/>
  <c r="T76" i="14"/>
  <c r="T75" i="14"/>
  <c r="T74" i="14"/>
  <c r="T73" i="14"/>
  <c r="T72" i="14"/>
  <c r="T71" i="14"/>
  <c r="T70" i="14"/>
  <c r="T69" i="14"/>
  <c r="T68" i="14"/>
  <c r="T67" i="14"/>
  <c r="T66" i="14"/>
  <c r="T65" i="14"/>
  <c r="T64" i="14"/>
  <c r="T63" i="14"/>
  <c r="T62" i="14"/>
  <c r="T61" i="14"/>
  <c r="T60" i="14"/>
  <c r="T59" i="14"/>
  <c r="T58" i="14"/>
  <c r="T57" i="14"/>
  <c r="T56" i="14"/>
  <c r="T55" i="14"/>
  <c r="T54" i="14"/>
  <c r="T53" i="14"/>
  <c r="T52" i="14"/>
  <c r="T51" i="14"/>
  <c r="T50" i="14"/>
  <c r="T49" i="14"/>
  <c r="T48" i="14"/>
  <c r="T47" i="14"/>
  <c r="T46" i="14"/>
  <c r="T45" i="14"/>
  <c r="T44" i="14"/>
  <c r="T43" i="14"/>
  <c r="T42" i="14"/>
  <c r="T41" i="14"/>
  <c r="T40" i="14"/>
  <c r="T39" i="14"/>
  <c r="T38" i="14"/>
  <c r="T37" i="14"/>
  <c r="T36" i="14"/>
  <c r="T35" i="14"/>
  <c r="T34" i="14"/>
  <c r="T33" i="14"/>
  <c r="T32" i="14"/>
  <c r="T31" i="14"/>
  <c r="T30" i="14"/>
  <c r="T29" i="14"/>
  <c r="T28" i="14"/>
  <c r="T27" i="14"/>
  <c r="T26" i="14"/>
  <c r="T25" i="14"/>
  <c r="T24" i="14"/>
  <c r="T23" i="14"/>
  <c r="T22" i="14"/>
  <c r="T21" i="14"/>
  <c r="T20" i="14"/>
  <c r="T19" i="14"/>
  <c r="T18" i="14"/>
  <c r="K23" i="9"/>
  <c r="K18" i="9"/>
  <c r="AB253" i="9" s="1"/>
  <c r="AC253" i="9" s="1"/>
  <c r="K22" i="9"/>
  <c r="K17" i="9"/>
  <c r="P34" i="8"/>
  <c r="AB255" i="9"/>
  <c r="G203" i="14"/>
  <c r="G202" i="14"/>
  <c r="G201" i="14"/>
  <c r="G200" i="14"/>
  <c r="G199" i="14"/>
  <c r="G198" i="14"/>
  <c r="G197" i="14"/>
  <c r="G196" i="14"/>
  <c r="G195" i="14"/>
  <c r="G194" i="14"/>
  <c r="G193" i="14"/>
  <c r="G192" i="14"/>
  <c r="G191" i="14"/>
  <c r="G190" i="14"/>
  <c r="G189" i="14"/>
  <c r="G188" i="14"/>
  <c r="G187" i="14"/>
  <c r="G186" i="14"/>
  <c r="G185" i="14"/>
  <c r="G184" i="14"/>
  <c r="G183" i="14"/>
  <c r="G182" i="14"/>
  <c r="G181" i="14"/>
  <c r="G180" i="14"/>
  <c r="G179" i="14"/>
  <c r="G178" i="14"/>
  <c r="G177" i="14"/>
  <c r="G176" i="14"/>
  <c r="G175" i="14"/>
  <c r="G174" i="14"/>
  <c r="G173" i="14"/>
  <c r="G172" i="14"/>
  <c r="G171" i="14"/>
  <c r="G170" i="14"/>
  <c r="G169" i="14"/>
  <c r="G168" i="14"/>
  <c r="G167" i="14"/>
  <c r="G166" i="14"/>
  <c r="G165" i="14"/>
  <c r="G164" i="14"/>
  <c r="G163" i="14"/>
  <c r="G162" i="14"/>
  <c r="G161" i="14"/>
  <c r="G160" i="14"/>
  <c r="G159" i="14"/>
  <c r="G158" i="14"/>
  <c r="G157" i="14"/>
  <c r="G156" i="14"/>
  <c r="G155" i="14"/>
  <c r="G154" i="14"/>
  <c r="G153" i="14"/>
  <c r="G152" i="14"/>
  <c r="G151" i="14"/>
  <c r="G150" i="14"/>
  <c r="G149" i="14"/>
  <c r="G148" i="14"/>
  <c r="G147" i="14"/>
  <c r="G146" i="14"/>
  <c r="G145" i="14"/>
  <c r="G144" i="14"/>
  <c r="G143" i="14"/>
  <c r="G142" i="14"/>
  <c r="G141" i="14"/>
  <c r="G140" i="14"/>
  <c r="G139" i="14"/>
  <c r="G138" i="14"/>
  <c r="G137" i="14"/>
  <c r="G136" i="14"/>
  <c r="G135" i="14"/>
  <c r="G134" i="14"/>
  <c r="G133" i="14"/>
  <c r="G132" i="14"/>
  <c r="G131" i="14"/>
  <c r="G130" i="14"/>
  <c r="G129" i="14"/>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F32" i="9"/>
  <c r="F33" i="9" s="1"/>
  <c r="G33" i="9" s="1"/>
  <c r="H33" i="9" s="1"/>
  <c r="P36" i="8"/>
  <c r="F168" i="17"/>
  <c r="C163" i="16"/>
  <c r="O34" i="8" s="1"/>
  <c r="D162" i="16"/>
  <c r="F95" i="9"/>
  <c r="E92" i="9" s="1"/>
  <c r="U310" i="9"/>
  <c r="W310" i="9" s="1"/>
  <c r="U309" i="9"/>
  <c r="W309" i="9" s="1"/>
  <c r="U308" i="9"/>
  <c r="W308" i="9"/>
  <c r="U307" i="9"/>
  <c r="W307" i="9" s="1"/>
  <c r="U306" i="9"/>
  <c r="W306" i="9"/>
  <c r="U305" i="9"/>
  <c r="W305" i="9" s="1"/>
  <c r="U304" i="9"/>
  <c r="W304" i="9" s="1"/>
  <c r="U303" i="9"/>
  <c r="W303" i="9" s="1"/>
  <c r="U302" i="9"/>
  <c r="W302" i="9" s="1"/>
  <c r="U301" i="9"/>
  <c r="W301" i="9" s="1"/>
  <c r="U300" i="9"/>
  <c r="W300" i="9"/>
  <c r="U299" i="9"/>
  <c r="W299" i="9" s="1"/>
  <c r="U298" i="9"/>
  <c r="W298" i="9" s="1"/>
  <c r="U297" i="9"/>
  <c r="W297" i="9" s="1"/>
  <c r="U296" i="9"/>
  <c r="W296" i="9" s="1"/>
  <c r="U295" i="9"/>
  <c r="W295" i="9" s="1"/>
  <c r="U294" i="9"/>
  <c r="W294" i="9" s="1"/>
  <c r="U293" i="9"/>
  <c r="W293" i="9" s="1"/>
  <c r="K310" i="9"/>
  <c r="V310" i="9" s="1"/>
  <c r="K309" i="9"/>
  <c r="L309" i="9" s="1"/>
  <c r="K308" i="9"/>
  <c r="K307" i="9"/>
  <c r="AD307" i="9" s="1"/>
  <c r="K306" i="9"/>
  <c r="M306" i="9" s="1"/>
  <c r="K305" i="9"/>
  <c r="L305" i="9" s="1"/>
  <c r="K304" i="9"/>
  <c r="K303" i="9"/>
  <c r="AD303" i="9" s="1"/>
  <c r="K302" i="9"/>
  <c r="AD302" i="9" s="1"/>
  <c r="K301" i="9"/>
  <c r="AD301" i="9" s="1"/>
  <c r="K300" i="9"/>
  <c r="K299" i="9"/>
  <c r="M299" i="9" s="1"/>
  <c r="K298" i="9"/>
  <c r="AD298" i="9" s="1"/>
  <c r="K297" i="9"/>
  <c r="N297" i="9" s="1"/>
  <c r="K296" i="9"/>
  <c r="AD296" i="9" s="1"/>
  <c r="K295" i="9"/>
  <c r="L295" i="9" s="1"/>
  <c r="K294" i="9"/>
  <c r="V294" i="9" s="1"/>
  <c r="K293" i="9"/>
  <c r="AD300" i="9"/>
  <c r="E99" i="9" s="1"/>
  <c r="G99" i="9"/>
  <c r="H99" i="9" s="1"/>
  <c r="AD304" i="9"/>
  <c r="AD306" i="9"/>
  <c r="AD308" i="9"/>
  <c r="AD293" i="9"/>
  <c r="M298" i="9"/>
  <c r="N304" i="9"/>
  <c r="L304" i="9"/>
  <c r="M295" i="9"/>
  <c r="M303" i="9"/>
  <c r="G73" i="9"/>
  <c r="H73" i="9" s="1"/>
  <c r="G72" i="9"/>
  <c r="H72" i="9" s="1"/>
  <c r="G71" i="9"/>
  <c r="H71" i="9" s="1"/>
  <c r="G70" i="9"/>
  <c r="H70" i="9" s="1"/>
  <c r="F25" i="9"/>
  <c r="G25" i="9" s="1"/>
  <c r="H25" i="9" s="1"/>
  <c r="D371" i="9"/>
  <c r="C371" i="9" s="1"/>
  <c r="D368" i="9"/>
  <c r="D369" i="9" s="1"/>
  <c r="G61" i="9"/>
  <c r="H61" i="9" s="1"/>
  <c r="G60" i="9"/>
  <c r="H60" i="9" s="1"/>
  <c r="G59" i="9"/>
  <c r="H59" i="9" s="1"/>
  <c r="G58" i="9"/>
  <c r="H58" i="9" s="1"/>
  <c r="G57" i="9"/>
  <c r="H57" i="9" s="1"/>
  <c r="G56" i="9"/>
  <c r="H56" i="9" s="1"/>
  <c r="G55" i="9"/>
  <c r="H55" i="9" s="1"/>
  <c r="G54" i="9"/>
  <c r="H54" i="9" s="1"/>
  <c r="G53" i="9"/>
  <c r="H53" i="9" s="1"/>
  <c r="G52" i="9"/>
  <c r="H52" i="9"/>
  <c r="G50" i="9"/>
  <c r="H50" i="9" s="1"/>
  <c r="D25" i="9"/>
  <c r="C25" i="9"/>
  <c r="J7" i="13"/>
  <c r="I7" i="13"/>
  <c r="J8" i="13"/>
  <c r="D10" i="16"/>
  <c r="I8" i="13"/>
  <c r="D11" i="16"/>
  <c r="J6" i="13"/>
  <c r="I6" i="13"/>
  <c r="J5" i="13"/>
  <c r="I5" i="13"/>
  <c r="D372" i="9"/>
  <c r="C372" i="9" s="1"/>
  <c r="F24" i="9"/>
  <c r="F23" i="9"/>
  <c r="G23" i="9" s="1"/>
  <c r="H23" i="9" s="1"/>
  <c r="G21" i="9"/>
  <c r="H21" i="9"/>
  <c r="G22" i="9"/>
  <c r="H22" i="9" s="1"/>
  <c r="D73" i="9"/>
  <c r="C73" i="9"/>
  <c r="D72" i="9"/>
  <c r="C72" i="9"/>
  <c r="D71" i="9"/>
  <c r="C71" i="9"/>
  <c r="D70" i="9"/>
  <c r="C70" i="9"/>
  <c r="F19" i="9"/>
  <c r="G19" i="9"/>
  <c r="H19" i="9" s="1"/>
  <c r="D163" i="16"/>
  <c r="R34" i="8" s="1"/>
  <c r="H398" i="9"/>
  <c r="H397" i="9"/>
  <c r="H396" i="9"/>
  <c r="H395" i="9"/>
  <c r="H394" i="9"/>
  <c r="H393" i="9"/>
  <c r="H392" i="9"/>
  <c r="H391" i="9"/>
  <c r="F399" i="9"/>
  <c r="H399" i="9" s="1"/>
  <c r="F18" i="9"/>
  <c r="G18" i="9" s="1"/>
  <c r="H18" i="9" s="1"/>
  <c r="D50" i="9"/>
  <c r="C50" i="9"/>
  <c r="H43" i="9"/>
  <c r="G42" i="9"/>
  <c r="H42" i="9"/>
  <c r="D42" i="9"/>
  <c r="C42" i="9"/>
  <c r="E122" i="9"/>
  <c r="D121" i="9"/>
  <c r="D102" i="9"/>
  <c r="C102" i="9"/>
  <c r="D98" i="9"/>
  <c r="C98" i="9"/>
  <c r="C95" i="9"/>
  <c r="G98" i="9"/>
  <c r="H98" i="9" s="1"/>
  <c r="D19" i="9"/>
  <c r="C19" i="9"/>
  <c r="D41" i="9"/>
  <c r="C41" i="9"/>
  <c r="D40" i="9"/>
  <c r="C40" i="9"/>
  <c r="D39" i="9"/>
  <c r="C39" i="9"/>
  <c r="D38" i="9"/>
  <c r="C38" i="9"/>
  <c r="D37" i="9"/>
  <c r="C37" i="9"/>
  <c r="D36" i="9"/>
  <c r="C36" i="9"/>
  <c r="D33" i="9"/>
  <c r="C33" i="9"/>
  <c r="G44" i="9"/>
  <c r="H44" i="9"/>
  <c r="G41" i="9"/>
  <c r="H41" i="9" s="1"/>
  <c r="G40" i="9"/>
  <c r="H40" i="9" s="1"/>
  <c r="G36" i="9"/>
  <c r="H36" i="9" s="1"/>
  <c r="F37" i="9"/>
  <c r="G37" i="9" s="1"/>
  <c r="H37" i="9" s="1"/>
  <c r="F39" i="9"/>
  <c r="G39" i="9" s="1"/>
  <c r="H39" i="9" s="1"/>
  <c r="F38" i="9"/>
  <c r="G38" i="9" s="1"/>
  <c r="H38" i="9" s="1"/>
  <c r="D57" i="9"/>
  <c r="C57" i="9"/>
  <c r="D56" i="9"/>
  <c r="C56" i="9"/>
  <c r="D55" i="9"/>
  <c r="C55" i="9"/>
  <c r="D54" i="9"/>
  <c r="C54" i="9"/>
  <c r="D53" i="9"/>
  <c r="C53" i="9"/>
  <c r="D52" i="9"/>
  <c r="C52" i="9"/>
  <c r="G63" i="9"/>
  <c r="H63" i="9" s="1"/>
  <c r="G62" i="9"/>
  <c r="H62" i="9" s="1"/>
  <c r="D61" i="9"/>
  <c r="C61" i="9"/>
  <c r="D60" i="9"/>
  <c r="C60" i="9"/>
  <c r="D59" i="9"/>
  <c r="C59" i="9"/>
  <c r="D58" i="9"/>
  <c r="C58" i="9"/>
  <c r="G51" i="9"/>
  <c r="H51" i="9" s="1"/>
  <c r="D51" i="9"/>
  <c r="C51" i="9"/>
  <c r="G49" i="9"/>
  <c r="H49" i="9" s="1"/>
  <c r="D49" i="9"/>
  <c r="C49" i="9"/>
  <c r="F82" i="9"/>
  <c r="G82" i="9" s="1"/>
  <c r="H82" i="9" s="1"/>
  <c r="G24" i="9"/>
  <c r="H24" i="9" s="1"/>
  <c r="D24" i="9"/>
  <c r="C24" i="9"/>
  <c r="D23" i="9"/>
  <c r="C23" i="9"/>
  <c r="D22" i="9"/>
  <c r="C22" i="9"/>
  <c r="H111" i="9"/>
  <c r="H110" i="9"/>
  <c r="H109" i="9"/>
  <c r="H108" i="9"/>
  <c r="D75" i="9"/>
  <c r="C75" i="9"/>
  <c r="D74" i="9"/>
  <c r="C74" i="9"/>
  <c r="D69" i="9"/>
  <c r="C69" i="9"/>
  <c r="D68" i="9"/>
  <c r="C68" i="9"/>
  <c r="G77" i="9"/>
  <c r="H77" i="9" s="1"/>
  <c r="G76" i="9"/>
  <c r="H76" i="9" s="1"/>
  <c r="G75" i="9"/>
  <c r="H75" i="9" s="1"/>
  <c r="G74" i="9"/>
  <c r="H74" i="9" s="1"/>
  <c r="G69" i="9"/>
  <c r="H69" i="9" s="1"/>
  <c r="G68" i="9"/>
  <c r="H68" i="9" s="1"/>
  <c r="H86" i="9"/>
  <c r="H84" i="9"/>
  <c r="H88" i="9"/>
  <c r="H112" i="9"/>
  <c r="D104" i="8"/>
  <c r="H114" i="9"/>
  <c r="H113" i="9"/>
  <c r="H107" i="9"/>
  <c r="C36" i="8"/>
  <c r="B57" i="1"/>
  <c r="D42" i="1"/>
  <c r="D41" i="1"/>
  <c r="G34" i="1"/>
  <c r="G37" i="1" s="1"/>
  <c r="G28" i="1"/>
  <c r="G27" i="1"/>
  <c r="G26" i="1"/>
  <c r="G21" i="1"/>
  <c r="G20" i="1"/>
  <c r="G19" i="1"/>
  <c r="G18" i="1"/>
  <c r="G15" i="1"/>
  <c r="G13" i="1"/>
  <c r="H390" i="9"/>
  <c r="H389" i="9"/>
  <c r="D365" i="9"/>
  <c r="C365" i="9" s="1"/>
  <c r="D362" i="9"/>
  <c r="C362" i="9" s="1"/>
  <c r="H117" i="9"/>
  <c r="G102" i="9"/>
  <c r="H102" i="9" s="1"/>
  <c r="B95" i="9"/>
  <c r="H89" i="9"/>
  <c r="G85" i="9"/>
  <c r="H85" i="9" s="1"/>
  <c r="D82" i="9"/>
  <c r="C82" i="9"/>
  <c r="D32" i="9"/>
  <c r="C32" i="9"/>
  <c r="G26" i="9"/>
  <c r="H26" i="9" s="1"/>
  <c r="D18" i="9"/>
  <c r="C18" i="9"/>
  <c r="G17" i="9"/>
  <c r="H17" i="9" s="1"/>
  <c r="D17" i="9"/>
  <c r="C17" i="9"/>
  <c r="H87" i="9"/>
  <c r="D140" i="9"/>
  <c r="E140" i="9"/>
  <c r="C142" i="9"/>
  <c r="D142" i="9" s="1"/>
  <c r="D141" i="9"/>
  <c r="AB276" i="9" l="1"/>
  <c r="L20" i="17"/>
  <c r="AE350" i="21"/>
  <c r="W351" i="21"/>
  <c r="Y351" i="21" s="1"/>
  <c r="O343" i="21"/>
  <c r="AI302" i="21"/>
  <c r="AC306" i="21"/>
  <c r="N298" i="9"/>
  <c r="G95" i="9"/>
  <c r="H95" i="9" s="1"/>
  <c r="L310" i="9"/>
  <c r="X310" i="9" s="1"/>
  <c r="Y310" i="9" s="1"/>
  <c r="N294" i="9"/>
  <c r="V302" i="9"/>
  <c r="AC345" i="17"/>
  <c r="AI346" i="17"/>
  <c r="AE351" i="21"/>
  <c r="W343" i="21"/>
  <c r="Y343" i="21" s="1"/>
  <c r="AI297" i="21"/>
  <c r="N337" i="21"/>
  <c r="AD511" i="27"/>
  <c r="M302" i="9"/>
  <c r="AE343" i="21"/>
  <c r="L21" i="21"/>
  <c r="L28" i="21" s="1"/>
  <c r="L302" i="9"/>
  <c r="AI291" i="21"/>
  <c r="AJ291" i="21" s="1"/>
  <c r="AI308" i="21"/>
  <c r="E31" i="25"/>
  <c r="V298" i="9"/>
  <c r="L298" i="9"/>
  <c r="N310" i="9"/>
  <c r="AD310" i="9"/>
  <c r="AI337" i="17"/>
  <c r="O338" i="21"/>
  <c r="AC311" i="21"/>
  <c r="M368" i="17"/>
  <c r="N306" i="9"/>
  <c r="AC310" i="21"/>
  <c r="H64" i="9"/>
  <c r="H27" i="27"/>
  <c r="I27" i="27" s="1"/>
  <c r="E189" i="27" s="1"/>
  <c r="F323" i="27"/>
  <c r="G323" i="27" s="1"/>
  <c r="H28" i="27"/>
  <c r="I28" i="27" s="1"/>
  <c r="F324" i="27"/>
  <c r="G324" i="27" s="1"/>
  <c r="H32" i="27"/>
  <c r="I32" i="27" s="1"/>
  <c r="F328" i="27"/>
  <c r="G328" i="27" s="1"/>
  <c r="M340" i="21"/>
  <c r="Y340" i="21" s="1"/>
  <c r="Z340" i="21" s="1"/>
  <c r="N342" i="21"/>
  <c r="AI305" i="21"/>
  <c r="AI312" i="21"/>
  <c r="L25" i="21"/>
  <c r="F34" i="25"/>
  <c r="V306" i="9"/>
  <c r="AD253" i="9"/>
  <c r="M350" i="21"/>
  <c r="Z343" i="21"/>
  <c r="L306" i="9"/>
  <c r="L294" i="9"/>
  <c r="X294" i="9" s="1"/>
  <c r="M310" i="9"/>
  <c r="M294" i="9"/>
  <c r="AD294" i="9"/>
  <c r="D438" i="17"/>
  <c r="AC337" i="17"/>
  <c r="AC335" i="17"/>
  <c r="AI341" i="17"/>
  <c r="AI334" i="17"/>
  <c r="AI350" i="17"/>
  <c r="D406" i="21"/>
  <c r="O350" i="21"/>
  <c r="Y346" i="21"/>
  <c r="O347" i="21"/>
  <c r="O340" i="21"/>
  <c r="AI307" i="21"/>
  <c r="AI300" i="21"/>
  <c r="AI294" i="21"/>
  <c r="M342" i="21"/>
  <c r="AE342" i="21"/>
  <c r="F125" i="21" s="1"/>
  <c r="AE337" i="21"/>
  <c r="AC302" i="21"/>
  <c r="AC293" i="21"/>
  <c r="AD293" i="21" s="1"/>
  <c r="AE293" i="21" s="1"/>
  <c r="AF293" i="21" s="1"/>
  <c r="AI313" i="21"/>
  <c r="H53" i="21"/>
  <c r="I53" i="21" s="1"/>
  <c r="AJ495" i="27"/>
  <c r="H29" i="27"/>
  <c r="I29" i="27" s="1"/>
  <c r="F325" i="27"/>
  <c r="G325" i="27" s="1"/>
  <c r="G66" i="21"/>
  <c r="H66" i="21" s="1"/>
  <c r="I66" i="21" s="1"/>
  <c r="V309" i="9"/>
  <c r="X309" i="9" s="1"/>
  <c r="Y309" i="9" s="1"/>
  <c r="N302" i="9"/>
  <c r="N309" i="9"/>
  <c r="AC330" i="17"/>
  <c r="AI329" i="17"/>
  <c r="AJ329" i="17" s="1"/>
  <c r="AI345" i="17"/>
  <c r="AI338" i="17"/>
  <c r="AC324" i="17"/>
  <c r="AD324" i="17" s="1"/>
  <c r="D405" i="21"/>
  <c r="W350" i="21"/>
  <c r="Y350" i="21" s="1"/>
  <c r="Z350" i="21" s="1"/>
  <c r="W349" i="21"/>
  <c r="AI306" i="21"/>
  <c r="AI298" i="21"/>
  <c r="AI293" i="21"/>
  <c r="AI309" i="21"/>
  <c r="AI301" i="21"/>
  <c r="AC292" i="21"/>
  <c r="AD292" i="21" s="1"/>
  <c r="AE292" i="21" s="1"/>
  <c r="AF292" i="21" s="1"/>
  <c r="AI314" i="21"/>
  <c r="G94" i="21"/>
  <c r="H94" i="21" s="1"/>
  <c r="I94" i="21" s="1"/>
  <c r="AD504" i="27"/>
  <c r="G61" i="21"/>
  <c r="H61" i="21" s="1"/>
  <c r="I61" i="21" s="1"/>
  <c r="X19" i="27"/>
  <c r="D315" i="27"/>
  <c r="X17" i="27"/>
  <c r="D313" i="27"/>
  <c r="X34" i="27"/>
  <c r="D330" i="27"/>
  <c r="AD508" i="27"/>
  <c r="G298" i="27"/>
  <c r="G304" i="27"/>
  <c r="G305" i="27"/>
  <c r="AJ497" i="27"/>
  <c r="AJ503" i="27"/>
  <c r="O549" i="27"/>
  <c r="N549" i="27"/>
  <c r="D366" i="9"/>
  <c r="H103" i="9"/>
  <c r="G22" i="1"/>
  <c r="G29" i="1"/>
  <c r="F400" i="9"/>
  <c r="H400" i="9" s="1"/>
  <c r="D373" i="9"/>
  <c r="C373" i="9" s="1"/>
  <c r="M309" i="9"/>
  <c r="H120" i="16"/>
  <c r="W112" i="16"/>
  <c r="F113" i="21"/>
  <c r="H117" i="21"/>
  <c r="I117" i="21" s="1"/>
  <c r="I129" i="21" s="1"/>
  <c r="N341" i="21"/>
  <c r="O341" i="21"/>
  <c r="M341" i="21"/>
  <c r="W341" i="21"/>
  <c r="AD309" i="9"/>
  <c r="N296" i="9"/>
  <c r="L296" i="9"/>
  <c r="X296" i="9" s="1"/>
  <c r="Y296" i="9" s="1"/>
  <c r="V296" i="9"/>
  <c r="M296" i="9"/>
  <c r="M300" i="9"/>
  <c r="V300" i="9"/>
  <c r="N300" i="9"/>
  <c r="V304" i="9"/>
  <c r="X304" i="9" s="1"/>
  <c r="Y304" i="9" s="1"/>
  <c r="M304" i="9"/>
  <c r="M308" i="9"/>
  <c r="N308" i="9"/>
  <c r="Y294" i="9"/>
  <c r="P21" i="9"/>
  <c r="E125" i="21"/>
  <c r="D125" i="21"/>
  <c r="O348" i="21"/>
  <c r="M348" i="21"/>
  <c r="N348" i="21"/>
  <c r="W348" i="21"/>
  <c r="L293" i="9"/>
  <c r="N293" i="9"/>
  <c r="M297" i="9"/>
  <c r="AD297" i="9"/>
  <c r="L297" i="9"/>
  <c r="N301" i="9"/>
  <c r="V301" i="9"/>
  <c r="M301" i="9"/>
  <c r="L301" i="9"/>
  <c r="M305" i="9"/>
  <c r="AD305" i="9"/>
  <c r="V305" i="9"/>
  <c r="X305" i="9" s="1"/>
  <c r="Y305" i="9" s="1"/>
  <c r="V7" i="16"/>
  <c r="V8" i="16"/>
  <c r="M335" i="21"/>
  <c r="N335" i="21"/>
  <c r="W335" i="21"/>
  <c r="I40" i="25"/>
  <c r="I41" i="25"/>
  <c r="H115" i="9"/>
  <c r="C368" i="9"/>
  <c r="M293" i="9"/>
  <c r="V297" i="9"/>
  <c r="N305" i="9"/>
  <c r="AE335" i="21"/>
  <c r="I97" i="21"/>
  <c r="O344" i="21"/>
  <c r="M344" i="21"/>
  <c r="N344" i="21"/>
  <c r="W344" i="21"/>
  <c r="O352" i="21"/>
  <c r="M352" i="21"/>
  <c r="N352" i="21"/>
  <c r="W352" i="21"/>
  <c r="E409" i="21"/>
  <c r="E410" i="21" s="1"/>
  <c r="D410" i="21" s="1"/>
  <c r="D408" i="21"/>
  <c r="E30" i="25"/>
  <c r="F16" i="25"/>
  <c r="X298" i="9"/>
  <c r="Y298" i="9" s="1"/>
  <c r="N307" i="9"/>
  <c r="AD299" i="9"/>
  <c r="X302" i="9"/>
  <c r="Y302" i="9" s="1"/>
  <c r="BJ50" i="16"/>
  <c r="M349" i="21"/>
  <c r="Y349" i="21" s="1"/>
  <c r="Z349" i="21" s="1"/>
  <c r="M345" i="21"/>
  <c r="Y342" i="21"/>
  <c r="Z342" i="21" s="1"/>
  <c r="AC304" i="21"/>
  <c r="AC300" i="21"/>
  <c r="AC295" i="21"/>
  <c r="AC313" i="21"/>
  <c r="L20" i="21"/>
  <c r="I144" i="21"/>
  <c r="F33" i="25"/>
  <c r="K24" i="9"/>
  <c r="AE381" i="17"/>
  <c r="AB295" i="21"/>
  <c r="AB296" i="21" s="1"/>
  <c r="O349" i="21"/>
  <c r="O345" i="21"/>
  <c r="AI311" i="21"/>
  <c r="AI304" i="21"/>
  <c r="AI299" i="21"/>
  <c r="AI295" i="21"/>
  <c r="AI292" i="21"/>
  <c r="AJ292" i="21" s="1"/>
  <c r="AK292" i="21" s="1"/>
  <c r="AL292" i="21" s="1"/>
  <c r="N338" i="21"/>
  <c r="AC308" i="21"/>
  <c r="AI303" i="21"/>
  <c r="AC299" i="21"/>
  <c r="AC294" i="21"/>
  <c r="AD294" i="21" s="1"/>
  <c r="AE294" i="21" s="1"/>
  <c r="AI310" i="21"/>
  <c r="AC314" i="21"/>
  <c r="L26" i="21"/>
  <c r="L29" i="21" s="1"/>
  <c r="AJ509" i="27"/>
  <c r="L24" i="27"/>
  <c r="G58" i="21"/>
  <c r="H58" i="21" s="1"/>
  <c r="I58" i="21" s="1"/>
  <c r="I73" i="21" s="1"/>
  <c r="E440" i="17"/>
  <c r="D440" i="17" s="1"/>
  <c r="D439" i="17"/>
  <c r="AE379" i="17"/>
  <c r="AE377" i="17"/>
  <c r="N371" i="17"/>
  <c r="W373" i="17"/>
  <c r="H90" i="9"/>
  <c r="D115" i="9"/>
  <c r="H27" i="9"/>
  <c r="G39" i="1"/>
  <c r="G43" i="1" s="1"/>
  <c r="H78" i="9"/>
  <c r="D370" i="9"/>
  <c r="C370" i="9" s="1"/>
  <c r="C369" i="9"/>
  <c r="C99" i="9"/>
  <c r="D99" i="9"/>
  <c r="W97" i="16"/>
  <c r="H106" i="16"/>
  <c r="V307" i="9"/>
  <c r="V299" i="9"/>
  <c r="L307" i="9"/>
  <c r="L299" i="9"/>
  <c r="N303" i="9"/>
  <c r="N299" i="9"/>
  <c r="AB272" i="9"/>
  <c r="AB270" i="9"/>
  <c r="AB268" i="9"/>
  <c r="AB266" i="9"/>
  <c r="AB264" i="9"/>
  <c r="AB262" i="9"/>
  <c r="AB260" i="9"/>
  <c r="AB252" i="9"/>
  <c r="AC252" i="9" s="1"/>
  <c r="AD252" i="9" s="1"/>
  <c r="AE252" i="9" s="1"/>
  <c r="AB257" i="9"/>
  <c r="AB254" i="9"/>
  <c r="AC254" i="9" s="1"/>
  <c r="AD254" i="9" s="1"/>
  <c r="AE254" i="9" s="1"/>
  <c r="AB275" i="9"/>
  <c r="AB273" i="9"/>
  <c r="AB271" i="9"/>
  <c r="AB269" i="9"/>
  <c r="AB267" i="9"/>
  <c r="AB265" i="9"/>
  <c r="AB263" i="9"/>
  <c r="AB261" i="9"/>
  <c r="AB259" i="9"/>
  <c r="AB256" i="9"/>
  <c r="M378" i="17"/>
  <c r="AA255" i="9"/>
  <c r="W86" i="16"/>
  <c r="H92" i="16"/>
  <c r="I31" i="21"/>
  <c r="D364" i="9"/>
  <c r="C364" i="9" s="1"/>
  <c r="AD295" i="9"/>
  <c r="N372" i="17"/>
  <c r="M372" i="17"/>
  <c r="D363" i="9"/>
  <c r="C363" i="9" s="1"/>
  <c r="G32" i="9"/>
  <c r="H32" i="9" s="1"/>
  <c r="H45" i="9" s="1"/>
  <c r="F401" i="9"/>
  <c r="F263" i="9"/>
  <c r="M307" i="9"/>
  <c r="V308" i="9"/>
  <c r="N295" i="9"/>
  <c r="D444" i="17"/>
  <c r="H32" i="16"/>
  <c r="AA128" i="16" s="1"/>
  <c r="H79" i="16"/>
  <c r="W50" i="16"/>
  <c r="H45" i="16"/>
  <c r="W36" i="16"/>
  <c r="AK291" i="21"/>
  <c r="M336" i="21"/>
  <c r="N336" i="21"/>
  <c r="O336" i="21"/>
  <c r="AE336" i="21"/>
  <c r="W336" i="21"/>
  <c r="N339" i="21"/>
  <c r="O339" i="21"/>
  <c r="M339" i="21"/>
  <c r="AE339" i="21"/>
  <c r="W339" i="21"/>
  <c r="Z351" i="21"/>
  <c r="N376" i="17"/>
  <c r="M376" i="17"/>
  <c r="N380" i="17"/>
  <c r="M380" i="17"/>
  <c r="Z103" i="27"/>
  <c r="AC103" i="27" s="1"/>
  <c r="H103" i="27"/>
  <c r="I103" i="27" s="1"/>
  <c r="AB103" i="27" s="1"/>
  <c r="L308" i="9"/>
  <c r="L300" i="9"/>
  <c r="X300" i="9" s="1"/>
  <c r="Y300" i="9" s="1"/>
  <c r="V293" i="9"/>
  <c r="X293" i="9" s="1"/>
  <c r="Y293" i="9" s="1"/>
  <c r="F262" i="9" s="1"/>
  <c r="V303" i="9"/>
  <c r="V295" i="9"/>
  <c r="X295" i="9" s="1"/>
  <c r="Y295" i="9" s="1"/>
  <c r="L303" i="9"/>
  <c r="AB274" i="9"/>
  <c r="AB258" i="9"/>
  <c r="K19" i="9"/>
  <c r="AB128" i="16"/>
  <c r="P27" i="9"/>
  <c r="P20" i="9"/>
  <c r="P28" i="9"/>
  <c r="P23" i="9"/>
  <c r="P22" i="9"/>
  <c r="P17" i="9"/>
  <c r="P25" i="9"/>
  <c r="P24" i="9"/>
  <c r="P26" i="9"/>
  <c r="P19" i="9"/>
  <c r="I49" i="21"/>
  <c r="AJ293" i="21"/>
  <c r="AK293" i="21" s="1"/>
  <c r="AL293" i="21" s="1"/>
  <c r="AH294" i="21"/>
  <c r="G34" i="25"/>
  <c r="H20" i="25"/>
  <c r="H34" i="25" s="1"/>
  <c r="G16" i="25"/>
  <c r="F30" i="25"/>
  <c r="AK329" i="17"/>
  <c r="AE324" i="17"/>
  <c r="Y335" i="21"/>
  <c r="Z335" i="21" s="1"/>
  <c r="G33" i="25"/>
  <c r="H19" i="25"/>
  <c r="H33" i="25" s="1"/>
  <c r="D29" i="25"/>
  <c r="E15" i="25"/>
  <c r="H18" i="25"/>
  <c r="H32" i="25" s="1"/>
  <c r="G32" i="25"/>
  <c r="AJ512" i="27"/>
  <c r="AJ496" i="27"/>
  <c r="L30" i="27"/>
  <c r="L33" i="27" s="1"/>
  <c r="AJ508" i="27"/>
  <c r="AJ491" i="27"/>
  <c r="AK491" i="27" s="1"/>
  <c r="AL491" i="27" s="1"/>
  <c r="AJ499" i="27"/>
  <c r="AJ498" i="27"/>
  <c r="AJ504" i="27"/>
  <c r="AJ510" i="27"/>
  <c r="AJ493" i="27"/>
  <c r="AJ501" i="27"/>
  <c r="T41" i="25"/>
  <c r="T40" i="25"/>
  <c r="Q39" i="8"/>
  <c r="W338" i="21"/>
  <c r="Y338" i="21" s="1"/>
  <c r="Z338" i="21" s="1"/>
  <c r="E404" i="21"/>
  <c r="D404" i="21" s="1"/>
  <c r="Z346" i="21"/>
  <c r="F32" i="25"/>
  <c r="G17" i="25"/>
  <c r="F31" i="25"/>
  <c r="AJ513" i="27"/>
  <c r="AJ502" i="27"/>
  <c r="AJ511" i="27"/>
  <c r="AJ500" i="27"/>
  <c r="AJ514" i="27"/>
  <c r="E177" i="17"/>
  <c r="E403" i="21"/>
  <c r="D403" i="21" s="1"/>
  <c r="Y347" i="21"/>
  <c r="Z347" i="21" s="1"/>
  <c r="Y345" i="21"/>
  <c r="Z345" i="21" s="1"/>
  <c r="AE338" i="21"/>
  <c r="O335" i="21"/>
  <c r="E144" i="21"/>
  <c r="AC315" i="21"/>
  <c r="AC309" i="21"/>
  <c r="AC297" i="21"/>
  <c r="AC312" i="21"/>
  <c r="AC291" i="21"/>
  <c r="AD291" i="21" s="1"/>
  <c r="AE291" i="21" s="1"/>
  <c r="AC301" i="21"/>
  <c r="AC305" i="21"/>
  <c r="I111" i="21"/>
  <c r="Y337" i="21"/>
  <c r="Z337" i="21" s="1"/>
  <c r="AJ507" i="27"/>
  <c r="AJ506" i="27"/>
  <c r="AJ505" i="27"/>
  <c r="AJ494" i="27"/>
  <c r="AJ490" i="27"/>
  <c r="AK490" i="27" s="1"/>
  <c r="AL490" i="27" s="1"/>
  <c r="AD497" i="27"/>
  <c r="AE497" i="27" s="1"/>
  <c r="AF497" i="27" s="1"/>
  <c r="AG497" i="27" s="1"/>
  <c r="L29" i="27"/>
  <c r="AB127" i="27"/>
  <c r="E243" i="27" s="1"/>
  <c r="F129" i="8" s="1"/>
  <c r="AA127" i="27"/>
  <c r="AB129" i="27"/>
  <c r="AA129" i="27"/>
  <c r="AB123" i="27"/>
  <c r="AA123" i="27"/>
  <c r="H99" i="27"/>
  <c r="I99" i="27" s="1"/>
  <c r="AA99" i="27" s="1"/>
  <c r="Z99" i="27"/>
  <c r="AC99" i="27" s="1"/>
  <c r="AB134" i="27"/>
  <c r="E242" i="27" s="1"/>
  <c r="F131" i="8" s="1"/>
  <c r="AA134" i="27"/>
  <c r="AB67" i="27"/>
  <c r="AA67" i="27"/>
  <c r="M543" i="27"/>
  <c r="X549" i="27"/>
  <c r="H154" i="27"/>
  <c r="I154" i="27" s="1"/>
  <c r="AB154" i="27" s="1"/>
  <c r="Z154" i="27"/>
  <c r="AC154" i="27" s="1"/>
  <c r="D151" i="27"/>
  <c r="W151" i="27" s="1"/>
  <c r="Y151" i="27"/>
  <c r="D146" i="27"/>
  <c r="W146" i="27" s="1"/>
  <c r="Y146" i="27"/>
  <c r="D165" i="27"/>
  <c r="W165" i="27" s="1"/>
  <c r="Y165" i="27"/>
  <c r="D651" i="27"/>
  <c r="E165" i="27"/>
  <c r="X165" i="27" s="1"/>
  <c r="P38" i="8"/>
  <c r="D99" i="8"/>
  <c r="D445" i="17"/>
  <c r="O384" i="17"/>
  <c r="M374" i="17"/>
  <c r="M370" i="17"/>
  <c r="H218" i="17"/>
  <c r="H219" i="17" s="1"/>
  <c r="X36" i="8" s="1"/>
  <c r="D143" i="8" s="1"/>
  <c r="E112" i="8" s="1"/>
  <c r="F112" i="17"/>
  <c r="G37" i="17"/>
  <c r="H37" i="17" s="1"/>
  <c r="I37" i="17" s="1"/>
  <c r="I48" i="17" s="1"/>
  <c r="W36" i="8"/>
  <c r="W38" i="8" s="1"/>
  <c r="E174" i="17"/>
  <c r="S36" i="8"/>
  <c r="S40" i="8" s="1"/>
  <c r="E175" i="17"/>
  <c r="L28" i="17"/>
  <c r="L29" i="17"/>
  <c r="L30" i="17" s="1"/>
  <c r="F12" i="17" s="1"/>
  <c r="I110" i="17"/>
  <c r="M36" i="8" s="1"/>
  <c r="M40" i="8" s="1"/>
  <c r="I143" i="17"/>
  <c r="Z47" i="27"/>
  <c r="AC47" i="27" s="1"/>
  <c r="H64" i="27"/>
  <c r="I64" i="27" s="1"/>
  <c r="AB64" i="27" s="1"/>
  <c r="Z64" i="27"/>
  <c r="AC64" i="27" s="1"/>
  <c r="H131" i="27"/>
  <c r="Z131" i="27"/>
  <c r="I122" i="27"/>
  <c r="I137" i="27" s="1"/>
  <c r="D229" i="27" s="1"/>
  <c r="E229" i="27" s="1"/>
  <c r="Z122" i="27"/>
  <c r="AA174" i="27"/>
  <c r="AB174" i="27"/>
  <c r="E245" i="27" s="1"/>
  <c r="F133" i="8" s="1"/>
  <c r="AB75" i="27"/>
  <c r="AA75" i="27"/>
  <c r="AA82" i="27"/>
  <c r="AB82" i="27"/>
  <c r="AA92" i="27"/>
  <c r="AB92" i="27"/>
  <c r="AA96" i="27"/>
  <c r="AB96" i="27"/>
  <c r="AA79" i="27"/>
  <c r="AB79" i="27"/>
  <c r="AA81" i="27"/>
  <c r="AB81" i="27"/>
  <c r="AA91" i="27"/>
  <c r="AB91" i="27"/>
  <c r="AA163" i="27"/>
  <c r="AB163" i="27"/>
  <c r="AB168" i="27"/>
  <c r="AA168" i="27"/>
  <c r="AB149" i="27"/>
  <c r="AA149" i="27"/>
  <c r="AA144" i="27"/>
  <c r="AB144" i="27"/>
  <c r="G301" i="27"/>
  <c r="AA34" i="27"/>
  <c r="AB55" i="27"/>
  <c r="AA55" i="27"/>
  <c r="E145" i="27"/>
  <c r="X145" i="27" s="1"/>
  <c r="Y145" i="27"/>
  <c r="E164" i="27"/>
  <c r="X164" i="27" s="1"/>
  <c r="Y164" i="27"/>
  <c r="AA106" i="27"/>
  <c r="AB106" i="27"/>
  <c r="AB57" i="27"/>
  <c r="AA57" i="27"/>
  <c r="AA78" i="27"/>
  <c r="AB78" i="27"/>
  <c r="AA80" i="27"/>
  <c r="AB80" i="27"/>
  <c r="AA89" i="27"/>
  <c r="AB89" i="27"/>
  <c r="AB110" i="27"/>
  <c r="AA110" i="27"/>
  <c r="AA164" i="27"/>
  <c r="AB164" i="27"/>
  <c r="AA74" i="27"/>
  <c r="AB74" i="27"/>
  <c r="AB112" i="27"/>
  <c r="AA112" i="27"/>
  <c r="AA77" i="27"/>
  <c r="AB77" i="27"/>
  <c r="AA104" i="27"/>
  <c r="AB104" i="27"/>
  <c r="D150" i="27"/>
  <c r="W150" i="27" s="1"/>
  <c r="Y150" i="27"/>
  <c r="AA165" i="27"/>
  <c r="AB165" i="27"/>
  <c r="G291" i="27"/>
  <c r="AA19" i="27"/>
  <c r="G290" i="27"/>
  <c r="AA17" i="27"/>
  <c r="Q38" i="8"/>
  <c r="X542" i="27"/>
  <c r="AF542" i="27"/>
  <c r="O542" i="27"/>
  <c r="M542" i="27"/>
  <c r="AF538" i="27"/>
  <c r="AF544" i="27"/>
  <c r="X541" i="27"/>
  <c r="Z541" i="27" s="1"/>
  <c r="AA541" i="27" s="1"/>
  <c r="X539" i="27"/>
  <c r="Z539" i="27" s="1"/>
  <c r="AA539" i="27" s="1"/>
  <c r="AF539" i="27"/>
  <c r="X548" i="27"/>
  <c r="AF541" i="27"/>
  <c r="N539" i="27"/>
  <c r="O539" i="27"/>
  <c r="O535" i="27"/>
  <c r="O541" i="27"/>
  <c r="N541" i="27"/>
  <c r="AD514" i="27"/>
  <c r="AD501" i="27"/>
  <c r="AD493" i="27"/>
  <c r="AE493" i="27" s="1"/>
  <c r="AF493" i="27" s="1"/>
  <c r="AG493" i="27" s="1"/>
  <c r="AD503" i="27"/>
  <c r="AD509" i="27"/>
  <c r="AD512" i="27"/>
  <c r="AD502" i="27"/>
  <c r="L25" i="27"/>
  <c r="L32" i="27" s="1"/>
  <c r="AD499" i="27"/>
  <c r="AD491" i="27"/>
  <c r="AE491" i="27" s="1"/>
  <c r="AF491" i="27" s="1"/>
  <c r="AG491" i="27" s="1"/>
  <c r="AD513" i="27"/>
  <c r="AD507" i="27"/>
  <c r="AD496" i="27"/>
  <c r="AE496" i="27" s="1"/>
  <c r="AF496" i="27" s="1"/>
  <c r="AG496" i="27" s="1"/>
  <c r="AD494" i="27"/>
  <c r="AE494" i="27" s="1"/>
  <c r="AF494" i="27" s="1"/>
  <c r="AG494" i="27" s="1"/>
  <c r="AD498" i="27"/>
  <c r="H151" i="27"/>
  <c r="I151" i="27" s="1"/>
  <c r="AD506" i="27"/>
  <c r="AD495" i="27"/>
  <c r="AE495" i="27" s="1"/>
  <c r="AF495" i="27" s="1"/>
  <c r="AG495" i="27" s="1"/>
  <c r="AD510" i="27"/>
  <c r="AD505" i="27"/>
  <c r="AD492" i="27"/>
  <c r="AE492" i="27" s="1"/>
  <c r="AF492" i="27" s="1"/>
  <c r="AG492" i="27" s="1"/>
  <c r="AD490" i="27"/>
  <c r="AE490" i="27" s="1"/>
  <c r="AF490" i="27" s="1"/>
  <c r="AG490" i="27" s="1"/>
  <c r="D442" i="17"/>
  <c r="E443" i="17"/>
  <c r="D443" i="17" s="1"/>
  <c r="M375" i="17"/>
  <c r="O380" i="17"/>
  <c r="O376" i="17"/>
  <c r="M379" i="17"/>
  <c r="AE375" i="17"/>
  <c r="F124" i="17" s="1"/>
  <c r="D124" i="17" s="1"/>
  <c r="M369" i="17"/>
  <c r="O370" i="17"/>
  <c r="D435" i="17"/>
  <c r="W380" i="17"/>
  <c r="Y380" i="17" s="1"/>
  <c r="Z380" i="17" s="1"/>
  <c r="W378" i="17"/>
  <c r="Y378" i="17" s="1"/>
  <c r="Z378" i="17" s="1"/>
  <c r="W376" i="17"/>
  <c r="Y376" i="17" s="1"/>
  <c r="Z376" i="17" s="1"/>
  <c r="W374" i="17"/>
  <c r="W372" i="17"/>
  <c r="Y372" i="17" s="1"/>
  <c r="Z372" i="17" s="1"/>
  <c r="O381" i="17"/>
  <c r="O379" i="17"/>
  <c r="O377" i="17"/>
  <c r="O375" i="17"/>
  <c r="M373" i="17"/>
  <c r="Y373" i="17" s="1"/>
  <c r="Z373" i="17" s="1"/>
  <c r="W371" i="17"/>
  <c r="Y371" i="17" s="1"/>
  <c r="Z371" i="17" s="1"/>
  <c r="O369" i="17"/>
  <c r="W370" i="17"/>
  <c r="W368" i="17"/>
  <c r="O378" i="17"/>
  <c r="O374" i="17"/>
  <c r="O372" i="17"/>
  <c r="M381" i="17"/>
  <c r="M377" i="17"/>
  <c r="AE373" i="17"/>
  <c r="O368" i="17"/>
  <c r="E436" i="17"/>
  <c r="D436" i="17" s="1"/>
  <c r="AE380" i="17"/>
  <c r="AE378" i="17"/>
  <c r="AE376" i="17"/>
  <c r="AE374" i="17"/>
  <c r="AE372" i="17"/>
  <c r="W381" i="17"/>
  <c r="W379" i="17"/>
  <c r="W377" i="17"/>
  <c r="W375" i="17"/>
  <c r="O373" i="17"/>
  <c r="O371" i="17"/>
  <c r="AL329" i="17" s="1"/>
  <c r="W369" i="17"/>
  <c r="AE370" i="17"/>
  <c r="AE368" i="17"/>
  <c r="M382" i="17"/>
  <c r="Y382" i="17" s="1"/>
  <c r="Z382" i="17" s="1"/>
  <c r="AC351" i="17"/>
  <c r="AC343" i="17"/>
  <c r="AC336" i="17"/>
  <c r="AC328" i="17"/>
  <c r="AD328" i="17" s="1"/>
  <c r="AE328" i="17" s="1"/>
  <c r="AF328" i="17" s="1"/>
  <c r="AC342" i="17"/>
  <c r="AC333" i="17"/>
  <c r="AI335" i="17"/>
  <c r="AI343" i="17"/>
  <c r="AI351" i="17"/>
  <c r="AI332" i="17"/>
  <c r="AI340" i="17"/>
  <c r="AI348" i="17"/>
  <c r="AC350" i="17"/>
  <c r="AI324" i="17"/>
  <c r="AJ324" i="17" s="1"/>
  <c r="AK324" i="17" s="1"/>
  <c r="AC348" i="17"/>
  <c r="AC340" i="17"/>
  <c r="AC331" i="17"/>
  <c r="AC349" i="17"/>
  <c r="AC341" i="17"/>
  <c r="AC334" i="17"/>
  <c r="Y368" i="17"/>
  <c r="Z368" i="17" s="1"/>
  <c r="AC347" i="17"/>
  <c r="AC339" i="17"/>
  <c r="AC332" i="17"/>
  <c r="AC346" i="17"/>
  <c r="AC338" i="17"/>
  <c r="AC329" i="17"/>
  <c r="AI331" i="17"/>
  <c r="AI339" i="17"/>
  <c r="AI347" i="17"/>
  <c r="AI328" i="17"/>
  <c r="AJ328" i="17" s="1"/>
  <c r="AK328" i="17" s="1"/>
  <c r="AL328" i="17" s="1"/>
  <c r="AI336" i="17"/>
  <c r="I128" i="17"/>
  <c r="I93" i="17"/>
  <c r="E143" i="17"/>
  <c r="I31" i="17"/>
  <c r="AJ330" i="17"/>
  <c r="AK330" i="17" s="1"/>
  <c r="AH331" i="17"/>
  <c r="AE385" i="17"/>
  <c r="N385" i="17"/>
  <c r="O385" i="17"/>
  <c r="AB329" i="17"/>
  <c r="O382" i="17"/>
  <c r="AE382" i="17"/>
  <c r="N382" i="17"/>
  <c r="AE384" i="17"/>
  <c r="M384" i="17"/>
  <c r="W384" i="17"/>
  <c r="AE383" i="17"/>
  <c r="N383" i="17"/>
  <c r="O383" i="17"/>
  <c r="M385" i="17"/>
  <c r="Y385" i="17" s="1"/>
  <c r="Z385" i="17" s="1"/>
  <c r="W383" i="17"/>
  <c r="Y383" i="17" s="1"/>
  <c r="Z383" i="17" s="1"/>
  <c r="M549" i="27"/>
  <c r="O545" i="27"/>
  <c r="O540" i="27"/>
  <c r="O534" i="27"/>
  <c r="E146" i="27"/>
  <c r="X146" i="27" s="1"/>
  <c r="E150" i="27"/>
  <c r="X150" i="27" s="1"/>
  <c r="E151" i="27"/>
  <c r="X151" i="27" s="1"/>
  <c r="X546" i="27"/>
  <c r="M534" i="27"/>
  <c r="AF548" i="27"/>
  <c r="D648" i="27"/>
  <c r="N543" i="27"/>
  <c r="X534" i="27"/>
  <c r="N548" i="27"/>
  <c r="AF534" i="27"/>
  <c r="M548" i="27"/>
  <c r="E649" i="27"/>
  <c r="D649" i="27" s="1"/>
  <c r="X547" i="27"/>
  <c r="O551" i="27"/>
  <c r="M550" i="27"/>
  <c r="M540" i="27"/>
  <c r="AF546" i="27"/>
  <c r="N551" i="27"/>
  <c r="M551" i="27"/>
  <c r="Z551" i="27" s="1"/>
  <c r="AA551" i="27" s="1"/>
  <c r="M547" i="27"/>
  <c r="X550" i="27"/>
  <c r="X540" i="27"/>
  <c r="X536" i="27"/>
  <c r="E653" i="27"/>
  <c r="D653" i="27" s="1"/>
  <c r="N546" i="27"/>
  <c r="N547" i="27"/>
  <c r="O547" i="27"/>
  <c r="AF540" i="27"/>
  <c r="AF536" i="27"/>
  <c r="M546" i="27"/>
  <c r="AF551" i="27"/>
  <c r="I189" i="27"/>
  <c r="D231" i="27" s="1"/>
  <c r="E231" i="27" s="1"/>
  <c r="D164" i="27"/>
  <c r="W164" i="27" s="1"/>
  <c r="D145" i="27"/>
  <c r="W145" i="27" s="1"/>
  <c r="S39" i="8"/>
  <c r="R39" i="8"/>
  <c r="G70" i="27"/>
  <c r="G73" i="27"/>
  <c r="H282" i="27"/>
  <c r="M537" i="27"/>
  <c r="N537" i="27"/>
  <c r="X537" i="27"/>
  <c r="M545" i="27"/>
  <c r="Z545" i="27" s="1"/>
  <c r="AA545" i="27" s="1"/>
  <c r="AF545" i="27"/>
  <c r="E655" i="27"/>
  <c r="D654" i="27"/>
  <c r="D657" i="27"/>
  <c r="E658" i="27"/>
  <c r="AC498" i="27"/>
  <c r="O537" i="27"/>
  <c r="N545" i="27"/>
  <c r="AI494" i="27"/>
  <c r="AK493" i="27"/>
  <c r="AL493" i="27" s="1"/>
  <c r="AM493" i="27" s="1"/>
  <c r="X535" i="27"/>
  <c r="Z535" i="27" s="1"/>
  <c r="AA535" i="27" s="1"/>
  <c r="AF535" i="27"/>
  <c r="N535" i="27"/>
  <c r="O536" i="27"/>
  <c r="M536" i="27"/>
  <c r="N544" i="27"/>
  <c r="O544" i="27"/>
  <c r="M544" i="27"/>
  <c r="Z544" i="27" s="1"/>
  <c r="AA544" i="27" s="1"/>
  <c r="AF537" i="27"/>
  <c r="X543" i="27"/>
  <c r="AF543" i="27"/>
  <c r="M538" i="27"/>
  <c r="N538" i="27"/>
  <c r="X538" i="27"/>
  <c r="AF550" i="27"/>
  <c r="N550" i="27"/>
  <c r="AK492" i="27"/>
  <c r="AL492" i="27" s="1"/>
  <c r="H150" i="27"/>
  <c r="I150" i="27" s="1"/>
  <c r="Q40" i="8"/>
  <c r="P40" i="8"/>
  <c r="P39" i="8"/>
  <c r="O39" i="8"/>
  <c r="T34" i="8"/>
  <c r="D61" i="8"/>
  <c r="H284" i="27"/>
  <c r="H156" i="27"/>
  <c r="I156" i="27" s="1"/>
  <c r="G155" i="27"/>
  <c r="H47" i="27"/>
  <c r="I47" i="27" s="1"/>
  <c r="G48" i="27"/>
  <c r="G146" i="27"/>
  <c r="H145" i="27"/>
  <c r="I145" i="27" s="1"/>
  <c r="F139" i="27"/>
  <c r="I72" i="17"/>
  <c r="D409" i="21" l="1"/>
  <c r="D37" i="21"/>
  <c r="X306" i="9"/>
  <c r="Y306" i="9" s="1"/>
  <c r="G337" i="27"/>
  <c r="H315" i="27" s="1"/>
  <c r="I42" i="27"/>
  <c r="D225" i="27" s="1"/>
  <c r="E145" i="21"/>
  <c r="E148" i="21" s="1"/>
  <c r="E149" i="21" s="1"/>
  <c r="N35" i="8" s="1"/>
  <c r="L30" i="21"/>
  <c r="F12" i="21" s="1"/>
  <c r="AD295" i="21"/>
  <c r="AE295" i="21" s="1"/>
  <c r="AF295" i="21" s="1"/>
  <c r="AF291" i="21"/>
  <c r="Y128" i="16"/>
  <c r="X308" i="9"/>
  <c r="Y308" i="9" s="1"/>
  <c r="AF294" i="21"/>
  <c r="Y341" i="21"/>
  <c r="Z341" i="21" s="1"/>
  <c r="X301" i="9"/>
  <c r="Y301" i="9" s="1"/>
  <c r="X297" i="9"/>
  <c r="Y297" i="9" s="1"/>
  <c r="F266" i="9" s="1"/>
  <c r="Y348" i="21"/>
  <c r="Z348" i="21" s="1"/>
  <c r="AL291" i="21"/>
  <c r="Z51" i="27"/>
  <c r="AC51" i="27" s="1"/>
  <c r="H333" i="27"/>
  <c r="H321" i="27"/>
  <c r="H330" i="27"/>
  <c r="H323" i="27"/>
  <c r="H316" i="27"/>
  <c r="H332" i="27"/>
  <c r="H313" i="27"/>
  <c r="H335" i="27"/>
  <c r="H328" i="27"/>
  <c r="H317" i="27"/>
  <c r="H314" i="27"/>
  <c r="H334" i="27"/>
  <c r="H327" i="27"/>
  <c r="H320" i="27"/>
  <c r="H336" i="27"/>
  <c r="H319" i="27"/>
  <c r="H318" i="27"/>
  <c r="H322" i="27"/>
  <c r="H331" i="27"/>
  <c r="H324" i="27"/>
  <c r="H325" i="27"/>
  <c r="H326" i="27"/>
  <c r="H329" i="27"/>
  <c r="Z548" i="27"/>
  <c r="AA548" i="27" s="1"/>
  <c r="Z549" i="27"/>
  <c r="AA549" i="27" s="1"/>
  <c r="G54" i="27"/>
  <c r="Z54" i="27" s="1"/>
  <c r="AC54" i="27" s="1"/>
  <c r="H51" i="27"/>
  <c r="I51" i="27" s="1"/>
  <c r="AB51" i="27" s="1"/>
  <c r="AB99" i="27"/>
  <c r="AA103" i="27"/>
  <c r="H126" i="16"/>
  <c r="L34" i="8" s="1"/>
  <c r="F265" i="9"/>
  <c r="W126" i="16"/>
  <c r="C366" i="9"/>
  <c r="D367" i="9"/>
  <c r="C367" i="9" s="1"/>
  <c r="C51" i="16"/>
  <c r="Y352" i="21"/>
  <c r="Z352" i="21" s="1"/>
  <c r="Y344" i="21"/>
  <c r="Z344" i="21" s="1"/>
  <c r="AM490" i="27"/>
  <c r="Z542" i="27"/>
  <c r="AA542" i="27" s="1"/>
  <c r="AF324" i="17"/>
  <c r="Y374" i="17"/>
  <c r="Z374" i="17" s="1"/>
  <c r="G345" i="17"/>
  <c r="E37" i="17"/>
  <c r="E162" i="16"/>
  <c r="F278" i="9"/>
  <c r="D37" i="17"/>
  <c r="F275" i="9"/>
  <c r="D51" i="16"/>
  <c r="Y336" i="21"/>
  <c r="Z336" i="21" s="1"/>
  <c r="H119" i="9"/>
  <c r="E141" i="9" s="1"/>
  <c r="H123" i="9"/>
  <c r="M35" i="8"/>
  <c r="I148" i="21"/>
  <c r="F15" i="25"/>
  <c r="E29" i="25"/>
  <c r="G30" i="25"/>
  <c r="H16" i="25"/>
  <c r="E37" i="21"/>
  <c r="Y339" i="21"/>
  <c r="Z339" i="21" s="1"/>
  <c r="D120" i="16"/>
  <c r="H130" i="16"/>
  <c r="I152" i="21"/>
  <c r="AC255" i="9"/>
  <c r="AD255" i="9" s="1"/>
  <c r="AE255" i="9" s="1"/>
  <c r="AA256" i="9"/>
  <c r="X299" i="9"/>
  <c r="Y299" i="9" s="1"/>
  <c r="F268" i="9" s="1"/>
  <c r="E95" i="16"/>
  <c r="D121" i="16"/>
  <c r="D122" i="16" s="1"/>
  <c r="D116" i="9"/>
  <c r="D119" i="9" s="1"/>
  <c r="D120" i="9" s="1"/>
  <c r="AH295" i="21"/>
  <c r="AJ294" i="21"/>
  <c r="AK294" i="21" s="1"/>
  <c r="AL294" i="21" s="1"/>
  <c r="AD296" i="21"/>
  <c r="AE296" i="21" s="1"/>
  <c r="AF296" i="21" s="1"/>
  <c r="AB297" i="21"/>
  <c r="F270" i="9"/>
  <c r="F264" i="9"/>
  <c r="F277" i="9"/>
  <c r="F271" i="9"/>
  <c r="F273" i="9"/>
  <c r="F267" i="9"/>
  <c r="Z543" i="27"/>
  <c r="AA543" i="27" s="1"/>
  <c r="I19" i="25"/>
  <c r="G305" i="21"/>
  <c r="G318" i="21"/>
  <c r="G313" i="21"/>
  <c r="G307" i="21"/>
  <c r="G312" i="21"/>
  <c r="G310" i="21"/>
  <c r="G314" i="21"/>
  <c r="G317" i="21"/>
  <c r="G308" i="21"/>
  <c r="G306" i="21"/>
  <c r="G320" i="21"/>
  <c r="G319" i="21"/>
  <c r="G316" i="21"/>
  <c r="G311" i="21"/>
  <c r="G321" i="21"/>
  <c r="G309" i="21"/>
  <c r="G315" i="21"/>
  <c r="G304" i="21"/>
  <c r="H17" i="25"/>
  <c r="H31" i="25" s="1"/>
  <c r="G31" i="25"/>
  <c r="I18" i="25"/>
  <c r="I20" i="25"/>
  <c r="X303" i="9"/>
  <c r="Y303" i="9" s="1"/>
  <c r="F272" i="9" s="1"/>
  <c r="F269" i="9"/>
  <c r="D95" i="9" s="1"/>
  <c r="F279" i="9"/>
  <c r="F402" i="9"/>
  <c r="H401" i="9"/>
  <c r="X307" i="9"/>
  <c r="Y307" i="9" s="1"/>
  <c r="F276" i="9" s="1"/>
  <c r="AE253" i="9"/>
  <c r="F274" i="9"/>
  <c r="AA154" i="27"/>
  <c r="AA64" i="27"/>
  <c r="H155" i="27"/>
  <c r="I155" i="27" s="1"/>
  <c r="AB155" i="27" s="1"/>
  <c r="Z155" i="27"/>
  <c r="AC155" i="27" s="1"/>
  <c r="G52" i="27"/>
  <c r="H52" i="27" s="1"/>
  <c r="I52" i="27" s="1"/>
  <c r="AA52" i="27" s="1"/>
  <c r="G53" i="27"/>
  <c r="H53" i="27" s="1"/>
  <c r="I53" i="27" s="1"/>
  <c r="AA53" i="27" s="1"/>
  <c r="H115" i="27"/>
  <c r="I115" i="27" s="1"/>
  <c r="I118" i="27" s="1"/>
  <c r="D228" i="27" s="1"/>
  <c r="E228" i="27" s="1"/>
  <c r="F241" i="27"/>
  <c r="AC131" i="27"/>
  <c r="F240" i="27"/>
  <c r="AC122" i="27"/>
  <c r="Y370" i="17"/>
  <c r="Z370" i="17" s="1"/>
  <c r="G339" i="17" s="1"/>
  <c r="S38" i="8"/>
  <c r="W40" i="8"/>
  <c r="C151" i="8"/>
  <c r="G349" i="17"/>
  <c r="G337" i="17"/>
  <c r="AL324" i="17"/>
  <c r="Y377" i="17"/>
  <c r="Z377" i="17" s="1"/>
  <c r="G346" i="17" s="1"/>
  <c r="G341" i="17"/>
  <c r="AL330" i="17"/>
  <c r="G340" i="17"/>
  <c r="G347" i="17"/>
  <c r="Y369" i="17"/>
  <c r="Z369" i="17" s="1"/>
  <c r="G338" i="17" s="1"/>
  <c r="E182" i="17"/>
  <c r="T36" i="8"/>
  <c r="U36" i="8" s="1"/>
  <c r="V36" i="8" s="1"/>
  <c r="H146" i="27"/>
  <c r="I146" i="27" s="1"/>
  <c r="Z146" i="27"/>
  <c r="AC146" i="27" s="1"/>
  <c r="H73" i="27"/>
  <c r="I73" i="27" s="1"/>
  <c r="AA73" i="27" s="1"/>
  <c r="Z73" i="27"/>
  <c r="AC73" i="27" s="1"/>
  <c r="H48" i="27"/>
  <c r="I48" i="27" s="1"/>
  <c r="AB48" i="27" s="1"/>
  <c r="Z48" i="27"/>
  <c r="AC48" i="27" s="1"/>
  <c r="AA122" i="27"/>
  <c r="AB122" i="27"/>
  <c r="E240" i="27" s="1"/>
  <c r="F127" i="8" s="1"/>
  <c r="H71" i="27"/>
  <c r="I71" i="27" s="1"/>
  <c r="AB71" i="27" s="1"/>
  <c r="Z71" i="27"/>
  <c r="AC71" i="27" s="1"/>
  <c r="H54" i="27"/>
  <c r="I54" i="27" s="1"/>
  <c r="AA54" i="27" s="1"/>
  <c r="H70" i="27"/>
  <c r="I70" i="27" s="1"/>
  <c r="AA70" i="27" s="1"/>
  <c r="Z70" i="27"/>
  <c r="AC70" i="27" s="1"/>
  <c r="H69" i="27"/>
  <c r="I69" i="27" s="1"/>
  <c r="Z69" i="27"/>
  <c r="AC69" i="27" s="1"/>
  <c r="G309" i="27"/>
  <c r="S37" i="8"/>
  <c r="AB131" i="27"/>
  <c r="E241" i="27" s="1"/>
  <c r="F128" i="8" s="1"/>
  <c r="AB47" i="27"/>
  <c r="AA47" i="27"/>
  <c r="AA150" i="27"/>
  <c r="AB150" i="27"/>
  <c r="AB145" i="27"/>
  <c r="AA145" i="27"/>
  <c r="AA156" i="27"/>
  <c r="AB156" i="27"/>
  <c r="AA151" i="27"/>
  <c r="AB151" i="27"/>
  <c r="Z547" i="27"/>
  <c r="AA547" i="27" s="1"/>
  <c r="Z546" i="27"/>
  <c r="AA546" i="27" s="1"/>
  <c r="Z536" i="27"/>
  <c r="AA536" i="27" s="1"/>
  <c r="G505" i="27" s="1"/>
  <c r="G504" i="27"/>
  <c r="G342" i="17"/>
  <c r="G343" i="17"/>
  <c r="Y379" i="17"/>
  <c r="Z379" i="17" s="1"/>
  <c r="G348" i="17" s="1"/>
  <c r="Y375" i="17"/>
  <c r="Z375" i="17" s="1"/>
  <c r="G344" i="17" s="1"/>
  <c r="E116" i="17" s="1"/>
  <c r="E124" i="17"/>
  <c r="Y381" i="17"/>
  <c r="Z381" i="17" s="1"/>
  <c r="G350" i="17" s="1"/>
  <c r="I147" i="17"/>
  <c r="F169" i="17" s="1"/>
  <c r="E169" i="17" s="1"/>
  <c r="Y384" i="17"/>
  <c r="Z384" i="17" s="1"/>
  <c r="G353" i="17" s="1"/>
  <c r="E119" i="17" s="1"/>
  <c r="AD329" i="17"/>
  <c r="AE329" i="17" s="1"/>
  <c r="AF329" i="17" s="1"/>
  <c r="AB330" i="17"/>
  <c r="G352" i="17"/>
  <c r="G351" i="17"/>
  <c r="G354" i="17"/>
  <c r="AJ331" i="17"/>
  <c r="AK331" i="17" s="1"/>
  <c r="AL331" i="17" s="1"/>
  <c r="AH332" i="17"/>
  <c r="G516" i="27"/>
  <c r="Z534" i="27"/>
  <c r="AA534" i="27" s="1"/>
  <c r="G503" i="27" s="1"/>
  <c r="G508" i="27"/>
  <c r="Z537" i="27"/>
  <c r="AA537" i="27" s="1"/>
  <c r="G506" i="27" s="1"/>
  <c r="Z550" i="27"/>
  <c r="AA550" i="27" s="1"/>
  <c r="G519" i="27" s="1"/>
  <c r="Z540" i="27"/>
  <c r="AA540" i="27" s="1"/>
  <c r="L41" i="27"/>
  <c r="F12" i="27" s="1"/>
  <c r="H285" i="27"/>
  <c r="X37" i="8" s="1"/>
  <c r="M37" i="8"/>
  <c r="G512" i="27"/>
  <c r="G520" i="27"/>
  <c r="G518" i="27"/>
  <c r="G517" i="27"/>
  <c r="AE498" i="27"/>
  <c r="AF498" i="27" s="1"/>
  <c r="AG498" i="27" s="1"/>
  <c r="AC499" i="27"/>
  <c r="G510" i="27"/>
  <c r="E159" i="27" s="1"/>
  <c r="G513" i="27"/>
  <c r="G509" i="27"/>
  <c r="AK494" i="27"/>
  <c r="AL494" i="27" s="1"/>
  <c r="AM494" i="27" s="1"/>
  <c r="AI495" i="27"/>
  <c r="E656" i="27"/>
  <c r="D656" i="27" s="1"/>
  <c r="D655" i="27"/>
  <c r="G511" i="27"/>
  <c r="G515" i="27"/>
  <c r="AM492" i="27"/>
  <c r="Z538" i="27"/>
  <c r="AA538" i="27" s="1"/>
  <c r="G507" i="27" s="1"/>
  <c r="D658" i="27"/>
  <c r="E659" i="27"/>
  <c r="D659" i="27" s="1"/>
  <c r="AM491" i="27"/>
  <c r="G514" i="27"/>
  <c r="T40" i="8"/>
  <c r="U40" i="8" s="1"/>
  <c r="V40" i="8" s="1"/>
  <c r="U34" i="8"/>
  <c r="V34" i="8" s="1"/>
  <c r="I151" i="17"/>
  <c r="E144" i="17"/>
  <c r="E147" i="17" s="1"/>
  <c r="E148" i="17" s="1"/>
  <c r="E168" i="17" s="1"/>
  <c r="Y127" i="16" l="1"/>
  <c r="I17" i="25"/>
  <c r="Z53" i="27"/>
  <c r="AC53" i="27" s="1"/>
  <c r="H301" i="27"/>
  <c r="H304" i="27"/>
  <c r="H305" i="27"/>
  <c r="AA51" i="27"/>
  <c r="E117" i="21"/>
  <c r="E120" i="21"/>
  <c r="H30" i="25"/>
  <c r="I16" i="25"/>
  <c r="F171" i="21"/>
  <c r="L35" i="8"/>
  <c r="D126" i="16"/>
  <c r="D161" i="16" s="1"/>
  <c r="N34" i="8" s="1"/>
  <c r="N39" i="8" s="1"/>
  <c r="T35" i="8"/>
  <c r="U35" i="8" s="1"/>
  <c r="V35" i="8" s="1"/>
  <c r="M39" i="8"/>
  <c r="T39" i="8" s="1"/>
  <c r="U39" i="8" s="1"/>
  <c r="V39" i="8" s="1"/>
  <c r="Z52" i="27"/>
  <c r="AC52" i="27" s="1"/>
  <c r="F403" i="9"/>
  <c r="H403" i="9" s="1"/>
  <c r="H402" i="9"/>
  <c r="AB298" i="21"/>
  <c r="AD297" i="21"/>
  <c r="AE297" i="21" s="1"/>
  <c r="AF297" i="21" s="1"/>
  <c r="AA257" i="9"/>
  <c r="AC256" i="9"/>
  <c r="AD256" i="9" s="1"/>
  <c r="AE256" i="9" s="1"/>
  <c r="M38" i="8"/>
  <c r="T38" i="8" s="1"/>
  <c r="U38" i="8" s="1"/>
  <c r="V38" i="8" s="1"/>
  <c r="AH296" i="21"/>
  <c r="AJ295" i="21"/>
  <c r="AK295" i="21" s="1"/>
  <c r="AL295" i="21" s="1"/>
  <c r="G15" i="25"/>
  <c r="F29" i="25"/>
  <c r="L39" i="8"/>
  <c r="AA155" i="27"/>
  <c r="I169" i="27"/>
  <c r="D230" i="27" s="1"/>
  <c r="E230" i="27" s="1"/>
  <c r="I85" i="27"/>
  <c r="D227" i="27" s="1"/>
  <c r="E227" i="27" s="1"/>
  <c r="AB146" i="27"/>
  <c r="AA146" i="27"/>
  <c r="AB73" i="27"/>
  <c r="AA48" i="27"/>
  <c r="AA71" i="27"/>
  <c r="E184" i="17"/>
  <c r="E185" i="17" s="1"/>
  <c r="F112" i="8" s="1"/>
  <c r="N36" i="8"/>
  <c r="D170" i="17"/>
  <c r="I60" i="27"/>
  <c r="AB69" i="27"/>
  <c r="AB54" i="27"/>
  <c r="AB53" i="27"/>
  <c r="AB70" i="27"/>
  <c r="AA69" i="27"/>
  <c r="H302" i="27"/>
  <c r="H303" i="27"/>
  <c r="H300" i="27"/>
  <c r="H308" i="27"/>
  <c r="H298" i="27"/>
  <c r="H307" i="27"/>
  <c r="H295" i="27"/>
  <c r="H292" i="27"/>
  <c r="H299" i="27"/>
  <c r="H296" i="27"/>
  <c r="H293" i="27"/>
  <c r="H297" i="27"/>
  <c r="H306" i="27"/>
  <c r="H294" i="27"/>
  <c r="H290" i="27"/>
  <c r="AB52" i="27"/>
  <c r="H291" i="27"/>
  <c r="E48" i="27"/>
  <c r="X48" i="27" s="1"/>
  <c r="L36" i="8"/>
  <c r="L38" i="8" s="1"/>
  <c r="AH333" i="17"/>
  <c r="AJ332" i="17"/>
  <c r="AK332" i="17" s="1"/>
  <c r="AL332" i="17" s="1"/>
  <c r="AB331" i="17"/>
  <c r="AD330" i="17"/>
  <c r="AE330" i="17" s="1"/>
  <c r="AF330" i="17" s="1"/>
  <c r="T37" i="8"/>
  <c r="U37" i="8" s="1"/>
  <c r="D48" i="27"/>
  <c r="W48" i="27" s="1"/>
  <c r="AE499" i="27"/>
  <c r="AF499" i="27" s="1"/>
  <c r="AG499" i="27" s="1"/>
  <c r="AC500" i="27"/>
  <c r="AK495" i="27"/>
  <c r="AL495" i="27" s="1"/>
  <c r="AM495" i="27" s="1"/>
  <c r="AI496" i="27"/>
  <c r="L40" i="8" l="1"/>
  <c r="H15" i="25"/>
  <c r="H29" i="25" s="1"/>
  <c r="G29" i="25"/>
  <c r="I15" i="25"/>
  <c r="AH297" i="21"/>
  <c r="AJ296" i="21"/>
  <c r="AK296" i="21" s="1"/>
  <c r="AL296" i="21" s="1"/>
  <c r="AC257" i="9"/>
  <c r="AD257" i="9" s="1"/>
  <c r="AE257" i="9" s="1"/>
  <c r="AA258" i="9"/>
  <c r="AD298" i="21"/>
  <c r="AE298" i="21" s="1"/>
  <c r="AF298" i="21" s="1"/>
  <c r="AB299" i="21"/>
  <c r="I193" i="27"/>
  <c r="L37" i="8" s="1"/>
  <c r="D98" i="8" s="1"/>
  <c r="D226" i="27"/>
  <c r="D232" i="27" s="1"/>
  <c r="F215" i="27"/>
  <c r="I197" i="27"/>
  <c r="E190" i="27"/>
  <c r="E193" i="27" s="1"/>
  <c r="E194" i="27" s="1"/>
  <c r="E215" i="27" s="1"/>
  <c r="O36" i="8"/>
  <c r="E170" i="17"/>
  <c r="R36" i="8" s="1"/>
  <c r="N40" i="8"/>
  <c r="N38" i="8"/>
  <c r="AD331" i="17"/>
  <c r="AE331" i="17" s="1"/>
  <c r="AF331" i="17" s="1"/>
  <c r="AB332" i="17"/>
  <c r="AH334" i="17"/>
  <c r="AJ333" i="17"/>
  <c r="AK333" i="17" s="1"/>
  <c r="AL333" i="17" s="1"/>
  <c r="E226" i="27"/>
  <c r="E225" i="27" s="1"/>
  <c r="AC501" i="27"/>
  <c r="AE500" i="27"/>
  <c r="AF500" i="27" s="1"/>
  <c r="AG500" i="27" s="1"/>
  <c r="AI497" i="27"/>
  <c r="AK496" i="27"/>
  <c r="AL496" i="27" s="1"/>
  <c r="AM496" i="27" s="1"/>
  <c r="V37" i="8"/>
  <c r="AB35" i="27" l="1"/>
  <c r="AB37" i="27"/>
  <c r="AB22" i="27"/>
  <c r="AB23" i="27"/>
  <c r="AB40" i="27"/>
  <c r="AB20" i="27"/>
  <c r="AB36" i="27"/>
  <c r="AB39" i="27"/>
  <c r="AB19" i="27"/>
  <c r="AB21" i="27"/>
  <c r="AH298" i="21"/>
  <c r="AJ297" i="21"/>
  <c r="AK297" i="21" s="1"/>
  <c r="AL297" i="21" s="1"/>
  <c r="AA259" i="9"/>
  <c r="AC258" i="9"/>
  <c r="AD258" i="9" s="1"/>
  <c r="AE258" i="9" s="1"/>
  <c r="AD299" i="21"/>
  <c r="AE299" i="21" s="1"/>
  <c r="AF299" i="21" s="1"/>
  <c r="AB300" i="21"/>
  <c r="F216" i="27"/>
  <c r="E216" i="27" s="1"/>
  <c r="D217" i="27"/>
  <c r="E217" i="27" s="1"/>
  <c r="R37" i="8" s="1"/>
  <c r="D103" i="8" s="1"/>
  <c r="AB34" i="27"/>
  <c r="AB17" i="27"/>
  <c r="N37" i="8"/>
  <c r="D100" i="8" s="1"/>
  <c r="R38" i="8"/>
  <c r="R40" i="8"/>
  <c r="O38" i="8"/>
  <c r="O40" i="8"/>
  <c r="AH335" i="17"/>
  <c r="AJ334" i="17"/>
  <c r="AK334" i="17" s="1"/>
  <c r="AL334" i="17" s="1"/>
  <c r="AB333" i="17"/>
  <c r="AD332" i="17"/>
  <c r="AE332" i="17" s="1"/>
  <c r="AF332" i="17" s="1"/>
  <c r="AI498" i="27"/>
  <c r="AK497" i="27"/>
  <c r="AL497" i="27" s="1"/>
  <c r="AM497" i="27" s="1"/>
  <c r="AE501" i="27"/>
  <c r="AF501" i="27" s="1"/>
  <c r="AG501" i="27" s="1"/>
  <c r="AC502" i="27"/>
  <c r="AA260" i="9" l="1"/>
  <c r="AC259" i="9"/>
  <c r="AD259" i="9" s="1"/>
  <c r="AE259" i="9" s="1"/>
  <c r="AD300" i="21"/>
  <c r="AE300" i="21" s="1"/>
  <c r="AF300" i="21" s="1"/>
  <c r="AB301" i="21"/>
  <c r="AH299" i="21"/>
  <c r="AJ298" i="21"/>
  <c r="AK298" i="21" s="1"/>
  <c r="AL298" i="21" s="1"/>
  <c r="E248" i="27"/>
  <c r="E250" i="27" s="1"/>
  <c r="E251" i="27" s="1"/>
  <c r="O37" i="8"/>
  <c r="D101" i="8" s="1"/>
  <c r="AD333" i="17"/>
  <c r="AE333" i="17" s="1"/>
  <c r="AF333" i="17" s="1"/>
  <c r="AB334" i="17"/>
  <c r="AJ335" i="17"/>
  <c r="AK335" i="17" s="1"/>
  <c r="AL335" i="17" s="1"/>
  <c r="AH336" i="17"/>
  <c r="AC503" i="27"/>
  <c r="AE502" i="27"/>
  <c r="AF502" i="27" s="1"/>
  <c r="AG502" i="27" s="1"/>
  <c r="AI499" i="27"/>
  <c r="AK498" i="27"/>
  <c r="AL498" i="27" s="1"/>
  <c r="AM498" i="27" s="1"/>
  <c r="AB302" i="21" l="1"/>
  <c r="AD301" i="21"/>
  <c r="AE301" i="21" s="1"/>
  <c r="AF301" i="21" s="1"/>
  <c r="AH300" i="21"/>
  <c r="AJ299" i="21"/>
  <c r="AK299" i="21" s="1"/>
  <c r="AL299" i="21" s="1"/>
  <c r="AC260" i="9"/>
  <c r="AD260" i="9" s="1"/>
  <c r="AE260" i="9" s="1"/>
  <c r="AA261" i="9"/>
  <c r="F250" i="27"/>
  <c r="F130" i="8"/>
  <c r="F251" i="27"/>
  <c r="E252" i="27"/>
  <c r="AH337" i="17"/>
  <c r="AJ336" i="17"/>
  <c r="AK336" i="17" s="1"/>
  <c r="AL336" i="17" s="1"/>
  <c r="AD334" i="17"/>
  <c r="AE334" i="17" s="1"/>
  <c r="AF334" i="17" s="1"/>
  <c r="AB335" i="17"/>
  <c r="AI500" i="27"/>
  <c r="AK499" i="27"/>
  <c r="AL499" i="27" s="1"/>
  <c r="AM499" i="27" s="1"/>
  <c r="AE503" i="27"/>
  <c r="AF503" i="27" s="1"/>
  <c r="AG503" i="27" s="1"/>
  <c r="AC504" i="27"/>
  <c r="I333" i="27" l="1"/>
  <c r="J333" i="27" s="1"/>
  <c r="I314" i="27"/>
  <c r="J314" i="27" s="1"/>
  <c r="I328" i="27"/>
  <c r="J328" i="27" s="1"/>
  <c r="I313" i="27"/>
  <c r="F114" i="8" s="1"/>
  <c r="I332" i="27"/>
  <c r="J332" i="27" s="1"/>
  <c r="I324" i="27"/>
  <c r="J324" i="27" s="1"/>
  <c r="I318" i="27"/>
  <c r="J318" i="27" s="1"/>
  <c r="I330" i="27"/>
  <c r="J330" i="27" s="1"/>
  <c r="I327" i="27"/>
  <c r="J327" i="27" s="1"/>
  <c r="I315" i="27"/>
  <c r="I334" i="27"/>
  <c r="J334" i="27" s="1"/>
  <c r="I326" i="27"/>
  <c r="J326" i="27" s="1"/>
  <c r="I325" i="27"/>
  <c r="J325" i="27" s="1"/>
  <c r="I316" i="27"/>
  <c r="J316" i="27" s="1"/>
  <c r="I335" i="27"/>
  <c r="J335" i="27" s="1"/>
  <c r="I336" i="27"/>
  <c r="J336" i="27" s="1"/>
  <c r="I323" i="27"/>
  <c r="J323" i="27" s="1"/>
  <c r="I331" i="27"/>
  <c r="J331" i="27" s="1"/>
  <c r="I320" i="27"/>
  <c r="J320" i="27" s="1"/>
  <c r="I319" i="27"/>
  <c r="I321" i="27"/>
  <c r="J321" i="27" s="1"/>
  <c r="I329" i="27"/>
  <c r="J329" i="27" s="1"/>
  <c r="I317" i="27"/>
  <c r="I322" i="27"/>
  <c r="J322" i="27" s="1"/>
  <c r="I305" i="27"/>
  <c r="I304" i="27"/>
  <c r="AJ300" i="21"/>
  <c r="AK300" i="21" s="1"/>
  <c r="AL300" i="21" s="1"/>
  <c r="AH301" i="21"/>
  <c r="AA262" i="9"/>
  <c r="AC261" i="9"/>
  <c r="AD261" i="9" s="1"/>
  <c r="AE261" i="9" s="1"/>
  <c r="AD302" i="21"/>
  <c r="AE302" i="21" s="1"/>
  <c r="AF302" i="21" s="1"/>
  <c r="AB303" i="21"/>
  <c r="I308" i="27"/>
  <c r="I302" i="27"/>
  <c r="I298" i="27"/>
  <c r="I294" i="27"/>
  <c r="I290" i="27"/>
  <c r="I306" i="27"/>
  <c r="I300" i="27"/>
  <c r="I296" i="27"/>
  <c r="I292" i="27"/>
  <c r="I307" i="27"/>
  <c r="I301" i="27"/>
  <c r="I297" i="27"/>
  <c r="I293" i="27"/>
  <c r="I303" i="27"/>
  <c r="I299" i="27"/>
  <c r="I295" i="27"/>
  <c r="I291" i="27"/>
  <c r="AB336" i="17"/>
  <c r="AD335" i="17"/>
  <c r="AE335" i="17" s="1"/>
  <c r="AF335" i="17" s="1"/>
  <c r="AH338" i="17"/>
  <c r="AJ337" i="17"/>
  <c r="AK337" i="17" s="1"/>
  <c r="AL337" i="17" s="1"/>
  <c r="AC505" i="27"/>
  <c r="AE504" i="27"/>
  <c r="AF504" i="27" s="1"/>
  <c r="AG504" i="27" s="1"/>
  <c r="AI501" i="27"/>
  <c r="AK500" i="27"/>
  <c r="AL500" i="27" s="1"/>
  <c r="AM500" i="27" s="1"/>
  <c r="J317" i="27" l="1"/>
  <c r="F116" i="8"/>
  <c r="J319" i="27"/>
  <c r="F117" i="8"/>
  <c r="J315" i="27"/>
  <c r="F115" i="8"/>
  <c r="J313" i="27"/>
  <c r="I337" i="27"/>
  <c r="AA263" i="9"/>
  <c r="AC262" i="9"/>
  <c r="AD262" i="9" s="1"/>
  <c r="AE262" i="9" s="1"/>
  <c r="AB304" i="21"/>
  <c r="AD303" i="21"/>
  <c r="AE303" i="21" s="1"/>
  <c r="AF303" i="21" s="1"/>
  <c r="AH302" i="21"/>
  <c r="AJ301" i="21"/>
  <c r="AK301" i="21" s="1"/>
  <c r="AL301" i="21" s="1"/>
  <c r="I309" i="27"/>
  <c r="AJ338" i="17"/>
  <c r="AK338" i="17" s="1"/>
  <c r="AL338" i="17" s="1"/>
  <c r="AH339" i="17"/>
  <c r="AD336" i="17"/>
  <c r="AE336" i="17" s="1"/>
  <c r="AF336" i="17" s="1"/>
  <c r="AB337" i="17"/>
  <c r="AI502" i="27"/>
  <c r="AK501" i="27"/>
  <c r="AL501" i="27" s="1"/>
  <c r="AM501" i="27" s="1"/>
  <c r="AC506" i="27"/>
  <c r="AE505" i="27"/>
  <c r="AF505" i="27" s="1"/>
  <c r="AG505" i="27" s="1"/>
  <c r="AB305" i="21" l="1"/>
  <c r="AD304" i="21"/>
  <c r="AE304" i="21" s="1"/>
  <c r="AF304" i="21" s="1"/>
  <c r="AJ302" i="21"/>
  <c r="AK302" i="21" s="1"/>
  <c r="AL302" i="21" s="1"/>
  <c r="AH303" i="21"/>
  <c r="AA264" i="9"/>
  <c r="AC263" i="9"/>
  <c r="AD263" i="9" s="1"/>
  <c r="AE263" i="9" s="1"/>
  <c r="F137" i="8"/>
  <c r="F139" i="8" s="1"/>
  <c r="AD337" i="17"/>
  <c r="AE337" i="17" s="1"/>
  <c r="AF337" i="17" s="1"/>
  <c r="AB338" i="17"/>
  <c r="AJ339" i="17"/>
  <c r="AK339" i="17" s="1"/>
  <c r="AL339" i="17" s="1"/>
  <c r="AH340" i="17"/>
  <c r="AE506" i="27"/>
  <c r="AF506" i="27" s="1"/>
  <c r="AG506" i="27" s="1"/>
  <c r="AC507" i="27"/>
  <c r="AK502" i="27"/>
  <c r="AL502" i="27" s="1"/>
  <c r="AM502" i="27" s="1"/>
  <c r="AI503" i="27"/>
  <c r="AH304" i="21" l="1"/>
  <c r="AJ303" i="21"/>
  <c r="AK303" i="21" s="1"/>
  <c r="AL303" i="21" s="1"/>
  <c r="AC264" i="9"/>
  <c r="AD264" i="9" s="1"/>
  <c r="AE264" i="9" s="1"/>
  <c r="AA265" i="9"/>
  <c r="AB306" i="21"/>
  <c r="AD305" i="21"/>
  <c r="AE305" i="21" s="1"/>
  <c r="AF305" i="21" s="1"/>
  <c r="AH341" i="17"/>
  <c r="AJ340" i="17"/>
  <c r="AK340" i="17" s="1"/>
  <c r="AL340" i="17" s="1"/>
  <c r="AB339" i="17"/>
  <c r="AD338" i="17"/>
  <c r="AE338" i="17" s="1"/>
  <c r="AF338" i="17" s="1"/>
  <c r="AK503" i="27"/>
  <c r="AL503" i="27" s="1"/>
  <c r="AM503" i="27" s="1"/>
  <c r="AI504" i="27"/>
  <c r="AE507" i="27"/>
  <c r="AF507" i="27" s="1"/>
  <c r="AG507" i="27" s="1"/>
  <c r="AC508" i="27"/>
  <c r="AA266" i="9" l="1"/>
  <c r="AC265" i="9"/>
  <c r="AD265" i="9" s="1"/>
  <c r="AE265" i="9" s="1"/>
  <c r="AD306" i="21"/>
  <c r="AE306" i="21" s="1"/>
  <c r="AF306" i="21" s="1"/>
  <c r="AB307" i="21"/>
  <c r="AH305" i="21"/>
  <c r="AJ304" i="21"/>
  <c r="AK304" i="21" s="1"/>
  <c r="AL304" i="21" s="1"/>
  <c r="AB340" i="17"/>
  <c r="AD339" i="17"/>
  <c r="AE339" i="17" s="1"/>
  <c r="AF339" i="17" s="1"/>
  <c r="AH342" i="17"/>
  <c r="AJ341" i="17"/>
  <c r="AK341" i="17" s="1"/>
  <c r="AL341" i="17" s="1"/>
  <c r="AC509" i="27"/>
  <c r="AE508" i="27"/>
  <c r="AF508" i="27" s="1"/>
  <c r="AG508" i="27" s="1"/>
  <c r="AI505" i="27"/>
  <c r="AK504" i="27"/>
  <c r="AL504" i="27" s="1"/>
  <c r="AM504" i="27" s="1"/>
  <c r="AB308" i="21" l="1"/>
  <c r="AD307" i="21"/>
  <c r="AE307" i="21" s="1"/>
  <c r="AF307" i="21" s="1"/>
  <c r="AJ305" i="21"/>
  <c r="AK305" i="21" s="1"/>
  <c r="AL305" i="21" s="1"/>
  <c r="AH306" i="21"/>
  <c r="AA267" i="9"/>
  <c r="AC266" i="9"/>
  <c r="AD266" i="9" s="1"/>
  <c r="AE266" i="9" s="1"/>
  <c r="AH343" i="17"/>
  <c r="AJ342" i="17"/>
  <c r="AK342" i="17" s="1"/>
  <c r="AL342" i="17" s="1"/>
  <c r="AB341" i="17"/>
  <c r="AD340" i="17"/>
  <c r="AE340" i="17" s="1"/>
  <c r="AF340" i="17" s="1"/>
  <c r="AK505" i="27"/>
  <c r="AL505" i="27" s="1"/>
  <c r="AM505" i="27" s="1"/>
  <c r="AI506" i="27"/>
  <c r="AC510" i="27"/>
  <c r="AE509" i="27"/>
  <c r="AF509" i="27" s="1"/>
  <c r="AG509" i="27" s="1"/>
  <c r="AJ306" i="21" l="1"/>
  <c r="AK306" i="21" s="1"/>
  <c r="AL306" i="21" s="1"/>
  <c r="AH307" i="21"/>
  <c r="AA268" i="9"/>
  <c r="AC267" i="9"/>
  <c r="AD267" i="9" s="1"/>
  <c r="AE267" i="9" s="1"/>
  <c r="AD308" i="21"/>
  <c r="AE308" i="21" s="1"/>
  <c r="AF308" i="21" s="1"/>
  <c r="AB309" i="21"/>
  <c r="AB342" i="17"/>
  <c r="AD341" i="17"/>
  <c r="AE341" i="17" s="1"/>
  <c r="AF341" i="17" s="1"/>
  <c r="AJ343" i="17"/>
  <c r="AK343" i="17" s="1"/>
  <c r="AL343" i="17" s="1"/>
  <c r="AH344" i="17"/>
  <c r="AE510" i="27"/>
  <c r="AF510" i="27" s="1"/>
  <c r="AG510" i="27" s="1"/>
  <c r="AC511" i="27"/>
  <c r="AI507" i="27"/>
  <c r="AK506" i="27"/>
  <c r="AL506" i="27" s="1"/>
  <c r="AM506" i="27" s="1"/>
  <c r="AC268" i="9" l="1"/>
  <c r="AD268" i="9" s="1"/>
  <c r="AE268" i="9" s="1"/>
  <c r="AA269" i="9"/>
  <c r="AB310" i="21"/>
  <c r="AD309" i="21"/>
  <c r="AE309" i="21" s="1"/>
  <c r="AF309" i="21" s="1"/>
  <c r="AH308" i="21"/>
  <c r="AJ307" i="21"/>
  <c r="AK307" i="21" s="1"/>
  <c r="AL307" i="21" s="1"/>
  <c r="AH345" i="17"/>
  <c r="AJ344" i="17"/>
  <c r="AK344" i="17" s="1"/>
  <c r="AL344" i="17" s="1"/>
  <c r="AB343" i="17"/>
  <c r="AD342" i="17"/>
  <c r="AE342" i="17" s="1"/>
  <c r="AF342" i="17" s="1"/>
  <c r="AK507" i="27"/>
  <c r="AL507" i="27" s="1"/>
  <c r="AM507" i="27" s="1"/>
  <c r="AI508" i="27"/>
  <c r="AC512" i="27"/>
  <c r="AE511" i="27"/>
  <c r="AF511" i="27" s="1"/>
  <c r="AG511" i="27" s="1"/>
  <c r="AB311" i="21" l="1"/>
  <c r="AD310" i="21"/>
  <c r="AE310" i="21" s="1"/>
  <c r="AF310" i="21" s="1"/>
  <c r="AC269" i="9"/>
  <c r="AD269" i="9" s="1"/>
  <c r="AE269" i="9" s="1"/>
  <c r="AA270" i="9"/>
  <c r="AJ308" i="21"/>
  <c r="AK308" i="21" s="1"/>
  <c r="AL308" i="21" s="1"/>
  <c r="AH309" i="21"/>
  <c r="AB344" i="17"/>
  <c r="AD343" i="17"/>
  <c r="AE343" i="17" s="1"/>
  <c r="AF343" i="17" s="1"/>
  <c r="AH346" i="17"/>
  <c r="AJ345" i="17"/>
  <c r="AK345" i="17" s="1"/>
  <c r="AL345" i="17" s="1"/>
  <c r="AC513" i="27"/>
  <c r="AE512" i="27"/>
  <c r="AK508" i="27"/>
  <c r="AL508" i="27" s="1"/>
  <c r="AM508" i="27" s="1"/>
  <c r="AI509" i="27"/>
  <c r="AA271" i="9" l="1"/>
  <c r="AC270" i="9"/>
  <c r="AD270" i="9" s="1"/>
  <c r="AE270" i="9" s="1"/>
  <c r="AJ309" i="21"/>
  <c r="AK309" i="21" s="1"/>
  <c r="AL309" i="21" s="1"/>
  <c r="AH310" i="21"/>
  <c r="AD311" i="21"/>
  <c r="AE311" i="21" s="1"/>
  <c r="AF311" i="21" s="1"/>
  <c r="AB312" i="21"/>
  <c r="AH347" i="17"/>
  <c r="AJ346" i="17"/>
  <c r="AK346" i="17" s="1"/>
  <c r="AL346" i="17" s="1"/>
  <c r="AD344" i="17"/>
  <c r="AE344" i="17" s="1"/>
  <c r="AF344" i="17" s="1"/>
  <c r="AB345" i="17"/>
  <c r="AI510" i="27"/>
  <c r="AK509" i="27"/>
  <c r="AL509" i="27" s="1"/>
  <c r="AM509" i="27" s="1"/>
  <c r="AE513" i="27"/>
  <c r="AC514" i="27"/>
  <c r="AE514" i="27" s="1"/>
  <c r="AH311" i="21" l="1"/>
  <c r="AJ310" i="21"/>
  <c r="AK310" i="21" s="1"/>
  <c r="AL310" i="21" s="1"/>
  <c r="AB313" i="21"/>
  <c r="AD312" i="21"/>
  <c r="AE312" i="21" s="1"/>
  <c r="AF312" i="21" s="1"/>
  <c r="AA272" i="9"/>
  <c r="AC271" i="9"/>
  <c r="AD271" i="9" s="1"/>
  <c r="AE271" i="9" s="1"/>
  <c r="AD345" i="17"/>
  <c r="AE345" i="17" s="1"/>
  <c r="AF345" i="17" s="1"/>
  <c r="AB346" i="17"/>
  <c r="AJ347" i="17"/>
  <c r="AK347" i="17" s="1"/>
  <c r="AL347" i="17" s="1"/>
  <c r="AH348" i="17"/>
  <c r="AK510" i="27"/>
  <c r="AL510" i="27" s="1"/>
  <c r="AM510" i="27" s="1"/>
  <c r="AI511" i="27"/>
  <c r="AD313" i="21" l="1"/>
  <c r="AB314" i="21"/>
  <c r="AC272" i="9"/>
  <c r="AD272" i="9" s="1"/>
  <c r="AE272" i="9" s="1"/>
  <c r="AA273" i="9"/>
  <c r="AH312" i="21"/>
  <c r="AJ311" i="21"/>
  <c r="AK311" i="21" s="1"/>
  <c r="AL311" i="21" s="1"/>
  <c r="AH349" i="17"/>
  <c r="AJ348" i="17"/>
  <c r="AK348" i="17" s="1"/>
  <c r="AL348" i="17" s="1"/>
  <c r="AD346" i="17"/>
  <c r="AE346" i="17" s="1"/>
  <c r="AF346" i="17" s="1"/>
  <c r="AB347" i="17"/>
  <c r="AI512" i="27"/>
  <c r="AK511" i="27"/>
  <c r="AL511" i="27" s="1"/>
  <c r="AM511" i="27" s="1"/>
  <c r="AD314" i="21" l="1"/>
  <c r="AB315" i="21"/>
  <c r="AD315" i="21" s="1"/>
  <c r="AC273" i="9"/>
  <c r="AD273" i="9" s="1"/>
  <c r="AE273" i="9" s="1"/>
  <c r="AA274" i="9"/>
  <c r="AH313" i="21"/>
  <c r="AJ312" i="21"/>
  <c r="AK312" i="21" s="1"/>
  <c r="AL312" i="21" s="1"/>
  <c r="AB348" i="17"/>
  <c r="AD347" i="17"/>
  <c r="AE347" i="17" s="1"/>
  <c r="AF347" i="17" s="1"/>
  <c r="AH350" i="17"/>
  <c r="AJ349" i="17"/>
  <c r="AK349" i="17" s="1"/>
  <c r="AL349" i="17" s="1"/>
  <c r="AI513" i="27"/>
  <c r="AK512" i="27"/>
  <c r="AL512" i="27" s="1"/>
  <c r="AM512" i="27" s="1"/>
  <c r="AA275" i="9" l="1"/>
  <c r="AC274" i="9"/>
  <c r="AJ313" i="21"/>
  <c r="AK313" i="21" s="1"/>
  <c r="AL313" i="21" s="1"/>
  <c r="AH314" i="21"/>
  <c r="AH351" i="17"/>
  <c r="AJ351" i="17" s="1"/>
  <c r="AK351" i="17" s="1"/>
  <c r="AL351" i="17" s="1"/>
  <c r="AJ350" i="17"/>
  <c r="AK350" i="17" s="1"/>
  <c r="AL350" i="17" s="1"/>
  <c r="AB349" i="17"/>
  <c r="AD348" i="17"/>
  <c r="AE348" i="17" s="1"/>
  <c r="AF348" i="17" s="1"/>
  <c r="AI514" i="27"/>
  <c r="AK514" i="27" s="1"/>
  <c r="AL514" i="27" s="1"/>
  <c r="AM514" i="27" s="1"/>
  <c r="AK513" i="27"/>
  <c r="AL513" i="27" s="1"/>
  <c r="AM513" i="27" s="1"/>
  <c r="AH315" i="21" l="1"/>
  <c r="AJ315" i="21" s="1"/>
  <c r="AK315" i="21" s="1"/>
  <c r="AL315" i="21" s="1"/>
  <c r="AJ314" i="21"/>
  <c r="AK314" i="21" s="1"/>
  <c r="AL314" i="21" s="1"/>
  <c r="AA276" i="9"/>
  <c r="AC276" i="9" s="1"/>
  <c r="AC275" i="9"/>
  <c r="AD349" i="17"/>
  <c r="AB350" i="17"/>
  <c r="AD350" i="17" l="1"/>
  <c r="AB351" i="17"/>
  <c r="AD351"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Trent Munro</author>
  </authors>
  <commentList>
    <comment ref="D19" authorId="0" shapeId="0" xr:uid="{00000000-0006-0000-0100-000001000000}">
      <text>
        <r>
          <rPr>
            <b/>
            <sz val="8"/>
            <color indexed="81"/>
            <rFont val="Tahoma"/>
            <family val="2"/>
          </rPr>
          <t>Authorisation:</t>
        </r>
        <r>
          <rPr>
            <sz val="8"/>
            <color indexed="81"/>
            <rFont val="Tahoma"/>
            <family val="2"/>
          </rPr>
          <t xml:space="preserve">
If additional suport is granted, please complete the authorisation "tab" in this workbook to provide full details.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Trent Munro</author>
  </authors>
  <commentList>
    <comment ref="D8" authorId="0" shapeId="0" xr:uid="{00000000-0006-0000-0700-000001000000}">
      <text>
        <r>
          <rPr>
            <b/>
            <sz val="8"/>
            <color indexed="81"/>
            <rFont val="Tahoma"/>
            <family val="2"/>
          </rPr>
          <t>Important:</t>
        </r>
        <r>
          <rPr>
            <sz val="8"/>
            <color indexed="81"/>
            <rFont val="Tahoma"/>
            <family val="2"/>
          </rPr>
          <t xml:space="preserve">
Please do not use this option unless advised.</t>
        </r>
      </text>
    </comment>
    <comment ref="D9" authorId="0" shapeId="0" xr:uid="{00000000-0006-0000-0700-000002000000}">
      <text>
        <r>
          <rPr>
            <b/>
            <sz val="9"/>
            <color indexed="81"/>
            <rFont val="Tahoma"/>
            <family val="2"/>
          </rPr>
          <t>Important:</t>
        </r>
        <r>
          <rPr>
            <sz val="8"/>
            <color indexed="81"/>
            <rFont val="Tahoma"/>
            <family val="2"/>
          </rPr>
          <t xml:space="preserve">
Please select this option if an IBTO or CTO is required.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Trent Munro</author>
  </authors>
  <commentList>
    <comment ref="D8" authorId="0" shapeId="0" xr:uid="{00000000-0006-0000-0900-000001000000}">
      <text>
        <r>
          <rPr>
            <b/>
            <sz val="8"/>
            <color indexed="81"/>
            <rFont val="Tahoma"/>
            <family val="2"/>
          </rPr>
          <t>Details:</t>
        </r>
        <r>
          <rPr>
            <sz val="8"/>
            <color indexed="81"/>
            <rFont val="Tahoma"/>
            <family val="2"/>
          </rPr>
          <t xml:space="preserve">
Don't use this option unless advised.</t>
        </r>
      </text>
    </comment>
    <comment ref="D9" authorId="0" shapeId="0" xr:uid="{00000000-0006-0000-0900-000002000000}">
      <text>
        <r>
          <rPr>
            <b/>
            <sz val="9"/>
            <color indexed="81"/>
            <rFont val="Tahoma"/>
            <family val="2"/>
          </rPr>
          <t>IMPORTANT:</t>
        </r>
        <r>
          <rPr>
            <sz val="8"/>
            <color indexed="81"/>
            <rFont val="Tahoma"/>
            <family val="2"/>
          </rPr>
          <t xml:space="preserve">
Please select whether the below deal relates to an IBTO or CTO</t>
        </r>
      </text>
    </comment>
    <comment ref="F53" authorId="0" shapeId="0" xr:uid="{00000000-0006-0000-0900-000003000000}">
      <text>
        <r>
          <rPr>
            <sz val="8"/>
            <color indexed="81"/>
            <rFont val="Tahoma"/>
            <family val="2"/>
          </rPr>
          <t xml:space="preserve">
</t>
        </r>
      </text>
    </comment>
    <comment ref="F55" authorId="0" shapeId="0" xr:uid="{00000000-0006-0000-0900-000004000000}">
      <text>
        <r>
          <rPr>
            <sz val="8"/>
            <color indexed="81"/>
            <rFont val="Tahoma"/>
            <family val="2"/>
          </rPr>
          <t xml:space="preserve">
</t>
        </r>
      </text>
    </comment>
    <comment ref="F59" authorId="0" shapeId="0" xr:uid="{00000000-0006-0000-0900-000005000000}">
      <text>
        <r>
          <rPr>
            <sz val="8"/>
            <color indexed="81"/>
            <rFont val="Tahoma"/>
            <family val="2"/>
          </rPr>
          <t xml:space="preserve">
</t>
        </r>
      </text>
    </comment>
    <comment ref="F61" authorId="0" shapeId="0" xr:uid="{00000000-0006-0000-0900-000006000000}">
      <text/>
    </comment>
    <comment ref="F62" authorId="0" shapeId="0" xr:uid="{00000000-0006-0000-0900-000007000000}">
      <text>
        <r>
          <rPr>
            <sz val="8"/>
            <color indexed="81"/>
            <rFont val="Tahoma"/>
            <family val="2"/>
          </rPr>
          <t xml:space="preserve">
</t>
        </r>
      </text>
    </comment>
    <comment ref="F63" authorId="0" shapeId="0" xr:uid="{00000000-0006-0000-0900-000008000000}">
      <text/>
    </comment>
    <comment ref="F65" authorId="0" shapeId="0" xr:uid="{00000000-0006-0000-0900-000009000000}">
      <text>
        <r>
          <rPr>
            <sz val="8"/>
            <color indexed="81"/>
            <rFont val="Tahoma"/>
            <family val="2"/>
          </rPr>
          <t xml:space="preserve">
</t>
        </r>
      </text>
    </comment>
    <comment ref="F66" authorId="0" shapeId="0" xr:uid="{00000000-0006-0000-0900-00000A000000}">
      <text>
        <r>
          <rPr>
            <sz val="8"/>
            <color indexed="81"/>
            <rFont val="Tahoma"/>
            <family val="2"/>
          </rPr>
          <t xml:space="preserve">
</t>
        </r>
      </text>
    </comment>
    <comment ref="F67" authorId="0" shapeId="0" xr:uid="{00000000-0006-0000-0900-00000B000000}">
      <text/>
    </comment>
    <comment ref="F69" authorId="0" shapeId="0" xr:uid="{00000000-0006-0000-0900-00000C000000}">
      <text>
        <r>
          <rPr>
            <sz val="8"/>
            <color indexed="81"/>
            <rFont val="Tahoma"/>
            <family val="2"/>
          </rPr>
          <t xml:space="preserve">
</t>
        </r>
      </text>
    </comment>
    <comment ref="F77" authorId="0" shapeId="0" xr:uid="{00000000-0006-0000-0900-00000D000000}">
      <text/>
    </comment>
    <comment ref="F78" authorId="0" shapeId="0" xr:uid="{00000000-0006-0000-0900-00000E000000}">
      <text>
        <r>
          <rPr>
            <sz val="8"/>
            <color indexed="81"/>
            <rFont val="Tahoma"/>
            <family val="2"/>
          </rPr>
          <t xml:space="preserve">
</t>
        </r>
      </text>
    </comment>
    <comment ref="F79" authorId="0" shapeId="0" xr:uid="{00000000-0006-0000-0900-00000F000000}">
      <text/>
    </comment>
    <comment ref="F88" authorId="0" shapeId="0" xr:uid="{00000000-0006-0000-0900-000010000000}">
      <text>
        <r>
          <rPr>
            <b/>
            <sz val="8"/>
            <color indexed="81"/>
            <rFont val="Tahoma"/>
            <family val="2"/>
          </rPr>
          <t>Note:</t>
        </r>
        <r>
          <rPr>
            <sz val="8"/>
            <color indexed="81"/>
            <rFont val="Tahoma"/>
            <family val="2"/>
          </rPr>
          <t xml:space="preserve">
Only Available on 5900e Model</t>
        </r>
      </text>
    </comment>
    <comment ref="F89" authorId="0" shapeId="0" xr:uid="{00000000-0006-0000-0900-000011000000}">
      <text>
        <r>
          <rPr>
            <b/>
            <sz val="8"/>
            <color indexed="81"/>
            <rFont val="Tahoma"/>
            <family val="2"/>
          </rPr>
          <t>Note:</t>
        </r>
        <r>
          <rPr>
            <sz val="8"/>
            <color indexed="81"/>
            <rFont val="Tahoma"/>
            <family val="2"/>
          </rPr>
          <t xml:space="preserve">
Only Available on 5900e Model</t>
        </r>
      </text>
    </comment>
    <comment ref="F91" authorId="0" shapeId="0" xr:uid="{00000000-0006-0000-0900-000012000000}">
      <text>
        <r>
          <rPr>
            <b/>
            <sz val="8"/>
            <color indexed="81"/>
            <rFont val="Tahoma"/>
            <family val="2"/>
          </rPr>
          <t>Note:</t>
        </r>
        <r>
          <rPr>
            <sz val="8"/>
            <color indexed="81"/>
            <rFont val="Tahoma"/>
            <family val="2"/>
          </rPr>
          <t xml:space="preserve">
Only available on 5900e model</t>
        </r>
      </text>
    </comment>
    <comment ref="F92" authorId="0" shapeId="0" xr:uid="{00000000-0006-0000-0900-000013000000}">
      <text>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Trent Munro</author>
  </authors>
  <commentList>
    <comment ref="E8" authorId="0" shapeId="0" xr:uid="{00000000-0006-0000-0A00-000001000000}">
      <text>
        <r>
          <rPr>
            <b/>
            <sz val="8"/>
            <color indexed="81"/>
            <rFont val="Tahoma"/>
            <family val="2"/>
          </rPr>
          <t>Important:</t>
        </r>
        <r>
          <rPr>
            <sz val="8"/>
            <color indexed="81"/>
            <rFont val="Tahoma"/>
            <family val="2"/>
          </rPr>
          <t xml:space="preserve">
Please do not use this option unless advised.</t>
        </r>
      </text>
    </comment>
    <comment ref="F54" authorId="0" shapeId="0" xr:uid="{00000000-0006-0000-0A00-000002000000}">
      <text>
        <r>
          <rPr>
            <sz val="8"/>
            <color indexed="81"/>
            <rFont val="Tahoma"/>
            <family val="2"/>
          </rPr>
          <t xml:space="preserve">
</t>
        </r>
      </text>
    </comment>
    <comment ref="F58" authorId="0" shapeId="0" xr:uid="{00000000-0006-0000-0A00-000003000000}">
      <text>
        <r>
          <rPr>
            <sz val="8"/>
            <color indexed="81"/>
            <rFont val="Tahoma"/>
            <family val="2"/>
          </rPr>
          <t xml:space="preserve">
</t>
        </r>
      </text>
    </comment>
    <comment ref="F60" authorId="0" shapeId="0" xr:uid="{00000000-0006-0000-0A00-000004000000}">
      <text/>
    </comment>
    <comment ref="F61" authorId="0" shapeId="0" xr:uid="{00000000-0006-0000-0A00-000005000000}">
      <text>
        <r>
          <rPr>
            <sz val="8"/>
            <color indexed="81"/>
            <rFont val="Tahoma"/>
            <family val="2"/>
          </rPr>
          <t xml:space="preserve">
</t>
        </r>
      </text>
    </comment>
    <comment ref="F62" authorId="0" shapeId="0" xr:uid="{00000000-0006-0000-0A00-000006000000}">
      <text/>
    </comment>
    <comment ref="F64" authorId="0" shapeId="0" xr:uid="{00000000-0006-0000-0A00-000007000000}">
      <text>
        <r>
          <rPr>
            <sz val="8"/>
            <color indexed="81"/>
            <rFont val="Tahoma"/>
            <family val="2"/>
          </rPr>
          <t xml:space="preserve">
</t>
        </r>
      </text>
    </comment>
    <comment ref="F65" authorId="0" shapeId="0" xr:uid="{00000000-0006-0000-0A00-000008000000}">
      <text>
        <r>
          <rPr>
            <sz val="8"/>
            <color indexed="81"/>
            <rFont val="Tahoma"/>
            <family val="2"/>
          </rPr>
          <t xml:space="preserve">
</t>
        </r>
      </text>
    </comment>
    <comment ref="F66" authorId="0" shapeId="0" xr:uid="{00000000-0006-0000-0A00-000009000000}">
      <text/>
    </comment>
    <comment ref="F68" authorId="0" shapeId="0" xr:uid="{00000000-0006-0000-0A00-00000A000000}">
      <text>
        <r>
          <rPr>
            <sz val="8"/>
            <color indexed="81"/>
            <rFont val="Tahoma"/>
            <family val="2"/>
          </rPr>
          <t xml:space="preserve">
</t>
        </r>
      </text>
    </comment>
    <comment ref="F76" authorId="0" shapeId="0" xr:uid="{00000000-0006-0000-0A00-00000B000000}">
      <text/>
    </comment>
    <comment ref="F77" authorId="0" shapeId="0" xr:uid="{00000000-0006-0000-0A00-00000C000000}">
      <text>
        <r>
          <rPr>
            <sz val="8"/>
            <color indexed="81"/>
            <rFont val="Tahoma"/>
            <family val="2"/>
          </rPr>
          <t xml:space="preserve">
</t>
        </r>
      </text>
    </comment>
    <comment ref="F78" authorId="0" shapeId="0" xr:uid="{00000000-0006-0000-0A00-00000D000000}">
      <text/>
    </comment>
    <comment ref="F81" authorId="0" shapeId="0" xr:uid="{00000000-0006-0000-0A00-00000E000000}">
      <text>
        <r>
          <rPr>
            <b/>
            <sz val="8"/>
            <color indexed="81"/>
            <rFont val="Tahoma"/>
            <family val="2"/>
          </rPr>
          <t>Details:</t>
        </r>
        <r>
          <rPr>
            <sz val="8"/>
            <color indexed="81"/>
            <rFont val="Tahoma"/>
            <family val="2"/>
          </rPr>
          <t xml:space="preserve">
Data Matrix (GS1 128) coding for animal health products.  This option requires a Midi printhead is utilised.
</t>
        </r>
      </text>
    </comment>
    <comment ref="F88" authorId="0" shapeId="0" xr:uid="{00000000-0006-0000-0A00-00000F000000}">
      <text>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Trent Munro</author>
  </authors>
  <commentList>
    <comment ref="D8" authorId="0" shapeId="0" xr:uid="{00000000-0006-0000-0E00-000001000000}">
      <text>
        <r>
          <rPr>
            <b/>
            <sz val="8"/>
            <color indexed="81"/>
            <rFont val="Tahoma"/>
            <family val="2"/>
          </rPr>
          <t>Details:</t>
        </r>
        <r>
          <rPr>
            <sz val="8"/>
            <color indexed="81"/>
            <rFont val="Tahoma"/>
            <family val="2"/>
          </rPr>
          <t xml:space="preserve">
Don't use this option unless advised.</t>
        </r>
      </text>
    </comment>
    <comment ref="D9" authorId="0" shapeId="0" xr:uid="{00000000-0006-0000-0E00-000002000000}">
      <text>
        <r>
          <rPr>
            <b/>
            <sz val="9"/>
            <color indexed="81"/>
            <rFont val="Tahoma"/>
            <family val="2"/>
          </rPr>
          <t>IMPORTANT:</t>
        </r>
        <r>
          <rPr>
            <sz val="8"/>
            <color indexed="81"/>
            <rFont val="Tahoma"/>
            <family val="2"/>
          </rPr>
          <t xml:space="preserve">
Please select whether the below deal relates to an IBTO or CTO</t>
        </r>
      </text>
    </comment>
    <comment ref="F64" authorId="0" shapeId="0" xr:uid="{00000000-0006-0000-0E00-000003000000}">
      <text>
        <r>
          <rPr>
            <sz val="8"/>
            <color indexed="81"/>
            <rFont val="Tahoma"/>
            <family val="2"/>
          </rPr>
          <t xml:space="preserve">
</t>
        </r>
      </text>
    </comment>
    <comment ref="F66" authorId="0" shapeId="0" xr:uid="{00000000-0006-0000-0E00-000004000000}">
      <text>
        <r>
          <rPr>
            <sz val="8"/>
            <color indexed="81"/>
            <rFont val="Tahoma"/>
            <family val="2"/>
          </rPr>
          <t xml:space="preserve">
</t>
        </r>
      </text>
    </comment>
    <comment ref="F67" authorId="0" shapeId="0" xr:uid="{00000000-0006-0000-0E00-000005000000}">
      <text>
        <r>
          <rPr>
            <sz val="8"/>
            <color indexed="81"/>
            <rFont val="Tahoma"/>
            <family val="2"/>
          </rPr>
          <t xml:space="preserve">
</t>
        </r>
      </text>
    </comment>
    <comment ref="F71" authorId="0" shapeId="0" xr:uid="{00000000-0006-0000-0E00-000006000000}">
      <text>
        <r>
          <rPr>
            <sz val="8"/>
            <color indexed="81"/>
            <rFont val="Tahoma"/>
            <family val="2"/>
          </rPr>
          <t xml:space="preserve">
</t>
        </r>
      </text>
    </comment>
    <comment ref="F73" authorId="0" shapeId="0" xr:uid="{00000000-0006-0000-0E00-000007000000}">
      <text/>
    </comment>
    <comment ref="F74" authorId="0" shapeId="0" xr:uid="{00000000-0006-0000-0E00-000008000000}">
      <text>
        <r>
          <rPr>
            <sz val="8"/>
            <color indexed="81"/>
            <rFont val="Tahoma"/>
            <family val="2"/>
          </rPr>
          <t xml:space="preserve">
</t>
        </r>
      </text>
    </comment>
    <comment ref="F75" authorId="0" shapeId="0" xr:uid="{00000000-0006-0000-0E00-000009000000}">
      <text/>
    </comment>
    <comment ref="F77" authorId="0" shapeId="0" xr:uid="{00000000-0006-0000-0E00-00000A000000}">
      <text>
        <r>
          <rPr>
            <sz val="8"/>
            <color indexed="81"/>
            <rFont val="Tahoma"/>
            <family val="2"/>
          </rPr>
          <t xml:space="preserve">
</t>
        </r>
      </text>
    </comment>
    <comment ref="F78" authorId="0" shapeId="0" xr:uid="{00000000-0006-0000-0E00-00000B000000}">
      <text>
        <r>
          <rPr>
            <sz val="8"/>
            <color indexed="81"/>
            <rFont val="Tahoma"/>
            <family val="2"/>
          </rPr>
          <t xml:space="preserve">
</t>
        </r>
      </text>
    </comment>
    <comment ref="F79" authorId="0" shapeId="0" xr:uid="{00000000-0006-0000-0E00-00000C000000}">
      <text/>
    </comment>
    <comment ref="F81" authorId="0" shapeId="0" xr:uid="{00000000-0006-0000-0E00-00000D000000}">
      <text>
        <r>
          <rPr>
            <sz val="8"/>
            <color indexed="81"/>
            <rFont val="Tahoma"/>
            <family val="2"/>
          </rPr>
          <t xml:space="preserve">
</t>
        </r>
      </text>
    </comment>
    <comment ref="F89" authorId="0" shapeId="0" xr:uid="{00000000-0006-0000-0E00-00000E000000}">
      <text/>
    </comment>
    <comment ref="F91" authorId="0" shapeId="0" xr:uid="{00000000-0006-0000-0E00-00000F000000}">
      <text>
        <r>
          <rPr>
            <sz val="8"/>
            <color indexed="81"/>
            <rFont val="Tahoma"/>
            <family val="2"/>
          </rPr>
          <t xml:space="preserve">
</t>
        </r>
      </text>
    </comment>
    <comment ref="F92" authorId="0" shapeId="0" xr:uid="{00000000-0006-0000-0E00-000010000000}">
      <text/>
    </comment>
    <comment ref="F97" authorId="0" shapeId="0" xr:uid="{00000000-0006-0000-0E00-000011000000}">
      <text>
        <r>
          <rPr>
            <sz val="9"/>
            <color indexed="81"/>
            <rFont val="Tahoma"/>
            <family val="2"/>
          </rPr>
          <t xml:space="preserve">
</t>
        </r>
      </text>
    </comment>
    <comment ref="F100" authorId="0" shapeId="0" xr:uid="{00000000-0006-0000-0E00-000012000000}">
      <text>
        <r>
          <rPr>
            <b/>
            <sz val="9"/>
            <color indexed="81"/>
            <rFont val="Tahoma"/>
            <family val="2"/>
          </rPr>
          <t>Details</t>
        </r>
        <r>
          <rPr>
            <sz val="9"/>
            <color indexed="81"/>
            <rFont val="Tahoma"/>
            <family val="2"/>
          </rPr>
          <t xml:space="preserve">
This is an RS232 output, and a second alarm with a Volt Free Contact (VFC) output. The VFC output can be configured to drive a dual alarm function</t>
        </r>
      </text>
    </comment>
    <comment ref="F107" authorId="0" shapeId="0" xr:uid="{00000000-0006-0000-0E00-000013000000}">
      <text>
        <r>
          <rPr>
            <b/>
            <sz val="8"/>
            <color indexed="81"/>
            <rFont val="Tahoma"/>
            <family val="2"/>
          </rPr>
          <t>Note:</t>
        </r>
        <r>
          <rPr>
            <sz val="8"/>
            <color indexed="81"/>
            <rFont val="Tahoma"/>
            <family val="2"/>
          </rPr>
          <t xml:space="preserve">
Only Available on 5900e Model</t>
        </r>
      </text>
    </comment>
    <comment ref="F108" authorId="0" shapeId="0" xr:uid="{00000000-0006-0000-0E00-000014000000}">
      <text>
        <r>
          <rPr>
            <b/>
            <sz val="8"/>
            <color indexed="81"/>
            <rFont val="Tahoma"/>
            <family val="2"/>
          </rPr>
          <t>Note:</t>
        </r>
        <r>
          <rPr>
            <sz val="8"/>
            <color indexed="81"/>
            <rFont val="Tahoma"/>
            <family val="2"/>
          </rPr>
          <t xml:space="preserve">
Only Available on 5900e Model</t>
        </r>
      </text>
    </comment>
    <comment ref="F112" authorId="0" shapeId="0" xr:uid="{00000000-0006-0000-0E00-000015000000}">
      <text>
        <r>
          <rPr>
            <sz val="8"/>
            <color indexed="81"/>
            <rFont val="Tahoma"/>
            <family val="2"/>
          </rPr>
          <t xml:space="preserve">
</t>
        </r>
      </text>
    </comment>
    <comment ref="E173" authorId="0" shapeId="0" xr:uid="{00000000-0006-0000-0E00-000016000000}">
      <text>
        <r>
          <rPr>
            <b/>
            <sz val="9"/>
            <color indexed="81"/>
            <rFont val="Tahoma"/>
            <family val="2"/>
          </rPr>
          <t>Note:</t>
        </r>
        <r>
          <rPr>
            <sz val="9"/>
            <color indexed="81"/>
            <rFont val="Tahoma"/>
            <family val="2"/>
          </rPr>
          <t xml:space="preserve">
Please select the correct product group</t>
        </r>
      </text>
    </comment>
  </commentList>
</comments>
</file>

<file path=xl/sharedStrings.xml><?xml version="1.0" encoding="utf-8"?>
<sst xmlns="http://schemas.openxmlformats.org/spreadsheetml/2006/main" count="8847" uniqueCount="1640">
  <si>
    <t>Description</t>
  </si>
  <si>
    <t>Quantity</t>
  </si>
  <si>
    <t>Supplier Part #</t>
  </si>
  <si>
    <t>Price Each</t>
  </si>
  <si>
    <t>IJ600 Bill of Materials</t>
  </si>
  <si>
    <t>Parallelogram</t>
  </si>
  <si>
    <t>Sales Representative</t>
  </si>
  <si>
    <t>David Alexander</t>
  </si>
  <si>
    <t>Date</t>
  </si>
  <si>
    <t>Matthews #</t>
  </si>
  <si>
    <t>Comments</t>
  </si>
  <si>
    <t>LC8120</t>
  </si>
  <si>
    <t>int</t>
  </si>
  <si>
    <t>Base Printer</t>
  </si>
  <si>
    <t>IJ600</t>
  </si>
  <si>
    <t>IJ600 (Single Printhead)</t>
  </si>
  <si>
    <t>IJ600 With Single Heated Printhead</t>
  </si>
  <si>
    <t>IJ600 (Dual Printhead)</t>
  </si>
  <si>
    <t>IJ600 With Dual Heated Printhead</t>
  </si>
  <si>
    <t>2 Metres</t>
  </si>
  <si>
    <t>4 Metres</t>
  </si>
  <si>
    <t>8 Metres</t>
  </si>
  <si>
    <t>Ink Type</t>
  </si>
  <si>
    <t>Black (LC8120)</t>
  </si>
  <si>
    <t>Printheads</t>
  </si>
  <si>
    <t>Red (LC8130)</t>
  </si>
  <si>
    <t>Blue (LC8150)</t>
  </si>
  <si>
    <t>Encoder</t>
  </si>
  <si>
    <t>Photoeye</t>
  </si>
  <si>
    <t>Photoeye Cable Length</t>
  </si>
  <si>
    <t>First Conduit Length</t>
  </si>
  <si>
    <t>Second Conduit Length</t>
  </si>
  <si>
    <t>Mounting System</t>
  </si>
  <si>
    <t>Custom CPM</t>
  </si>
  <si>
    <t>Supplier #</t>
  </si>
  <si>
    <t>Price</t>
  </si>
  <si>
    <t>Impletmentation</t>
  </si>
  <si>
    <t>Project Management, Installation, commissioning &amp; training</t>
  </si>
  <si>
    <t>1st Printhead - 500-nozzle</t>
  </si>
  <si>
    <t>2st Printhead - 500-nozzle</t>
  </si>
  <si>
    <t>Consumables</t>
  </si>
  <si>
    <t>Grand Total</t>
  </si>
  <si>
    <t>SubTotal</t>
  </si>
  <si>
    <t>System</t>
  </si>
  <si>
    <t>Implementation</t>
  </si>
  <si>
    <t>Phillip Biggs</t>
  </si>
  <si>
    <t>Andy Gibbons</t>
  </si>
  <si>
    <t>Heidi Ball</t>
  </si>
  <si>
    <t>Name</t>
  </si>
  <si>
    <t>Comment</t>
  </si>
  <si>
    <t>Approved Y/N</t>
  </si>
  <si>
    <t>Approval Route</t>
  </si>
  <si>
    <t>Greg</t>
  </si>
  <si>
    <t>Bracket to mount p/head</t>
  </si>
  <si>
    <t>Aluminium plate to go over the conveyor (IJ600)</t>
  </si>
  <si>
    <t xml:space="preserve">PE Barrel 18mm Proximity Energetic VTE18-4N3240   </t>
  </si>
  <si>
    <t>Cable for photo sensor (3 meter)</t>
  </si>
  <si>
    <t>1st Printhead Length - 2 metres</t>
  </si>
  <si>
    <t>Floor Mount Gantry Assy</t>
  </si>
  <si>
    <t>Linx Stainless Steel Trolley</t>
  </si>
  <si>
    <t>LookUp Data</t>
  </si>
  <si>
    <r>
      <t xml:space="preserve">Black Impulse Ink 8120 </t>
    </r>
    <r>
      <rPr>
        <b/>
        <sz val="10"/>
        <color rgb="FFFF0000"/>
        <rFont val="Arial"/>
        <family val="2"/>
      </rPr>
      <t>(2x 500ml</t>
    </r>
    <r>
      <rPr>
        <sz val="10"/>
        <color rgb="FFFF0000"/>
        <rFont val="Arial"/>
        <family val="2"/>
      </rPr>
      <t xml:space="preserve"> bottles)</t>
    </r>
  </si>
  <si>
    <t>7.6 hrs</t>
  </si>
  <si>
    <t>Select a printhead</t>
  </si>
  <si>
    <t xml:space="preserve">
</t>
  </si>
  <si>
    <t>Project management, Installation, commissioning &amp; training</t>
  </si>
  <si>
    <t>Please select system</t>
  </si>
  <si>
    <t>Please select an encoder</t>
  </si>
  <si>
    <t>Please select a photoeye</t>
  </si>
  <si>
    <t>TBA</t>
  </si>
  <si>
    <t>PE Cable - 3m</t>
  </si>
  <si>
    <t>PE Cable - 5m</t>
  </si>
  <si>
    <t>PE Cable - Custom</t>
  </si>
  <si>
    <t>Discount</t>
  </si>
  <si>
    <t>Total</t>
  </si>
  <si>
    <t>Issue</t>
  </si>
  <si>
    <t>Matthew Nichol</t>
  </si>
  <si>
    <t>Randall Collins</t>
  </si>
  <si>
    <t>Warren Hutt</t>
  </si>
  <si>
    <t xml:space="preserve"> </t>
  </si>
  <si>
    <t>Company Name</t>
  </si>
  <si>
    <t>Customer Details</t>
  </si>
  <si>
    <t>IDS Solution</t>
  </si>
  <si>
    <t>Customer Account on Nexus?</t>
  </si>
  <si>
    <t>Account Contact Person Details</t>
  </si>
  <si>
    <t>Title</t>
  </si>
  <si>
    <t>Phone No’s</t>
  </si>
  <si>
    <t>Programmable Encoder</t>
  </si>
  <si>
    <t>1036721</t>
  </si>
  <si>
    <t>Encoder Cable Length - 5 metres</t>
  </si>
  <si>
    <t>Encoder Cable Length - 10 metres</t>
  </si>
  <si>
    <t>11050024</t>
  </si>
  <si>
    <t>6032867</t>
  </si>
  <si>
    <t>6032868</t>
  </si>
  <si>
    <t>11050025</t>
  </si>
  <si>
    <t>No Selection</t>
  </si>
  <si>
    <t>Yes</t>
  </si>
  <si>
    <t>No</t>
  </si>
  <si>
    <t>Encoder Wheel</t>
  </si>
  <si>
    <t>SKME2046\01</t>
  </si>
  <si>
    <t>Encoder Mount - Spring Loaded</t>
  </si>
  <si>
    <t>CPM Price</t>
  </si>
  <si>
    <t>Enter Correct CPM Price</t>
  </si>
  <si>
    <t>Select which Product</t>
  </si>
  <si>
    <t>Install</t>
  </si>
  <si>
    <t>Additional Travel Allowance - Rural Customers (Both Ways)</t>
  </si>
  <si>
    <t>Brackets</t>
  </si>
  <si>
    <t>Intermittent</t>
  </si>
  <si>
    <t>Continuous</t>
  </si>
  <si>
    <t>Accessories</t>
  </si>
  <si>
    <t>TT3</t>
  </si>
  <si>
    <t>`</t>
  </si>
  <si>
    <t>RH &amp; LH Setups</t>
  </si>
  <si>
    <t>Trent Munro</t>
  </si>
  <si>
    <t>Site Inspection</t>
  </si>
  <si>
    <t>Common Issues</t>
  </si>
  <si>
    <t>Printer Specifications</t>
  </si>
  <si>
    <t>Final Deal</t>
  </si>
  <si>
    <t>Final Price</t>
  </si>
  <si>
    <t>Comments / Special Approval</t>
  </si>
  <si>
    <t>Final Agreed Price</t>
  </si>
  <si>
    <t>Consumables Forecast</t>
  </si>
  <si>
    <t>Capital Handover Information</t>
  </si>
  <si>
    <t>CHOP Completed</t>
  </si>
  <si>
    <t>Comments / Clarifications / Important Notes / Verbal Commitments</t>
  </si>
  <si>
    <t>PO Number</t>
  </si>
  <si>
    <t>Quote Number</t>
  </si>
  <si>
    <t>Representative</t>
  </si>
  <si>
    <t>Delivery Date Req'd</t>
  </si>
  <si>
    <t>Dispatch Address</t>
  </si>
  <si>
    <t>Email</t>
  </si>
  <si>
    <t>CPM Requried</t>
  </si>
  <si>
    <t>CPM Completed</t>
  </si>
  <si>
    <t>CPM Costing</t>
  </si>
  <si>
    <t>IDS Solution Price</t>
  </si>
  <si>
    <t>CTO Serials</t>
  </si>
  <si>
    <t>Authorisation</t>
  </si>
  <si>
    <t>Options</t>
  </si>
  <si>
    <t>TT5</t>
  </si>
  <si>
    <t>TT10</t>
  </si>
  <si>
    <t>Model</t>
  </si>
  <si>
    <t>Custom Parts / CPM</t>
  </si>
  <si>
    <t>Product</t>
  </si>
  <si>
    <t>TT5w</t>
  </si>
  <si>
    <t>Machine</t>
  </si>
  <si>
    <t>Customer Type</t>
  </si>
  <si>
    <t>THERMAL TRANSFER OVERPRINTER's (TT0)</t>
  </si>
  <si>
    <t>Application Summary</t>
  </si>
  <si>
    <t>1. Describe the code to be printed</t>
  </si>
  <si>
    <t>Date/Batch</t>
  </si>
  <si>
    <t>Counter</t>
  </si>
  <si>
    <t>Barcode</t>
  </si>
  <si>
    <t>Logo</t>
  </si>
  <si>
    <t>Ingredients Panel</t>
  </si>
  <si>
    <t>Other</t>
  </si>
  <si>
    <t>Offset Date</t>
  </si>
  <si>
    <t xml:space="preserve">2. How many different products messages are required? </t>
  </si>
  <si>
    <t>(All additional information available, please collect)</t>
  </si>
  <si>
    <t>3. What colour ribbon is required?</t>
  </si>
  <si>
    <t>4. Please Sketch/detail Code Format (E.g. Best Before 1/1/2013)</t>
  </si>
  <si>
    <t>Substrate Details</t>
  </si>
  <si>
    <t>5. What Film Type (s) are you using?</t>
  </si>
  <si>
    <t>BOPP</t>
  </si>
  <si>
    <t>Foil</t>
  </si>
  <si>
    <t>Heatshrink Bag</t>
  </si>
  <si>
    <t>Preformed Bag / Perferation</t>
  </si>
  <si>
    <t>6. How many different types of substrates?</t>
  </si>
  <si>
    <t>Samples of each subtrate is required</t>
  </si>
  <si>
    <t>7. Does the film contain registration marks?</t>
  </si>
  <si>
    <t>Clear Film</t>
  </si>
  <si>
    <t>YES</t>
  </si>
  <si>
    <t>NO</t>
  </si>
  <si>
    <t>8. Is the registration marks consistently the same colour on all products used</t>
  </si>
  <si>
    <t xml:space="preserve">(a). Is the registration mark on the film edge in a quite/clear zone with </t>
  </si>
  <si>
    <t>no other marking/colours etc?</t>
  </si>
  <si>
    <t>(b). Does the artwork extend into the registration mark/zone area?</t>
  </si>
  <si>
    <t>Process Details</t>
  </si>
  <si>
    <t>9. Web motion:</t>
  </si>
  <si>
    <t>10. What is the maximum web width</t>
  </si>
  <si>
    <t>Products</t>
  </si>
  <si>
    <t>Prd/Min</t>
  </si>
  <si>
    <t>Pack Length</t>
  </si>
  <si>
    <t>Dwell Time</t>
  </si>
  <si>
    <t>Film Speed</t>
  </si>
  <si>
    <t>Product 1</t>
  </si>
  <si>
    <t>Product 2</t>
  </si>
  <si>
    <t>Product 3</t>
  </si>
  <si>
    <t>Product 4</t>
  </si>
  <si>
    <t>Product 5</t>
  </si>
  <si>
    <t>Product 6</t>
  </si>
  <si>
    <t>Product 7</t>
  </si>
  <si>
    <t>Product 8</t>
  </si>
  <si>
    <t>Product 9</t>
  </si>
  <si>
    <t>Product 10</t>
  </si>
  <si>
    <t>11. Package/Process Considerations</t>
  </si>
  <si>
    <t>Rubbing - Proximity to Formplate</t>
  </si>
  <si>
    <t>Bathing</t>
  </si>
  <si>
    <t>Heating</t>
  </si>
  <si>
    <t>Freezing</t>
  </si>
  <si>
    <t>Subjected to solvents</t>
  </si>
  <si>
    <t>Is there potential for contaminants to sit on the packaging (dust, sugar, flour, eggs milk salts, nuts, starch)</t>
  </si>
  <si>
    <t>Water</t>
  </si>
  <si>
    <t>Other, please specify …………………………………………………………………….</t>
  </si>
  <si>
    <t>12. Environmental Considerations</t>
  </si>
  <si>
    <t>Washdown Environment</t>
  </si>
  <si>
    <t>Humid Environment</t>
  </si>
  <si>
    <t>Damp / Condensation Environment</t>
  </si>
  <si>
    <t>Max Temperature</t>
  </si>
  <si>
    <t>Min Temperature</t>
  </si>
  <si>
    <t>Packaging Machine Details</t>
  </si>
  <si>
    <t>Manufacturer:</t>
  </si>
  <si>
    <t>Model:</t>
  </si>
  <si>
    <t>Serial Number:</t>
  </si>
  <si>
    <t>Machine type:</t>
  </si>
  <si>
    <t>(Vertical Fill, Horizontal Fill, Flow Wrap, Thermo Fill etc:)</t>
  </si>
  <si>
    <t>Any non standard options fitted:</t>
  </si>
  <si>
    <t>13. How will the print be triggered?</t>
  </si>
  <si>
    <t>PLC / Machine</t>
  </si>
  <si>
    <t>Separate Photocell</t>
  </si>
  <si>
    <t>14. Is the a 240V supply?</t>
  </si>
  <si>
    <t>GPO</t>
  </si>
  <si>
    <t>Packaging Machine</t>
  </si>
  <si>
    <t>Cable length:</t>
  </si>
  <si>
    <t>15. Electrical drawings obtained?</t>
  </si>
  <si>
    <t>16. Is there clean factory air supply available on the packaging machine?</t>
  </si>
  <si>
    <t>If no, client must supply within 600ml of the printer</t>
  </si>
  <si>
    <t>Software &amp; Integration Requirements</t>
  </si>
  <si>
    <t>17. Message Design Software Required</t>
  </si>
  <si>
    <t>Clarisoft</t>
  </si>
  <si>
    <t>(a) Alternative software used:</t>
  </si>
  <si>
    <t>18. Is external integration required? (Eg. iDSnet to control message selection)</t>
  </si>
  <si>
    <t>(a) Intergration software used:</t>
  </si>
  <si>
    <t>(b) Will the TT0's be networked?</t>
  </si>
  <si>
    <t>(c) If 'yes' what communication type?</t>
  </si>
  <si>
    <t xml:space="preserve">Ethernet </t>
  </si>
  <si>
    <t>RS232</t>
  </si>
  <si>
    <t>Note: TT3 can not be connected via ethernet</t>
  </si>
  <si>
    <t>Printer Information</t>
  </si>
  <si>
    <t>19. Printer type required:</t>
  </si>
  <si>
    <t>20. Is a master / slave required?</t>
  </si>
  <si>
    <t>(a) If Yes, How many slaves are required</t>
  </si>
  <si>
    <t>21. Select the print direction of the substrate:</t>
  </si>
  <si>
    <t>(right hand printer)</t>
  </si>
  <si>
    <t>(left hand printer)</t>
  </si>
  <si>
    <t>Note:</t>
  </si>
  <si>
    <t>Master and slave generally opposite hands if on same bracket.</t>
  </si>
  <si>
    <t>Master = M, Slave = S1, S2, S3.</t>
  </si>
  <si>
    <t>Bracket Information</t>
  </si>
  <si>
    <t>22. Where does the client want the controller?</t>
  </si>
  <si>
    <t>Must be within a 3 meter cable run to the printer</t>
  </si>
  <si>
    <t xml:space="preserve">23. Where is the printer intended to be located? </t>
  </si>
  <si>
    <t>This must be after any dancer arm assemblies for speed reasons</t>
  </si>
  <si>
    <t>24. Is the existing bracketry re-usable?</t>
  </si>
  <si>
    <t>33. Please provide Photo's of mounting area</t>
  </si>
  <si>
    <t>25. Can the existing registration on the packaging machine be used?</t>
  </si>
  <si>
    <t>26. Are there any guarding restrictions?</t>
  </si>
  <si>
    <t>27. Will there be alternative brackets required?</t>
  </si>
  <si>
    <t>28. If 'yes' describe details:</t>
  </si>
  <si>
    <t>Machine/Bracket width (M):</t>
  </si>
  <si>
    <t>mm</t>
  </si>
  <si>
    <t>Substrate/Print roller width (W):</t>
  </si>
  <si>
    <t>Product/Bag length (P):</t>
  </si>
  <si>
    <t>Image distance from start (Z):</t>
  </si>
  <si>
    <t>Print field dimension (X)</t>
  </si>
  <si>
    <t>Print field dimension (Y)</t>
  </si>
  <si>
    <t>29. End plate for TT5/10, document the rollers and film path. (on below drawing)</t>
  </si>
  <si>
    <t>TT0 Speed Reference</t>
  </si>
  <si>
    <t>Intermittent mode</t>
  </si>
  <si>
    <t>Continuous mode</t>
  </si>
  <si>
    <t>50 - 400mm/sec</t>
  </si>
  <si>
    <t>40 - 500mm/sec</t>
  </si>
  <si>
    <t>40 - 1000mm/sec</t>
  </si>
  <si>
    <r>
      <rPr>
        <b/>
        <i/>
        <sz val="9"/>
        <rFont val="Arial"/>
        <family val="2"/>
      </rPr>
      <t>NOTE</t>
    </r>
    <r>
      <rPr>
        <i/>
        <sz val="9"/>
        <rFont val="Arial"/>
        <family val="2"/>
      </rPr>
      <t>: Print speeds and throughput depend on the ribbon type, the application, and the configuration.</t>
    </r>
  </si>
  <si>
    <t>50 - 700mm/sec*</t>
  </si>
  <si>
    <t>* Requires High Speed ribbon. The maximum speed for Standard ribbon is 630 mm/s.</t>
  </si>
  <si>
    <t>** Maximum throughput is 1000 packs per minute</t>
  </si>
  <si>
    <t>50 - 800mm/sec**</t>
  </si>
  <si>
    <t>40 - 800mm/sec</t>
  </si>
  <si>
    <r>
      <t xml:space="preserve">Pre Application Site Survey </t>
    </r>
    <r>
      <rPr>
        <b/>
        <sz val="14"/>
        <color theme="5" tint="-0.249977111117893"/>
        <rFont val="Arial"/>
        <family val="2"/>
      </rPr>
      <t>(PASS)</t>
    </r>
  </si>
  <si>
    <t>Please Select Your Printer</t>
  </si>
  <si>
    <t>PP</t>
  </si>
  <si>
    <t>LDPE</t>
  </si>
  <si>
    <t>LLDPE</t>
  </si>
  <si>
    <t>HDPE</t>
  </si>
  <si>
    <t>PET</t>
  </si>
  <si>
    <t>AOH</t>
  </si>
  <si>
    <t>PVOH</t>
  </si>
  <si>
    <t>EVOH PE</t>
  </si>
  <si>
    <t>MET</t>
  </si>
  <si>
    <t>Commission Plan</t>
  </si>
  <si>
    <t>PG / Code</t>
  </si>
  <si>
    <t>Discount from List Price (excluding install)</t>
  </si>
  <si>
    <t>Price Tier 1</t>
  </si>
  <si>
    <t>Tier Structure</t>
  </si>
  <si>
    <t>Price Tier - Excluding Install, QC/System Build</t>
  </si>
  <si>
    <t>Special Discount (Approved by Mario)</t>
  </si>
  <si>
    <t>Accomodation Allowance</t>
  </si>
  <si>
    <t>Campaign</t>
  </si>
  <si>
    <t>Campaign:</t>
  </si>
  <si>
    <t>Supplier Discount</t>
  </si>
  <si>
    <t>Tier 1</t>
  </si>
  <si>
    <t>Tier 2</t>
  </si>
  <si>
    <t>Normal</t>
  </si>
  <si>
    <t>Max</t>
  </si>
  <si>
    <t>Min</t>
  </si>
  <si>
    <t>Normal BOM Price</t>
  </si>
  <si>
    <t>Discount Applied</t>
  </si>
  <si>
    <t>Tier Rating</t>
  </si>
  <si>
    <t>Campaign/Support</t>
  </si>
  <si>
    <t>Extra Charged</t>
  </si>
  <si>
    <t>Installation</t>
  </si>
  <si>
    <t>Leadtime</t>
  </si>
  <si>
    <t>List</t>
  </si>
  <si>
    <t>Tier</t>
  </si>
  <si>
    <t>Extra Charge</t>
  </si>
  <si>
    <t>Bracketry</t>
  </si>
  <si>
    <t>7900 Spectrum</t>
  </si>
  <si>
    <t>Ultima</t>
  </si>
  <si>
    <t>7900 FG</t>
  </si>
  <si>
    <t>7900 Swift</t>
  </si>
  <si>
    <t>7900 Solver</t>
  </si>
  <si>
    <t>Micro Mk7 2M</t>
  </si>
  <si>
    <t>Micro Mk7 2M R/A</t>
  </si>
  <si>
    <t>Micro Mk7 4M</t>
  </si>
  <si>
    <t>Micro Mk7 4M R/A</t>
  </si>
  <si>
    <t>Midi Mk7 2M</t>
  </si>
  <si>
    <t>Midi Mk7 2M R/A</t>
  </si>
  <si>
    <t>Midi Mk7 4M</t>
  </si>
  <si>
    <t>Midi Mk7 4M R/A</t>
  </si>
  <si>
    <t>Midi Mk7 Srra 2M</t>
  </si>
  <si>
    <t>Midi Mk7 Srra 4M</t>
  </si>
  <si>
    <t>Midi Plus Mk7 2M</t>
  </si>
  <si>
    <t>Midi Plus Mk7 2M R/A</t>
  </si>
  <si>
    <t>Midi Plus Mk7 4M</t>
  </si>
  <si>
    <t>Midi Plus Mk7 4M R/A</t>
  </si>
  <si>
    <t>Midi A Mk7 2M</t>
  </si>
  <si>
    <t>Midi A Mk7 2M R/A</t>
  </si>
  <si>
    <t>Midi A Mk7 4M</t>
  </si>
  <si>
    <t>Midi A Mk7 4M R/A</t>
  </si>
  <si>
    <t>Midi Ec Mk7 2M</t>
  </si>
  <si>
    <t>Mini Mk7 2M</t>
  </si>
  <si>
    <t>Mini Mk7 2M R/A</t>
  </si>
  <si>
    <t>Mini Mk7 4M</t>
  </si>
  <si>
    <t>Mini Mk7 4M R/A</t>
  </si>
  <si>
    <t>Ultima Mk7 2M</t>
  </si>
  <si>
    <t>Ultima Mk7 2M R/A</t>
  </si>
  <si>
    <t>Ultima Mk7 4M</t>
  </si>
  <si>
    <t>Ultima Mk7 4M R/A</t>
  </si>
  <si>
    <t>Ultima Plus Mk7 2M</t>
  </si>
  <si>
    <t>Ultima Plus Mk7 2M R/A</t>
  </si>
  <si>
    <t>Ultima Plus Mk7 4M</t>
  </si>
  <si>
    <t>Ultima Plus Mk7 4M R/A</t>
  </si>
  <si>
    <t>Ultima A Mk7 2M</t>
  </si>
  <si>
    <t>Ultima A Mk7 2M R/A</t>
  </si>
  <si>
    <t>Ultima A Mk7 4M</t>
  </si>
  <si>
    <t>Ultima A Mk7 4M R/A</t>
  </si>
  <si>
    <t>Software</t>
  </si>
  <si>
    <t>Standard Speed (SS)</t>
  </si>
  <si>
    <t>High Speed (HS)</t>
  </si>
  <si>
    <t>Super High Speed (SHS)</t>
  </si>
  <si>
    <t>DC</t>
  </si>
  <si>
    <t>Line Upgrade</t>
  </si>
  <si>
    <t>Enhanced Data Matrix</t>
  </si>
  <si>
    <t>Data Matrix Encoding</t>
  </si>
  <si>
    <t>Stainless Steel Trolley</t>
  </si>
  <si>
    <t>Printhead Mounting Pole (700mm)</t>
  </si>
  <si>
    <t>Printhead Mounting Pole (1500mm)</t>
  </si>
  <si>
    <t>Mounting Bracket Spacer Plate</t>
  </si>
  <si>
    <t>Air Knife &amp; Bracket Kit</t>
  </si>
  <si>
    <t>Printhead Wash Station</t>
  </si>
  <si>
    <t>Dual Alarm Upgrade Kit 4900</t>
  </si>
  <si>
    <t>Alarm Beacon with Pole</t>
  </si>
  <si>
    <t>Audible and Visible Alarm</t>
  </si>
  <si>
    <t>Linx 7300 Plastic Cover</t>
  </si>
  <si>
    <t>Cut-Away Cover Tube Assembly</t>
  </si>
  <si>
    <t>Positive Air Upgrade 4900/7300</t>
  </si>
  <si>
    <t>Printer Variant</t>
  </si>
  <si>
    <t>P1</t>
  </si>
  <si>
    <t>B</t>
  </si>
  <si>
    <t>Ultima Plus</t>
  </si>
  <si>
    <t>C</t>
  </si>
  <si>
    <t>Ultima A</t>
  </si>
  <si>
    <t>N</t>
  </si>
  <si>
    <t>Mini</t>
  </si>
  <si>
    <t>2-m straight</t>
  </si>
  <si>
    <t>2-m right angled</t>
  </si>
  <si>
    <t>4-m straight</t>
  </si>
  <si>
    <t>4-m right angled</t>
  </si>
  <si>
    <t>European/USA Keyboard</t>
  </si>
  <si>
    <t>EUR</t>
  </si>
  <si>
    <t>Project Management, Installation, Commissioning &amp; Training</t>
  </si>
  <si>
    <t>4900 DC</t>
  </si>
  <si>
    <t>7900 IP65</t>
  </si>
  <si>
    <t>3 Line Upgrade</t>
  </si>
  <si>
    <t>4/5 Line Upgrade</t>
  </si>
  <si>
    <t>Printer</t>
  </si>
  <si>
    <t>Encoder Mount - Free Fall</t>
  </si>
  <si>
    <t>Hand Scanner Corded</t>
  </si>
  <si>
    <t>Hand Scanner Cordless</t>
  </si>
  <si>
    <t>Reflective Sensor -WL8G-N2131 (inc bracket &amp; refector)</t>
  </si>
  <si>
    <t>Proximity Sensor - WTB8-N2131 (incl bracket)</t>
  </si>
  <si>
    <t>Fibre Optic Amplifier - WLL170-2N330</t>
  </si>
  <si>
    <t>P/E Proximity Energetic - VTE18-4N4240 (Barrel 18mm)</t>
  </si>
  <si>
    <t>Startup Kit</t>
  </si>
  <si>
    <t>INK 1039 YEL EASYPACK 2X500ML</t>
  </si>
  <si>
    <t>INK 1010 BLACK 10 X 500ML</t>
  </si>
  <si>
    <t>INK 1014 BLK EASYPACK 2X500ML</t>
  </si>
  <si>
    <t>INK 1016 BLK 10 X 500ML</t>
  </si>
  <si>
    <t>INK 1056 BLK 10 X 500ML</t>
  </si>
  <si>
    <t>INK 1059 WHT EASYPACK 2X500ML</t>
  </si>
  <si>
    <t>INK 1070 BLK 10 X 500ML</t>
  </si>
  <si>
    <t>INK 1240 BLK 10 X 500ML</t>
  </si>
  <si>
    <t>INK 1290 BLK TO BLU 10 X 500ML</t>
  </si>
  <si>
    <t>INK 1405 BLK 10 X 500ML</t>
  </si>
  <si>
    <t>INK 3103 BLACK 10 X 500ML</t>
  </si>
  <si>
    <t>INK 3123 BLU EASYPACK 2X500ML</t>
  </si>
  <si>
    <t>INK 1043 BLU EASYPACK 2X500ML</t>
  </si>
  <si>
    <t>INK 1058 BLK BOTTLING 10X500ML</t>
  </si>
  <si>
    <t>INK 2250 BLK 10 X 500ML</t>
  </si>
  <si>
    <t>INK 1280 PURPLE TO PINK 10X500</t>
  </si>
  <si>
    <t>INK 1306 WHT EASYPACK 2X500ML</t>
  </si>
  <si>
    <t>INK 1311 GREY EASYPACK 2X500ML</t>
  </si>
  <si>
    <t>SOLVENT 1505 CLR 10 X 500ML</t>
  </si>
  <si>
    <t>SOLVENT 1506 CLR 10 X 500ML</t>
  </si>
  <si>
    <t>SOLVENT 1512 CLR 10 X 500ML</t>
  </si>
  <si>
    <t>SOLVENT 1540 CLR 10 X 500ML</t>
  </si>
  <si>
    <t>SOLVENT 1555 CLR 10 X 500ML</t>
  </si>
  <si>
    <t>SOLVENT 1560 CLR 10 X 500ML</t>
  </si>
  <si>
    <t>SOLVENT 1705 CLR 10 X 500ML</t>
  </si>
  <si>
    <t>SOLVENT 3501 CLR 10 X 500ML</t>
  </si>
  <si>
    <t>SOLVENT 1606 CLR 10 X 500ML</t>
  </si>
  <si>
    <t>SOLVENT 1558 CLR 10 X 500ML</t>
  </si>
  <si>
    <t>SOLVENT 2750 CLR 10 X 500ML</t>
  </si>
  <si>
    <t>15140022</t>
  </si>
  <si>
    <t>15140024</t>
  </si>
  <si>
    <t>15140025</t>
  </si>
  <si>
    <t>15140033</t>
  </si>
  <si>
    <t>15140034</t>
  </si>
  <si>
    <t>15140035</t>
  </si>
  <si>
    <t>15140036</t>
  </si>
  <si>
    <t>15140037</t>
  </si>
  <si>
    <t>15140040</t>
  </si>
  <si>
    <t>15140042</t>
  </si>
  <si>
    <t>15140043</t>
  </si>
  <si>
    <t>15140054</t>
  </si>
  <si>
    <t>15140055</t>
  </si>
  <si>
    <t>15140057</t>
  </si>
  <si>
    <t>15140058</t>
  </si>
  <si>
    <t>15140061</t>
  </si>
  <si>
    <t>15140062</t>
  </si>
  <si>
    <t>16140003</t>
  </si>
  <si>
    <t>16140004</t>
  </si>
  <si>
    <t>16140005</t>
  </si>
  <si>
    <t>16140007</t>
  </si>
  <si>
    <t>16140008</t>
  </si>
  <si>
    <t>16140009</t>
  </si>
  <si>
    <t>16140011</t>
  </si>
  <si>
    <t>16140013</t>
  </si>
  <si>
    <t>16140014</t>
  </si>
  <si>
    <t>16140051</t>
  </si>
  <si>
    <t>16140052</t>
  </si>
  <si>
    <t>FA81039/E</t>
  </si>
  <si>
    <t>FA91010/5L</t>
  </si>
  <si>
    <t>FA91014/E</t>
  </si>
  <si>
    <t>FA91016</t>
  </si>
  <si>
    <t>FA91056/5L</t>
  </si>
  <si>
    <t>FA91059/E</t>
  </si>
  <si>
    <t>FA91070/5L</t>
  </si>
  <si>
    <t>FA91240</t>
  </si>
  <si>
    <t>FA91290</t>
  </si>
  <si>
    <t>FA91405/5L</t>
  </si>
  <si>
    <t>FA93103</t>
  </si>
  <si>
    <t>FA93123/E</t>
  </si>
  <si>
    <t>FA91043/5L</t>
  </si>
  <si>
    <t>FA91058/5L</t>
  </si>
  <si>
    <t>FA92250</t>
  </si>
  <si>
    <t>FA91280/5L</t>
  </si>
  <si>
    <t>FA91306/5L</t>
  </si>
  <si>
    <t>FA91311/5L</t>
  </si>
  <si>
    <t>FA91505</t>
  </si>
  <si>
    <t>FA91506</t>
  </si>
  <si>
    <t>FA91512</t>
  </si>
  <si>
    <t>FA91540</t>
  </si>
  <si>
    <t>FA91555</t>
  </si>
  <si>
    <t>FA91560/5L</t>
  </si>
  <si>
    <t>FA91705/5L</t>
  </si>
  <si>
    <t>FA93501</t>
  </si>
  <si>
    <t>FA91606/5L</t>
  </si>
  <si>
    <t>FA91558/5L</t>
  </si>
  <si>
    <t>FA92750</t>
  </si>
  <si>
    <t>Stainless Steel Trolley - 3 Tiers</t>
  </si>
  <si>
    <t>FA62050</t>
  </si>
  <si>
    <t>FA62049</t>
  </si>
  <si>
    <t>FA62051</t>
  </si>
  <si>
    <t>FA62052</t>
  </si>
  <si>
    <t>FA62048</t>
  </si>
  <si>
    <t>FA62047</t>
  </si>
  <si>
    <t>FA62044</t>
  </si>
  <si>
    <t>FA62046</t>
  </si>
  <si>
    <t>Base - Direct Horizontal Mount, Fixed</t>
  </si>
  <si>
    <t>Base - Direct Vertical Mount, Fixed</t>
  </si>
  <si>
    <t>Base - Floor Mount, Fixed</t>
  </si>
  <si>
    <t>Base - Floor Mount, Mobile</t>
  </si>
  <si>
    <t>Cross Joint</t>
  </si>
  <si>
    <t>Printhead Bracket, Adjustable - Pole Mount</t>
  </si>
  <si>
    <t>Printhead Bracket, Fixed - Direct Mount</t>
  </si>
  <si>
    <t>Printhead Bracket, Fixed - Pole Mount</t>
  </si>
  <si>
    <t>02020066</t>
  </si>
  <si>
    <t>Dual Alarm Upgrade Kit 7900</t>
  </si>
  <si>
    <t>02020446</t>
  </si>
  <si>
    <t>FA72177</t>
  </si>
  <si>
    <t>DUALALARMUPGRADE</t>
  </si>
  <si>
    <t>SWARE DUAL ALARM</t>
  </si>
  <si>
    <t>H-7-3-316-00</t>
  </si>
  <si>
    <t>H-4-N-300-00</t>
  </si>
  <si>
    <t>H-4-N-301-00</t>
  </si>
  <si>
    <t>H-4-N-303-00</t>
  </si>
  <si>
    <t>High Performance (HP)</t>
  </si>
  <si>
    <t>Extra High Performance (XHP)</t>
  </si>
  <si>
    <t>H-7-9-303-00</t>
  </si>
  <si>
    <t>Incl</t>
  </si>
  <si>
    <t>H-7-9-314-00</t>
  </si>
  <si>
    <t>Enhanced Data Matrix - requires midi printhead</t>
  </si>
  <si>
    <t>10040032</t>
  </si>
  <si>
    <t>10040052</t>
  </si>
  <si>
    <t>GDD4130-BK</t>
  </si>
  <si>
    <t>GM4130-BK-433K2</t>
  </si>
  <si>
    <t>02020389</t>
  </si>
  <si>
    <t>FA74276</t>
  </si>
  <si>
    <t>SK-MECH-602</t>
  </si>
  <si>
    <t>02020123</t>
  </si>
  <si>
    <t>02020121</t>
  </si>
  <si>
    <t>02020122</t>
  </si>
  <si>
    <t>02020036</t>
  </si>
  <si>
    <t>TSTAWBP30431.75-1.6A</t>
  </si>
  <si>
    <t>02020035</t>
  </si>
  <si>
    <t>Cable (Matthews)</t>
  </si>
  <si>
    <t>Cable Supplier</t>
  </si>
  <si>
    <t xml:space="preserve">MU00091 </t>
  </si>
  <si>
    <t xml:space="preserve"> MU00091</t>
  </si>
  <si>
    <t xml:space="preserve"> MU00432</t>
  </si>
  <si>
    <t>11060038</t>
  </si>
  <si>
    <t>MU01478</t>
  </si>
  <si>
    <t>Please specify PE cable length</t>
  </si>
  <si>
    <t>CG003</t>
  </si>
  <si>
    <t>02020132</t>
  </si>
  <si>
    <t>FA62068</t>
  </si>
  <si>
    <t>FA72129</t>
  </si>
  <si>
    <t>02020229</t>
  </si>
  <si>
    <t xml:space="preserve">4900e IP55 (Extended) </t>
  </si>
  <si>
    <t xml:space="preserve">4900s IP55 (Standard) </t>
  </si>
  <si>
    <t>4900 DC (Diary Coder)</t>
  </si>
  <si>
    <t>4900 BC (Bottle Coder)</t>
  </si>
  <si>
    <t>Photoeyes</t>
  </si>
  <si>
    <t>Encoders</t>
  </si>
  <si>
    <t>4900 &amp; 7900</t>
  </si>
  <si>
    <t>CJ400</t>
  </si>
  <si>
    <t>CJ400 &amp; 7900</t>
  </si>
  <si>
    <t>LCE-102A-Y</t>
  </si>
  <si>
    <t>Matthews Cleaning Kit</t>
  </si>
  <si>
    <t>Please select additional ink</t>
  </si>
  <si>
    <t>Select startup kit</t>
  </si>
  <si>
    <t>Solvent</t>
  </si>
  <si>
    <t>0% to 7.5%</t>
  </si>
  <si>
    <t>02030001 &amp; 7</t>
  </si>
  <si>
    <t>ASSEMBLY LINX 4900</t>
  </si>
  <si>
    <t>02030005</t>
  </si>
  <si>
    <t>ASSEMBLY LINX 7300</t>
  </si>
  <si>
    <t>02030008</t>
  </si>
  <si>
    <t>ASSEMBLY LINX 7900</t>
  </si>
  <si>
    <t>02030006 &amp; 9</t>
  </si>
  <si>
    <t>ASSEMBLY LINX CJ400</t>
  </si>
  <si>
    <t>0% to 20%</t>
  </si>
  <si>
    <t>FIRST 20 UNITS ONLY</t>
  </si>
  <si>
    <t>CUSTOM</t>
  </si>
  <si>
    <t>TBA1</t>
  </si>
  <si>
    <t>TBA2</t>
  </si>
  <si>
    <t>TBA3</t>
  </si>
  <si>
    <t>TBA4</t>
  </si>
  <si>
    <t>TBA5</t>
  </si>
  <si>
    <t>02020158</t>
  </si>
  <si>
    <t>FA69044</t>
  </si>
  <si>
    <t>02020151</t>
  </si>
  <si>
    <t>FA67050</t>
  </si>
  <si>
    <t>Non Discount</t>
  </si>
  <si>
    <t>Machine Aft Disc Final</t>
  </si>
  <si>
    <t>Discount (Machine %)</t>
  </si>
  <si>
    <t>7900 IP55</t>
  </si>
  <si>
    <t>Ink 1039 Yel Easypack 2X500Ml</t>
  </si>
  <si>
    <t>Ink 1010 Black 10 X 500Ml</t>
  </si>
  <si>
    <t>Ink 1014 Blk Easypack 2X500Ml</t>
  </si>
  <si>
    <t>Ink 1016 Blk 10 X 500Ml</t>
  </si>
  <si>
    <t>Ink 1056 Blk 10 X 500Ml</t>
  </si>
  <si>
    <t>Ink 1059 Wht Easypack 2X500Ml</t>
  </si>
  <si>
    <t>Ink 1070 Blk 10 X 500Ml</t>
  </si>
  <si>
    <t>Ink 1240 Blk 10 X 500Ml</t>
  </si>
  <si>
    <t>Ink 1290 Blk To Blu 10 X 500Ml</t>
  </si>
  <si>
    <t>Ink 1405 Blk 10 X 500Ml</t>
  </si>
  <si>
    <t>Ink 3103 Black 10 X 500Ml</t>
  </si>
  <si>
    <t>Ink 3123 Blu Easypack 2X500Ml</t>
  </si>
  <si>
    <t>Ink 1043 Blu Easypack 2X500Ml</t>
  </si>
  <si>
    <t>Ink 1058 Blk Bottling 10X500Ml</t>
  </si>
  <si>
    <t>Ink 2250 Blk 10 X 500Ml</t>
  </si>
  <si>
    <t>Ink 1280 Purple To Pink 10X500</t>
  </si>
  <si>
    <t>Ink 1306 Wht Easypack 2X500Ml</t>
  </si>
  <si>
    <t>Ink 1311 Grey Easypack 2X500Ml</t>
  </si>
  <si>
    <t>Solvent 1505 Clr 10 X 500Ml</t>
  </si>
  <si>
    <t>Solvent 1506 Clr 10 X 500Ml</t>
  </si>
  <si>
    <t>Solvent 1512 Clr 10 X 500Ml</t>
  </si>
  <si>
    <t>Solvent 1540 Clr 10 X 500Ml</t>
  </si>
  <si>
    <t>Solvent 1555 Clr 10 X 500Ml</t>
  </si>
  <si>
    <t>Solvent 1560 Clr 10 X 500Ml</t>
  </si>
  <si>
    <t>Solvent 1705 Clr 10 X 500Ml</t>
  </si>
  <si>
    <t>Solvent 3501 Clr 10 X 500Ml</t>
  </si>
  <si>
    <t>Solvent 1606 Clr 10 X 500Ml</t>
  </si>
  <si>
    <t>Solvent 1558 Clr 10 X 500Ml</t>
  </si>
  <si>
    <t>Solvent 2750 Clr 10 X 500Ml</t>
  </si>
  <si>
    <t>Qty Reqd</t>
  </si>
  <si>
    <t>Proper</t>
  </si>
  <si>
    <t>Ink</t>
  </si>
  <si>
    <t>Startup Kit - 1039 Ink &amp; 1505 Solvent</t>
  </si>
  <si>
    <t>Startup Kit - 1010 Ink &amp; 1505 Solvent</t>
  </si>
  <si>
    <t>Startup Kit - 1014 Ink &amp; 1505 Solvent</t>
  </si>
  <si>
    <t>Startup Kit - 1016 Ink &amp; 1506 Solvent</t>
  </si>
  <si>
    <t>Startup Kit - 1056 Ink &amp; 1555 Solvent</t>
  </si>
  <si>
    <t>Startup Kit - 1059 Ink &amp; 1505 Solvent</t>
  </si>
  <si>
    <t>Startup Kit - 1070 Ink &amp; 1560 Solvent</t>
  </si>
  <si>
    <t>Startup Kit - 1240 Ink &amp; 1512 Solvent</t>
  </si>
  <si>
    <t>Startup Kit - 1290 Ink &amp; 1540 Solvent</t>
  </si>
  <si>
    <t>Startup Kit - 1405 Ink &amp; 1705 Solvent</t>
  </si>
  <si>
    <t>Startup Kit - 3103 Ink &amp; 3501 Solvent</t>
  </si>
  <si>
    <t>Startup Kit - 3123 Ink &amp; 3501 Solvent</t>
  </si>
  <si>
    <t>Startup Kit - 1043 Ink &amp; 1505 Solvent</t>
  </si>
  <si>
    <t>Startup Kit - 1058 Ink &amp; 1558 Solvent</t>
  </si>
  <si>
    <t>Startup Kit - 2250 Ink &amp; 2750 Solvent</t>
  </si>
  <si>
    <t>Startup Kit - 1280 Ink &amp; 1540 Solvent</t>
  </si>
  <si>
    <t>Startup Kit - 1306 Ink &amp; 1606 Solvent</t>
  </si>
  <si>
    <t>Startup Kit - 1311 Ink &amp; 1606 Solvent</t>
  </si>
  <si>
    <t>Cleaning Kit</t>
  </si>
  <si>
    <t>Additional Consumables</t>
  </si>
  <si>
    <t>13080149 
03020034</t>
  </si>
  <si>
    <t>Ink &amp; Solvent</t>
  </si>
  <si>
    <t>Printhead</t>
  </si>
  <si>
    <t>Midi Plus</t>
  </si>
  <si>
    <t>Midi</t>
  </si>
  <si>
    <t>KeyGen1</t>
  </si>
  <si>
    <t>4900 BC</t>
  </si>
  <si>
    <t>7900 BC</t>
  </si>
  <si>
    <t>Midi A</t>
  </si>
  <si>
    <t>Micro</t>
  </si>
  <si>
    <t>x</t>
  </si>
  <si>
    <t>Printhead Combinations</t>
  </si>
  <si>
    <t>x1</t>
  </si>
  <si>
    <t>x2</t>
  </si>
  <si>
    <t>Key</t>
  </si>
  <si>
    <t>xx</t>
  </si>
  <si>
    <t>List 1</t>
  </si>
  <si>
    <t># of valves</t>
  </si>
  <si>
    <t>CJ400s (Standard)</t>
  </si>
  <si>
    <t>Printhead 7v &amp; 16v</t>
  </si>
  <si>
    <t>Printhead 32v</t>
  </si>
  <si>
    <t>CJ400 BKT</t>
  </si>
  <si>
    <t>13110006</t>
  </si>
  <si>
    <t>Stainless Steel Mobile Trolley</t>
  </si>
  <si>
    <t>Cable 7/16 Valve 5m</t>
  </si>
  <si>
    <t>Cable 7/16 Valve 10m</t>
  </si>
  <si>
    <t>Cable 32 Valve 5m</t>
  </si>
  <si>
    <t>Cable 32 Valve 10m</t>
  </si>
  <si>
    <t>02020124</t>
  </si>
  <si>
    <t>Crossjoint</t>
  </si>
  <si>
    <t>Adjustable Printhead Bracket</t>
  </si>
  <si>
    <t>P/E Proximity Energetic - VTE18-4N4240</t>
  </si>
  <si>
    <t>15140065, 16140053</t>
  </si>
  <si>
    <t>Startup kit (3 ink &amp; 3 solvent bottles)</t>
  </si>
  <si>
    <t>Installation (Metro Only)</t>
  </si>
  <si>
    <t>H-2-0-303-00</t>
  </si>
  <si>
    <t>3 line Upgrade</t>
  </si>
  <si>
    <t>99990085, 03020034</t>
  </si>
  <si>
    <t>13080149, 03020034</t>
  </si>
  <si>
    <t>Fluid Pump System - Basic</t>
  </si>
  <si>
    <t>Linx 7900 Plastic Cover</t>
  </si>
  <si>
    <t>Positive Air Upgrade</t>
  </si>
  <si>
    <t>PE's</t>
  </si>
  <si>
    <t>Encr Incremental Programmable</t>
  </si>
  <si>
    <t>Encr Cable 5 Mtr</t>
  </si>
  <si>
    <t>Encr Measuring Wheel</t>
  </si>
  <si>
    <t>Bracket Encoder Spring Loaded</t>
  </si>
  <si>
    <t>Dual Spring Encoder Bracket</t>
  </si>
  <si>
    <t>Free Fall Encoder Bracket</t>
  </si>
  <si>
    <t>INK T551 BLK 10 X 500ML</t>
  </si>
  <si>
    <t>SOLVENT M121 CLR 10 X 500ML</t>
  </si>
  <si>
    <t>Accommodation</t>
  </si>
  <si>
    <t>Overall Discount</t>
  </si>
  <si>
    <t>Machine Discount</t>
  </si>
  <si>
    <t>Controller</t>
  </si>
  <si>
    <t>02030006</t>
  </si>
  <si>
    <t>P401-Q0-4A-LNX</t>
  </si>
  <si>
    <t>CJ400e (Carton Coding)</t>
  </si>
  <si>
    <t>02030009</t>
  </si>
  <si>
    <t>P401-Q0-4A-LNX, H-2-0-306-00</t>
  </si>
  <si>
    <t>Organise P/Head Cables (Std FIX)</t>
  </si>
  <si>
    <t>Mini 8000 7V - WATER</t>
  </si>
  <si>
    <t>Mini 8000 7V - ETHANOL</t>
  </si>
  <si>
    <t>Mini 8000 7V - MEK</t>
  </si>
  <si>
    <t>Mini 8000 7V - N-PROP</t>
  </si>
  <si>
    <t>Mini 8000 16V - WATER</t>
  </si>
  <si>
    <t>Mini 8000 16V - ETHANOL</t>
  </si>
  <si>
    <t>Mini 8000 16V - MEK</t>
  </si>
  <si>
    <t>Mini 8000 16V - N-PROP</t>
  </si>
  <si>
    <t>Mini 8000 32V - WATER</t>
  </si>
  <si>
    <t>Mini 8000 32V - ETHANOL</t>
  </si>
  <si>
    <t>Mini 8000 32V - MEK</t>
  </si>
  <si>
    <t>Mini 8000 32V - N-PROP</t>
  </si>
  <si>
    <t>Midi 8000 7V - WATER</t>
  </si>
  <si>
    <t>Midi 8000 7V - ETHANOL</t>
  </si>
  <si>
    <t>Midi 8000 7V - MEK</t>
  </si>
  <si>
    <t>Midi 8000 7V - N-PROP</t>
  </si>
  <si>
    <t>Midi 8000 16V - WATER</t>
  </si>
  <si>
    <t>Midi 8000 16V - ETHANOL</t>
  </si>
  <si>
    <t>Midi 8000 16V - MEK</t>
  </si>
  <si>
    <t>Midi 8000 16V - N-PROP</t>
  </si>
  <si>
    <t>Midi 8000 32V - WATER</t>
  </si>
  <si>
    <t>Midi 8000 32V - ETHANOL</t>
  </si>
  <si>
    <t>Midi 8000 32V - MEK</t>
  </si>
  <si>
    <t>Midi 8000 32V - N-PROP</t>
  </si>
  <si>
    <t>Maxi 8000 7V - WATER</t>
  </si>
  <si>
    <t>Maxi 8000 7V - ETHANOL</t>
  </si>
  <si>
    <t>Maxi 8000 7V - MEK</t>
  </si>
  <si>
    <t>Maxi 8000 7V - N-PROP</t>
  </si>
  <si>
    <t>Maxi 8000 16V - WATER</t>
  </si>
  <si>
    <t>Maxi 8000 16V - ETHANOL</t>
  </si>
  <si>
    <t>Maxi 8000 16V - MEK</t>
  </si>
  <si>
    <t>Maxi 8000 16V - N-PROP</t>
  </si>
  <si>
    <t>Maxi 8000 32V - WATER</t>
  </si>
  <si>
    <t>Maxi 8000 32V - ETHANOL</t>
  </si>
  <si>
    <t>Maxi 8000 32V - MEK</t>
  </si>
  <si>
    <t>Maxi 8000 32V - N-PROP</t>
  </si>
  <si>
    <t>14mm -WB/N-PROP</t>
  </si>
  <si>
    <t>28mm - MEK</t>
  </si>
  <si>
    <t>28mm - WB/N-PROP</t>
  </si>
  <si>
    <t>32mm - WB/N-PROP</t>
  </si>
  <si>
    <t>64mm - MEK</t>
  </si>
  <si>
    <t>PE &amp; Encoders</t>
  </si>
  <si>
    <t>PE</t>
  </si>
  <si>
    <t>Inductive Barrel Sensor - IM18-05BNS (eg Can app)</t>
  </si>
  <si>
    <t>11060116,11060039</t>
  </si>
  <si>
    <t>11060103, 11023334, 11060045</t>
  </si>
  <si>
    <t>Cable</t>
  </si>
  <si>
    <t>Bev-a-line</t>
  </si>
  <si>
    <t>Connectors</t>
  </si>
  <si>
    <t>Enc</t>
  </si>
  <si>
    <t>11050023</t>
  </si>
  <si>
    <t>11990007</t>
  </si>
  <si>
    <t>13120007</t>
  </si>
  <si>
    <t>11050009</t>
  </si>
  <si>
    <t>13120016</t>
  </si>
  <si>
    <t>Networking</t>
  </si>
  <si>
    <t>32v</t>
  </si>
  <si>
    <t>Floor Mounted Parallelogram</t>
  </si>
  <si>
    <t xml:space="preserve">13120032, 99990091, </t>
  </si>
  <si>
    <t>SOLVENT</t>
  </si>
  <si>
    <t>15140065</t>
  </si>
  <si>
    <t>FA9T551/5L</t>
  </si>
  <si>
    <t>Cleaner JAM-2005 SB 6L</t>
  </si>
  <si>
    <t>Cleaner JAM-4500 FD Pail</t>
  </si>
  <si>
    <t>Y</t>
  </si>
  <si>
    <t/>
  </si>
  <si>
    <t>16140053</t>
  </si>
  <si>
    <t>FA9M121/5L</t>
  </si>
  <si>
    <t>QC</t>
  </si>
  <si>
    <r>
      <t xml:space="preserve">Startup Kit: </t>
    </r>
    <r>
      <rPr>
        <b/>
        <sz val="9"/>
        <color theme="5" tint="-0.249977111117893"/>
        <rFont val="Arial"/>
        <family val="2"/>
      </rPr>
      <t>7900</t>
    </r>
  </si>
  <si>
    <r>
      <t xml:space="preserve">Startup Kit: </t>
    </r>
    <r>
      <rPr>
        <b/>
        <sz val="9"/>
        <color theme="5" tint="-0.249977111117893"/>
        <rFont val="Arial"/>
        <family val="2"/>
      </rPr>
      <t>Spectrum</t>
    </r>
  </si>
  <si>
    <t>Enhanced Data Matrix - requires Midi printhead</t>
  </si>
  <si>
    <t>Software Dual Alarm</t>
  </si>
  <si>
    <t>6029517
5308074</t>
  </si>
  <si>
    <t>11060103
11060045</t>
  </si>
  <si>
    <t xml:space="preserve">MU00432 </t>
  </si>
  <si>
    <t>Supplier</t>
  </si>
  <si>
    <t>Machine Price</t>
  </si>
  <si>
    <t>Photo Eye &amp; Encoder Details</t>
  </si>
  <si>
    <t>P/E Type</t>
  </si>
  <si>
    <r>
      <t xml:space="preserve">Model </t>
    </r>
    <r>
      <rPr>
        <b/>
        <sz val="8"/>
        <color theme="5" tint="-0.249977111117893"/>
        <rFont val="Arial"/>
        <family val="2"/>
      </rPr>
      <t>(guide only)</t>
    </r>
  </si>
  <si>
    <t>Purpose</t>
  </si>
  <si>
    <r>
      <t xml:space="preserve">Examples </t>
    </r>
    <r>
      <rPr>
        <b/>
        <sz val="8"/>
        <color theme="5" tint="-0.249977111117893"/>
        <rFont val="Arial"/>
        <family val="2"/>
      </rPr>
      <t>(Guide only)</t>
    </r>
  </si>
  <si>
    <t>Connection</t>
  </si>
  <si>
    <t>Cable Type</t>
  </si>
  <si>
    <t>Construction</t>
  </si>
  <si>
    <t>Sensor Range</t>
  </si>
  <si>
    <t>Application/Notes</t>
  </si>
  <si>
    <t>Nexus Description</t>
  </si>
  <si>
    <t>3m</t>
  </si>
  <si>
    <t>5m</t>
  </si>
  <si>
    <t>10m</t>
  </si>
  <si>
    <t>Barrel Sensors</t>
  </si>
  <si>
    <r>
      <t xml:space="preserve">Proximity Sensor               </t>
    </r>
    <r>
      <rPr>
        <sz val="8"/>
        <rFont val="Arial"/>
        <family val="2"/>
      </rPr>
      <t>(Barrel 18mm)</t>
    </r>
  </si>
  <si>
    <t>Matthews Europe</t>
  </si>
  <si>
    <t>DOD</t>
  </si>
  <si>
    <t>General Purpose</t>
  </si>
  <si>
    <t>Boxes, cartons, flat objects, wooden objects</t>
  </si>
  <si>
    <r>
      <t xml:space="preserve">Requires cable  </t>
    </r>
    <r>
      <rPr>
        <sz val="8"/>
        <rFont val="Arial Unicode MS"/>
        <family val="2"/>
      </rPr>
      <t>↓</t>
    </r>
  </si>
  <si>
    <t>Combined Emitter &amp; Receiver (beam reflects off object)</t>
  </si>
  <si>
    <t>Standard objects, fits in printhead bracket</t>
  </si>
  <si>
    <t>905435</t>
  </si>
  <si>
    <t xml:space="preserve"> 03020379</t>
  </si>
  <si>
    <t>PE WITH 5M CABLE M12 FOR SX32</t>
  </si>
  <si>
    <t>NPN</t>
  </si>
  <si>
    <t>SICK</t>
  </si>
  <si>
    <t>Standard cable M12 4Pin to Open End 5mtr</t>
  </si>
  <si>
    <t>CABLE 5MT FOR WT12</t>
  </si>
  <si>
    <r>
      <t xml:space="preserve">P/E Proximity Energetic </t>
    </r>
    <r>
      <rPr>
        <sz val="8"/>
        <rFont val="Arial"/>
        <family val="2"/>
      </rPr>
      <t>VTE18-4N4240
(Barrel 18mm)</t>
    </r>
  </si>
  <si>
    <t>Linx CIJ/IJ, DOD</t>
  </si>
  <si>
    <t>Boxes, cartons, 
Opaque bottles, non symetrically flat objects</t>
  </si>
  <si>
    <t>3m, 5m</t>
  </si>
  <si>
    <t>Requires cable  ↓</t>
  </si>
  <si>
    <t>5 - 400mm</t>
  </si>
  <si>
    <t>Standard objects, fits in printhead bracket. Sensing range 5… 400mm</t>
  </si>
  <si>
    <t>PE PROX BARREL 18MM VTE18</t>
  </si>
  <si>
    <t>Standard cable M12 4Pin to Open End 3mtr</t>
  </si>
  <si>
    <t>M12F 4PN ST 3M PU NLD</t>
  </si>
  <si>
    <r>
      <t xml:space="preserve">Reflective P/E Proximity </t>
    </r>
    <r>
      <rPr>
        <sz val="8"/>
        <rFont val="Arial"/>
        <family val="2"/>
      </rPr>
      <t>Energetic VTE18-4N3240           Barrel 18mm. (Requires reflector to be supplied separately)</t>
    </r>
  </si>
  <si>
    <t>Shiny Objects</t>
  </si>
  <si>
    <t>Glass, plastic film/objects, boxes, cartons, clear objects</t>
  </si>
  <si>
    <t>Emitter &amp; separate reflector (reflective strip) "Through Beam"</t>
  </si>
  <si>
    <t>0.05 - 3.7m</t>
  </si>
  <si>
    <t>Standard objects, fits in printhead bracket. Sensing range 0.05… 3.7mtr.</t>
  </si>
  <si>
    <t>PE BARREL 18MM REFLECTIVE</t>
  </si>
  <si>
    <r>
      <t xml:space="preserve">Reflective P/E Laser
Proximity VL18L-4N344         </t>
    </r>
    <r>
      <rPr>
        <sz val="8"/>
        <rFont val="Arial"/>
        <family val="2"/>
      </rPr>
      <t xml:space="preserve">  (Barrel 18mm)  90 DEG. (Requires reflector to be supplied separately)</t>
    </r>
  </si>
  <si>
    <t>Linx CIJ</t>
  </si>
  <si>
    <t>Shiny Objects, right angled and high speed lines</t>
  </si>
  <si>
    <t>Glass, Foil &amp; plastics (ie coke bottle caps)</t>
  </si>
  <si>
    <t>Short response time, right angle lens (can be fitted very close to CIJ p/head) Sensing range 0.05... 3.7mtr.</t>
  </si>
  <si>
    <t>6027436-VL18L-4N344</t>
  </si>
  <si>
    <t>REFLECTIVE LASER 90 DEGREE</t>
  </si>
  <si>
    <r>
      <t xml:space="preserve">Inductive Proximity             </t>
    </r>
    <r>
      <rPr>
        <sz val="8"/>
        <rFont val="Arial"/>
        <family val="2"/>
      </rPr>
      <t>IM18-05BNS-ZC1 (Barrel 18mm) 5mm Range</t>
    </r>
  </si>
  <si>
    <t>Metal Objects (Ferrus &amp; non-ferrus)</t>
  </si>
  <si>
    <t>Canning</t>
  </si>
  <si>
    <t xml:space="preserve">Combined Emitter &amp; Receiver </t>
  </si>
  <si>
    <t>5mm</t>
  </si>
  <si>
    <t>Metal objects, (e.g. cans) Sensing range 5mm.</t>
  </si>
  <si>
    <t>SENS IM18 INDUCTIVE PROXIMITY</t>
  </si>
  <si>
    <t>Standard Sensors</t>
  </si>
  <si>
    <r>
      <t xml:space="preserve">Reflective Sensor              </t>
    </r>
    <r>
      <rPr>
        <sz val="8"/>
        <rFont val="Arial"/>
        <family val="2"/>
      </rPr>
      <t>WL8G - N2131
(inc bracket &amp; reflector)</t>
    </r>
  </si>
  <si>
    <t>Linx CIJ/IJ, DOD, Avery, Fox IV</t>
  </si>
  <si>
    <t>Shiny objects</t>
  </si>
  <si>
    <t>Glass, shrink wrap cartons, clear objects, wooden objects, metals, non flat surfaces</t>
  </si>
  <si>
    <t>0 - 3m</t>
  </si>
  <si>
    <t>Standard &amp; Transparent objects (Through Beam), fit directly onto conveyor. Sensing range 0... 3mtr</t>
  </si>
  <si>
    <t>SENSOR REFLEX WL8G-N2131</t>
  </si>
  <si>
    <t>Standard cable M8 3Pin to Open End 5mtr</t>
  </si>
  <si>
    <t>CABLE M8F 3PN ST 5M</t>
  </si>
  <si>
    <r>
      <t xml:space="preserve">Proximity Sensor           
</t>
    </r>
    <r>
      <rPr>
        <sz val="8"/>
        <rFont val="Arial"/>
        <family val="2"/>
      </rPr>
      <t>WTB8 - N2131  (inc bracket)</t>
    </r>
  </si>
  <si>
    <t>General purpose</t>
  </si>
  <si>
    <t xml:space="preserve">Boxes, cartons, flat objects, wood, </t>
  </si>
  <si>
    <t>30 - 300mm</t>
  </si>
  <si>
    <t>Standard objects, fit directly onto conveyor. Sensing range 30… 300mm</t>
  </si>
  <si>
    <t>SENSOR PROXIMITY WTB8-N2131</t>
  </si>
  <si>
    <t>Standard cable M8 4Pin to Open End 3mtr</t>
  </si>
  <si>
    <t>CABLE 3M M8F 4 PIN</t>
  </si>
  <si>
    <r>
      <t xml:space="preserve">Proximity Sensor                 </t>
    </r>
    <r>
      <rPr>
        <sz val="8"/>
        <rFont val="Arial"/>
        <family val="2"/>
      </rPr>
      <t xml:space="preserve">WT18 - 3N430         </t>
    </r>
    <r>
      <rPr>
        <b/>
        <sz val="8"/>
        <rFont val="Arial"/>
        <family val="2"/>
      </rPr>
      <t xml:space="preserve">   </t>
    </r>
  </si>
  <si>
    <t>Fox IV pallet lines</t>
  </si>
  <si>
    <t>Boxes, cartons</t>
  </si>
  <si>
    <t>50… 600mm</t>
  </si>
  <si>
    <t>Proximity Sensor - Typically used in Pallet Applications</t>
  </si>
  <si>
    <t>WT18-3N430</t>
  </si>
  <si>
    <t>7030536</t>
  </si>
  <si>
    <t>Standard cable M12 4Pin to Open End 5m</t>
  </si>
  <si>
    <r>
      <t xml:space="preserve">Proximity Sensor                 </t>
    </r>
    <r>
      <rPr>
        <sz val="8"/>
        <rFont val="Arial"/>
        <family val="2"/>
      </rPr>
      <t xml:space="preserve">WT250 - N460     </t>
    </r>
    <r>
      <rPr>
        <b/>
        <sz val="8"/>
        <rFont val="Arial"/>
        <family val="2"/>
      </rPr>
      <t xml:space="preserve">      </t>
    </r>
  </si>
  <si>
    <t>Fox IV , Avery</t>
  </si>
  <si>
    <t>150 - 500mm</t>
  </si>
  <si>
    <t>Standard objects. Sensing range 150… 500mm</t>
  </si>
  <si>
    <r>
      <t xml:space="preserve">Reflective Sensor              </t>
    </r>
    <r>
      <rPr>
        <sz val="8"/>
        <rFont val="Arial"/>
        <family val="2"/>
      </rPr>
      <t>WL250-N430                     
(inc bracket &amp; reflector)</t>
    </r>
  </si>
  <si>
    <t>Fox IV, Avery</t>
  </si>
  <si>
    <t xml:space="preserve">Glass, Foil, </t>
  </si>
  <si>
    <t>0.01 - 9m</t>
  </si>
  <si>
    <t>Standard objects. Sensing range 0.01… 9mtr</t>
  </si>
  <si>
    <t>SENS WL250N430 RFLX BM SWTCH</t>
  </si>
  <si>
    <r>
      <t xml:space="preserve">Proximity Sensor                 </t>
    </r>
    <r>
      <rPr>
        <sz val="8"/>
        <rFont val="Arial"/>
        <family val="2"/>
      </rPr>
      <t xml:space="preserve">WTB4S-3P2265V                (Stainless Steel Housing)       </t>
    </r>
  </si>
  <si>
    <t>Linx CIJ/IJ</t>
  </si>
  <si>
    <t>General purpose - corresive environments.</t>
  </si>
  <si>
    <t>boxes, cartons, stainless steel</t>
  </si>
  <si>
    <t>180mm</t>
  </si>
  <si>
    <t>Proximity, 180mm range, Ext teach, S/S IP69K body</t>
  </si>
  <si>
    <t>SENS WTB4S PROXIMITY S/STEEL</t>
  </si>
  <si>
    <t>PNP</t>
  </si>
  <si>
    <t>Food Grade cable M8 4Pin to Open End 5mtr</t>
  </si>
  <si>
    <t>CABLE FOOD GRADE M8 4 PIN 5M</t>
  </si>
  <si>
    <t>Standard cable M8 4Pin to Open End 5mtr</t>
  </si>
  <si>
    <t>Fibre Optic Sensors</t>
  </si>
  <si>
    <r>
      <t xml:space="preserve">Fibre Optic Amplifier
</t>
    </r>
    <r>
      <rPr>
        <sz val="8"/>
        <rFont val="Arial"/>
        <family val="2"/>
      </rPr>
      <t xml:space="preserve">WLL170-2N330                                </t>
    </r>
    <r>
      <rPr>
        <u/>
        <sz val="8"/>
        <rFont val="Arial"/>
        <family val="2"/>
      </rPr>
      <t>NPN</t>
    </r>
  </si>
  <si>
    <t>Small Items, small gaps between items, difficult mounting areas</t>
  </si>
  <si>
    <t>Pharmaceutical and bottling</t>
  </si>
  <si>
    <r>
      <t xml:space="preserve">Requires cable &amp; sensor e.g. total assembly = Amplifier &amp; standard cable plus proximity fibre </t>
    </r>
    <r>
      <rPr>
        <sz val="8"/>
        <rFont val="Arial Unicode MS"/>
        <family val="2"/>
      </rPr>
      <t>↓</t>
    </r>
  </si>
  <si>
    <t>Small items, small gaps between items &amp; registration marks</t>
  </si>
  <si>
    <t>SENSOR FIB OPT AMPL WLL170-2N3</t>
  </si>
  <si>
    <t>Standard  connection cable</t>
  </si>
  <si>
    <t>Sensor type</t>
  </si>
  <si>
    <t>Proximity Fibre                        LL3-DB01</t>
  </si>
  <si>
    <t>1 x fibre cable sensing product. Cable length 2mtr</t>
  </si>
  <si>
    <t>CABLE FIBRE OPTIC 2MT M6</t>
  </si>
  <si>
    <t>Capacitive Sensors</t>
  </si>
  <si>
    <r>
      <t xml:space="preserve">Ultrasonic Fork Sensor          </t>
    </r>
    <r>
      <rPr>
        <sz val="8"/>
        <rFont val="Arial"/>
        <family val="2"/>
      </rPr>
      <t>UF3-70B410</t>
    </r>
  </si>
  <si>
    <t>Avery Applicators</t>
  </si>
  <si>
    <t>Transparent labels</t>
  </si>
  <si>
    <t>Applicator using clear labels</t>
  </si>
  <si>
    <t>Transparent labels, (applicators) NPN and PNP, gap 3mm/depth 69mm.</t>
  </si>
  <si>
    <t>SENS UF3-70B410</t>
  </si>
  <si>
    <t>NPN or PNP</t>
  </si>
  <si>
    <t>Registration Mark Sensors</t>
  </si>
  <si>
    <r>
      <t xml:space="preserve">Contrast sensor                      </t>
    </r>
    <r>
      <rPr>
        <sz val="8"/>
        <rFont val="Arial"/>
        <family val="2"/>
      </rPr>
      <t xml:space="preserve">KT3W-P1115 (Dynamic teach-in)  </t>
    </r>
  </si>
  <si>
    <t>Linx TT0</t>
  </si>
  <si>
    <t>Reading registration marks on labels.</t>
  </si>
  <si>
    <t>Single mark on film.</t>
  </si>
  <si>
    <t>12.5mm</t>
  </si>
  <si>
    <t>Single marks on film, PNP type. Sensing range 12.5mm, 100mA</t>
  </si>
  <si>
    <t>1025326</t>
  </si>
  <si>
    <r>
      <t xml:space="preserve">Contrast sensor                      </t>
    </r>
    <r>
      <rPr>
        <sz val="8"/>
        <rFont val="Arial"/>
        <family val="2"/>
      </rPr>
      <t>KT3W-P1116 (Static 2-point teach-in)</t>
    </r>
  </si>
  <si>
    <t>Single marks on film, PNP type. Sensing range 12.5mm, 100mA.</t>
  </si>
  <si>
    <t>1019338</t>
  </si>
  <si>
    <t>SENSOR CONTRAST KT3W</t>
  </si>
  <si>
    <r>
      <t xml:space="preserve">Contrast sensor                      </t>
    </r>
    <r>
      <rPr>
        <sz val="8"/>
        <rFont val="Arial"/>
        <family val="2"/>
      </rPr>
      <t>KT3W-P1126</t>
    </r>
  </si>
  <si>
    <t>Reading registration marks on labels - has a delay</t>
  </si>
  <si>
    <r>
      <t xml:space="preserve">Single marks on film, PNP type. Sensing range 12.5mm, 24 volts only, </t>
    </r>
    <r>
      <rPr>
        <b/>
        <sz val="8"/>
        <color rgb="FFFF0000"/>
        <rFont val="Arial"/>
        <family val="2"/>
      </rPr>
      <t>TIME DELAY 20ms,</t>
    </r>
    <r>
      <rPr>
        <sz val="8"/>
        <rFont val="Arial"/>
        <family val="2"/>
      </rPr>
      <t xml:space="preserve"> 100mA</t>
    </r>
  </si>
  <si>
    <t>1022933</t>
  </si>
  <si>
    <r>
      <t xml:space="preserve">Contrast sensor                      </t>
    </r>
    <r>
      <rPr>
        <sz val="8"/>
        <rFont val="Arial"/>
        <family val="2"/>
      </rPr>
      <t>KT3L-P3216 (Laser)</t>
    </r>
  </si>
  <si>
    <t>20…  60mm</t>
  </si>
  <si>
    <t>Single marks on film, PNP type. Sensing range 20... 60mm, 24 volts only, 100mA</t>
  </si>
  <si>
    <t>Fork Sensors</t>
  </si>
  <si>
    <r>
      <t xml:space="preserve">Proximity Sensor                 </t>
    </r>
    <r>
      <rPr>
        <sz val="8"/>
        <rFont val="Arial"/>
        <family val="2"/>
      </rPr>
      <t xml:space="preserve">WF15 - 40B410        </t>
    </r>
    <r>
      <rPr>
        <b/>
        <sz val="8"/>
        <rFont val="Arial"/>
        <family val="2"/>
      </rPr>
      <t xml:space="preserve">  </t>
    </r>
  </si>
  <si>
    <t>Product pass through sensor</t>
  </si>
  <si>
    <t>Milk carton, bottles</t>
  </si>
  <si>
    <t>15mm</t>
  </si>
  <si>
    <t>Milk cartons, NPN and PNP, 15mm gap.</t>
  </si>
  <si>
    <t>NPN and PNP</t>
  </si>
  <si>
    <t>Proximity with Timer</t>
  </si>
  <si>
    <r>
      <t xml:space="preserve">Proximity Sensor                 </t>
    </r>
    <r>
      <rPr>
        <sz val="8"/>
        <rFont val="Arial"/>
        <family val="2"/>
      </rPr>
      <t xml:space="preserve">WTB190T - N430      </t>
    </r>
  </si>
  <si>
    <t>Avery, DOD,        Fox IV</t>
  </si>
  <si>
    <t>boxes, cartons, steel</t>
  </si>
  <si>
    <t>Delay On / Delay Off - Typically used for DOD Bag printing applications, time delay between 0… 10sec</t>
  </si>
  <si>
    <t>SENS WTB190T PROXIMITY TIMMER</t>
  </si>
  <si>
    <t xml:space="preserve">MU00041 </t>
  </si>
  <si>
    <t>CABLE 5M 4P &amp; M8 PLUG</t>
  </si>
  <si>
    <t>All</t>
  </si>
  <si>
    <t>5m, 10m</t>
  </si>
  <si>
    <t>na</t>
  </si>
  <si>
    <t>Suits Linx, Avery, Sweedot and Solaris</t>
  </si>
  <si>
    <t>ENCR INCREMENTAL PROGRAMMABLE</t>
  </si>
  <si>
    <t>Cable 5 Meter</t>
  </si>
  <si>
    <t>ENCR CABLE 5 MTR</t>
  </si>
  <si>
    <t>Cable 10 Meter</t>
  </si>
  <si>
    <t>ENCR CABLE 10 MTR</t>
  </si>
  <si>
    <t>Encoder Splitter Box</t>
  </si>
  <si>
    <t>V Squared</t>
  </si>
  <si>
    <t>One encoder can operate multiple devices</t>
  </si>
  <si>
    <t>13080100</t>
  </si>
  <si>
    <t>13080093</t>
  </si>
  <si>
    <t>SPLITTER BOX BEACON PACKAGE</t>
  </si>
  <si>
    <t>Encoder Wheels</t>
  </si>
  <si>
    <t>Used in applications the wheel may slip.</t>
  </si>
  <si>
    <t>Ie. Wet environments</t>
  </si>
  <si>
    <r>
      <rPr>
        <b/>
        <sz val="8"/>
        <rFont val="Arial"/>
        <family val="2"/>
      </rPr>
      <t>Knurled</t>
    </r>
    <r>
      <rPr>
        <sz val="8"/>
        <rFont val="Arial"/>
        <family val="2"/>
      </rPr>
      <t xml:space="preserve"> Wheel 200mm Diameter</t>
    </r>
  </si>
  <si>
    <t>5318678</t>
  </si>
  <si>
    <t>ENCR MEASURING WHEEL</t>
  </si>
  <si>
    <t>Used in applications where connected directly to conveyor</t>
  </si>
  <si>
    <t>Conveyor belts</t>
  </si>
  <si>
    <r>
      <rPr>
        <b/>
        <sz val="8"/>
        <rFont val="Arial"/>
        <family val="2"/>
      </rPr>
      <t>Smooth</t>
    </r>
    <r>
      <rPr>
        <sz val="8"/>
        <rFont val="Arial"/>
        <family val="2"/>
      </rPr>
      <t xml:space="preserve"> Wheel 200mm Diameter</t>
    </r>
  </si>
  <si>
    <t>5312988</t>
  </si>
  <si>
    <t>11990004</t>
  </si>
  <si>
    <t>ENCODER WHEEL 200MM SMOOTH</t>
  </si>
  <si>
    <t>Smooth Wheel 500mm Diameter</t>
  </si>
  <si>
    <t>5312.989</t>
  </si>
  <si>
    <t>11050021</t>
  </si>
  <si>
    <t>WHEEL PLASTIC ENCODER 500MM</t>
  </si>
  <si>
    <t>Encoder Brackets</t>
  </si>
  <si>
    <t>MATTSUER</t>
  </si>
  <si>
    <t>Limited range to adjust bracket arm</t>
  </si>
  <si>
    <t>Dual Spring Loaded Bracket</t>
  </si>
  <si>
    <t>900202.02</t>
  </si>
  <si>
    <t>ENCR SPEED ENCR HOLDER</t>
  </si>
  <si>
    <t>IDM</t>
  </si>
  <si>
    <t>Longer range to adjust arm bracket</t>
  </si>
  <si>
    <t>Single Spring Loaded Bracket</t>
  </si>
  <si>
    <t>SKME2046/01</t>
  </si>
  <si>
    <t>BRACKET ENCODER SPRING LOADED</t>
  </si>
  <si>
    <t>Free Fall Bracket</t>
  </si>
  <si>
    <t>BKT ENCODER FREE FALL</t>
  </si>
  <si>
    <t>Matthews Stock Connectors</t>
  </si>
  <si>
    <r>
      <t xml:space="preserve">Plug 4 Pin </t>
    </r>
    <r>
      <rPr>
        <sz val="8"/>
        <rFont val="Arial"/>
        <family val="2"/>
      </rPr>
      <t>M12 Male Straight</t>
    </r>
  </si>
  <si>
    <t>Laser, Avery, SX</t>
  </si>
  <si>
    <t>N/A</t>
  </si>
  <si>
    <t>Solaris Laser - Interlock</t>
  </si>
  <si>
    <t>SICK IMARK PLUG</t>
  </si>
  <si>
    <r>
      <t xml:space="preserve">Plug 4 Pin </t>
    </r>
    <r>
      <rPr>
        <sz val="8"/>
        <rFont val="Arial"/>
        <family val="2"/>
      </rPr>
      <t>M12 Female Straight</t>
    </r>
  </si>
  <si>
    <t>Solaris Laser - Encoder</t>
  </si>
  <si>
    <t>M12 4 PIN PLUG MALE</t>
  </si>
  <si>
    <r>
      <t xml:space="preserve">Plug 4 Pin </t>
    </r>
    <r>
      <rPr>
        <sz val="8"/>
        <rFont val="Arial"/>
        <family val="2"/>
      </rPr>
      <t>M8 Female Straight</t>
    </r>
  </si>
  <si>
    <t>Balluff</t>
  </si>
  <si>
    <t>Laser</t>
  </si>
  <si>
    <t>Solaris Laser - Input</t>
  </si>
  <si>
    <t xml:space="preserve">RKMCK 4 </t>
  </si>
  <si>
    <t>CONNECTOR M8 4 PIN FEMALE</t>
  </si>
  <si>
    <r>
      <t xml:space="preserve">Plug 3 Pin </t>
    </r>
    <r>
      <rPr>
        <sz val="8"/>
        <rFont val="Arial"/>
        <family val="2"/>
      </rPr>
      <t>M8 Male Straight</t>
    </r>
  </si>
  <si>
    <t>Solaris Laser - Start</t>
  </si>
  <si>
    <t xml:space="preserve">RSMCK 3 </t>
  </si>
  <si>
    <t>CONNECTOR M8 3 PIN MALE</t>
  </si>
  <si>
    <r>
      <t xml:space="preserve">Plug 3 Pin </t>
    </r>
    <r>
      <rPr>
        <sz val="8"/>
        <rFont val="Arial"/>
        <family val="2"/>
      </rPr>
      <t>M8 Female Straight</t>
    </r>
  </si>
  <si>
    <t>Solaris Laser -  Output</t>
  </si>
  <si>
    <t xml:space="preserve">RKMCK 3 </t>
  </si>
  <si>
    <t>CONNECTOR M8 3 PIN FEMALE</t>
  </si>
  <si>
    <t>Models</t>
  </si>
  <si>
    <t xml:space="preserve">MU02037 </t>
  </si>
  <si>
    <t>Midi Mk7 SRRA 2M</t>
  </si>
  <si>
    <t>Midi Mk7 SRRA 4M</t>
  </si>
  <si>
    <t>Incompatable printhead and speed option</t>
  </si>
  <si>
    <t>4900s</t>
  </si>
  <si>
    <t>4900E</t>
  </si>
  <si>
    <t>QC Charge - Dry</t>
  </si>
  <si>
    <t>QC Charge - Wet</t>
  </si>
  <si>
    <t>Additional Bracketry</t>
  </si>
  <si>
    <t>Install Discount (If Approved By Mario)</t>
  </si>
  <si>
    <t>Communications - (Moxa Box) - 2 ports</t>
  </si>
  <si>
    <t>Communications - (Moxa Box) - 1 ports</t>
  </si>
  <si>
    <t>Attila Motyan</t>
  </si>
  <si>
    <t>Andrew Ball</t>
  </si>
  <si>
    <t>Est. Ink Usage (pa)</t>
  </si>
  <si>
    <t>Est. Solvent Usage (pa)</t>
  </si>
  <si>
    <t>13080126, 13020044, 13090029, 13120056</t>
  </si>
  <si>
    <t>13120050, 13090028, 13020045, 13020046, 02020036</t>
  </si>
  <si>
    <t>Linx XY Fine Adj SS Stand Round</t>
  </si>
  <si>
    <t>Linx XY Adj SS Stand SQ</t>
  </si>
  <si>
    <t>MU02000</t>
  </si>
  <si>
    <r>
      <t xml:space="preserve">Startup Kit: </t>
    </r>
    <r>
      <rPr>
        <b/>
        <sz val="9"/>
        <color theme="5" tint="-0.249977111117893"/>
        <rFont val="Arial"/>
        <family val="2"/>
      </rPr>
      <t>5900</t>
    </r>
  </si>
  <si>
    <t>Installation, Commissioning &amp; Training</t>
  </si>
  <si>
    <t>0202151</t>
  </si>
  <si>
    <t>02020126</t>
  </si>
  <si>
    <t>02020125</t>
  </si>
  <si>
    <t>02020127</t>
  </si>
  <si>
    <t>02020128</t>
  </si>
  <si>
    <t>Project Fee</t>
  </si>
  <si>
    <t>Less amount</t>
  </si>
  <si>
    <t>99990033, 99990032</t>
  </si>
  <si>
    <t>Beaker (600ml) &amp; Wash Bottle (500ml)</t>
  </si>
  <si>
    <t>5900DC</t>
  </si>
  <si>
    <t>5900BC</t>
  </si>
  <si>
    <t>Price Inc</t>
  </si>
  <si>
    <t>Old price</t>
  </si>
  <si>
    <t>Old Price</t>
  </si>
  <si>
    <t>Price Rise</t>
  </si>
  <si>
    <t>New Price</t>
  </si>
  <si>
    <t>Price Increase</t>
  </si>
  <si>
    <t>see coversheet</t>
  </si>
  <si>
    <t>Project Management Fee</t>
  </si>
  <si>
    <t>Assembly Details</t>
  </si>
  <si>
    <t>FA93501/5L</t>
  </si>
  <si>
    <t>FA92750/5L</t>
  </si>
  <si>
    <t>FA91039/E</t>
  </si>
  <si>
    <t>FA91016/5L</t>
  </si>
  <si>
    <t>FA91240/5L</t>
  </si>
  <si>
    <t>FA91290/5L</t>
  </si>
  <si>
    <t>FA93103/5L</t>
  </si>
  <si>
    <t>FA92250/5L</t>
  </si>
  <si>
    <t>FA91555/5L</t>
  </si>
  <si>
    <t>FA91540/5L</t>
  </si>
  <si>
    <t>FA91512/5L</t>
  </si>
  <si>
    <t>FA91506/5L</t>
  </si>
  <si>
    <t>FA91505/5L</t>
  </si>
  <si>
    <t>12080027</t>
  </si>
  <si>
    <t>Splitter Box</t>
  </si>
  <si>
    <t>TBA !!!!</t>
  </si>
  <si>
    <t>CJ400 Module + Air Filter Kit</t>
  </si>
  <si>
    <t>5900 &amp; 7900</t>
  </si>
  <si>
    <t>CJ400 &amp; 5900</t>
  </si>
  <si>
    <t>ERROR LIST</t>
  </si>
  <si>
    <t>H-5-9-302-00</t>
  </si>
  <si>
    <t>QuickSwitch</t>
  </si>
  <si>
    <t>Linx Insight</t>
  </si>
  <si>
    <t>MU01484</t>
  </si>
  <si>
    <t>12080033</t>
  </si>
  <si>
    <t xml:space="preserve">High Speed Software </t>
  </si>
  <si>
    <t xml:space="preserve">Super High Speed Software </t>
  </si>
  <si>
    <t>H-5-9-303-00</t>
  </si>
  <si>
    <t>H-5-9-305-00</t>
  </si>
  <si>
    <t>12080034</t>
  </si>
  <si>
    <t>12080035</t>
  </si>
  <si>
    <t>H-5-9-313-00</t>
  </si>
  <si>
    <t>12080036</t>
  </si>
  <si>
    <t>Software Dual Alarm (5900)</t>
  </si>
  <si>
    <t>Dual Alarm Upgrade Kit 5900</t>
  </si>
  <si>
    <t>FA67077</t>
  </si>
  <si>
    <t>02020390</t>
  </si>
  <si>
    <t>H-5-9-310-00</t>
  </si>
  <si>
    <t>H-5-9-319-00</t>
  </si>
  <si>
    <t>12080037</t>
  </si>
  <si>
    <t>12080038</t>
  </si>
  <si>
    <t>5900s</t>
  </si>
  <si>
    <t>5900e</t>
  </si>
  <si>
    <t>H-7-9-316-00</t>
  </si>
  <si>
    <t>Image</t>
  </si>
  <si>
    <t>6029517, 5308074</t>
  </si>
  <si>
    <t>13020013</t>
  </si>
  <si>
    <t xml:space="preserve">NPORT-5110 </t>
  </si>
  <si>
    <t>Linx Marking Table</t>
  </si>
  <si>
    <t>02020422</t>
  </si>
  <si>
    <t>FA69002</t>
  </si>
  <si>
    <t>Current Best Price</t>
  </si>
  <si>
    <t>CJ400e</t>
  </si>
  <si>
    <t>INK T551 BLK 10 X 500ML (Carton)</t>
  </si>
  <si>
    <t>INK T551 BLK - (Single Bottle)</t>
  </si>
  <si>
    <t>$13,500 (12% discount)</t>
  </si>
  <si>
    <t>Tronics</t>
  </si>
  <si>
    <t>$12,000 (what does this include).</t>
  </si>
  <si>
    <t>2 more CIJ required in next 3 months.</t>
  </si>
  <si>
    <t>12 months onsite / back to base?</t>
  </si>
  <si>
    <t>COO (we are 500 cheaper pa etc.)</t>
  </si>
  <si>
    <t>Arguments Already Used With The Customer</t>
  </si>
  <si>
    <t>Competitors Warranty Offering</t>
  </si>
  <si>
    <t>$</t>
  </si>
  <si>
    <t>%</t>
  </si>
  <si>
    <t>Customer Purchase Date:</t>
  </si>
  <si>
    <t>Current Matthews Model Quoted:</t>
  </si>
  <si>
    <t>Price Required (to secure the business):</t>
  </si>
  <si>
    <t>Current Quoted Price &amp; Discount:</t>
  </si>
  <si>
    <t>Competitor Name:</t>
  </si>
  <si>
    <t>Competitor Model:</t>
  </si>
  <si>
    <t>Competitor Total Installed Price:</t>
  </si>
  <si>
    <t>Customer Future Potential:</t>
  </si>
  <si>
    <t>Example Answers</t>
  </si>
  <si>
    <t>Tradeout:</t>
  </si>
  <si>
    <t>IBTO</t>
  </si>
  <si>
    <t>CTO</t>
  </si>
  <si>
    <t>Special Pricing</t>
  </si>
  <si>
    <t>Installation, Commissioning &amp; Training - IBTO</t>
  </si>
  <si>
    <t>Installation, Commissioning &amp; Training - CTO/New Line</t>
  </si>
  <si>
    <t>Authorisation Granted By:</t>
  </si>
  <si>
    <r>
      <t xml:space="preserve">Startup Kit: </t>
    </r>
    <r>
      <rPr>
        <b/>
        <sz val="9"/>
        <color theme="5" tint="-0.249977111117893"/>
        <rFont val="Arial"/>
        <family val="2"/>
      </rPr>
      <t>5900e</t>
    </r>
  </si>
  <si>
    <t>INSTALLATION GUIDE</t>
  </si>
  <si>
    <t>Machine Only</t>
  </si>
  <si>
    <t>CJ400s - Machine Only</t>
  </si>
  <si>
    <t>CJ400e - Machine Only</t>
  </si>
  <si>
    <t>Package Bundles</t>
  </si>
  <si>
    <t>Startup kit (3 ink bottles, 3 bottles of solvent)</t>
  </si>
  <si>
    <t>Base - Floor Mount, Fixed (For Washdown Environment)</t>
  </si>
  <si>
    <t>MAT-2010-0881-001</t>
  </si>
  <si>
    <t>Welcome Kit Sent</t>
  </si>
  <si>
    <t>Project Engineer</t>
  </si>
  <si>
    <t>QC - Dry Only</t>
  </si>
  <si>
    <t>7900 IP55 Dye Based Only</t>
  </si>
  <si>
    <t>Scheduled Maintiance</t>
  </si>
  <si>
    <t>Routine Maintaince</t>
  </si>
  <si>
    <t>Corrective (5 Year Warranty)</t>
  </si>
  <si>
    <t>iDSnet Express</t>
  </si>
  <si>
    <t>Yr 1</t>
  </si>
  <si>
    <t>Yr 2</t>
  </si>
  <si>
    <t>Yr 3</t>
  </si>
  <si>
    <t>Yr 4</t>
  </si>
  <si>
    <t>Yr 5</t>
  </si>
  <si>
    <t>Scheduled + Routine</t>
  </si>
  <si>
    <t>Scheduled + Routine + Corrective</t>
  </si>
  <si>
    <t>Packages over 5 Year Period</t>
  </si>
  <si>
    <t>This proposal is valid for 14-days from the date of this proposal.  This proposal is non-separable and pertains to the total offering as proposed only.</t>
  </si>
  <si>
    <t>Finance is subject to credit approval.  Monthly payments are in-advance.  Machine finance is in the form of a finance lease with RV $1 per printer.</t>
  </si>
  <si>
    <t>The term of the agreement is 60-months.</t>
  </si>
  <si>
    <t>Scheduled maintenance includes 1x scheduled maintenance (parts and labour) per black printer per 18 months.  Scheduled maintenance is in line with the manufacturers recommendations.</t>
  </si>
  <si>
    <t>Comprehensive maintenance includes scheduled maintenance as defined above, on-site equipment inspection every two months and corrective maintenance (labour only) during normal business hours and warranty subject to warranty terms.</t>
  </si>
  <si>
    <t>The equipment inspections (as part of the comprehensive maintenance option) will be of 2-hour duration in total, every 2-month.  The inspections are based on an established inspection checklist.  Works conducted outside of the inspection scope are chargeable.</t>
  </si>
  <si>
    <t>We have allowed for all works, including maintenance works, to be conducted during normal business hours only.  Normal business hours are deemed to be Monday to Friday between 8:00AM and 4:30PM.</t>
  </si>
  <si>
    <t>If any corrective maintenance works go outside normal business hours, an overtime rate will be charged at $165 per hour.</t>
  </si>
  <si>
    <r>
      <rPr>
        <sz val="10"/>
        <rFont val="Arial"/>
        <family val="2"/>
      </rPr>
      <t xml:space="preserve">Matthews will warrant the maintenance works (parts and labour) conducted within the scope of this agreement to the extent of those works only.  Matthews will not be liable for any machinery condition not directly and wholly caused by the maintenance works. </t>
    </r>
    <r>
      <rPr>
        <sz val="10"/>
        <color rgb="FF000000"/>
        <rFont val="Arial"/>
        <family val="2"/>
      </rPr>
      <t xml:space="preserve"> </t>
    </r>
    <r>
      <rPr>
        <sz val="10"/>
        <rFont val="Arial"/>
        <family val="2"/>
      </rPr>
      <t>With all warranty claims, Matthews Australasia will conduct a thorough inspection of the unit(s), accessories or system to be covered. After the inspection, if warranty is accepted by Matthews Australasia, we will make repairs and parts replacement where necessary at no-charge.</t>
    </r>
  </si>
  <si>
    <t>Corrective maintenance will be provided only if the printers have been subjected to normal utilisation within their specifications, have been utilised with Matthews approved parts and consumables (including inks and solvents), have not been modified or altered in a manner not approved by Matthews, and have been maintained in accordance with recommended maintenance procedures.</t>
  </si>
  <si>
    <t>All pricing displayed within this document is exclusive of GST and delivery.  Delivery terms are FOB ex-Rowville, Victoria.  List prices are subject to change.</t>
  </si>
  <si>
    <t>The customer is obliged under the agreement to utilise Matthews-provided parts and consumables (including inks and solvents) exclusively within all the printers subject to this agreement, at all times.</t>
  </si>
  <si>
    <t>All consumables used during the course of maintenance works, whether planned or corrective, will be supplied by the customer.</t>
  </si>
  <si>
    <t>Cost estimates are based per machine.</t>
  </si>
  <si>
    <t>Conditions &amp; Inclusions</t>
  </si>
  <si>
    <t>s</t>
  </si>
  <si>
    <t>Environmental</t>
  </si>
  <si>
    <t>Environmental Considerations</t>
  </si>
  <si>
    <t>How will the print be triggered?</t>
  </si>
  <si>
    <t>Additional Comments</t>
  </si>
  <si>
    <t>m/s</t>
  </si>
  <si>
    <t>Products / Minute</t>
  </si>
  <si>
    <t>Required Dry Time</t>
  </si>
  <si>
    <t>Message Type</t>
  </si>
  <si>
    <t>Production Line Speed</t>
  </si>
  <si>
    <r>
      <t xml:space="preserve">Cost Per </t>
    </r>
    <r>
      <rPr>
        <b/>
        <sz val="11"/>
        <color theme="5" tint="-0.249977111117893"/>
        <rFont val="Arial"/>
        <family val="2"/>
      </rPr>
      <t>Year / Machine</t>
    </r>
  </si>
  <si>
    <r>
      <t xml:space="preserve">Av Cost Per </t>
    </r>
    <r>
      <rPr>
        <b/>
        <sz val="11"/>
        <color theme="5" tint="-0.249977111117893"/>
        <rFont val="Arial"/>
        <family val="2"/>
      </rPr>
      <t>Month / Machine</t>
    </r>
  </si>
  <si>
    <t>What is the substrate</t>
  </si>
  <si>
    <t>Substrate Pre / Post Conditions</t>
  </si>
  <si>
    <t>Nathan Elliott</t>
  </si>
  <si>
    <t>Mark Dingley</t>
  </si>
  <si>
    <t>1 x 7900 IP55</t>
  </si>
  <si>
    <t>2 x 7900 IP55</t>
  </si>
  <si>
    <t>3 x 7900 IP55</t>
  </si>
  <si>
    <t>4 x 7900 IP55</t>
  </si>
  <si>
    <t>5 x 7900 IP55</t>
  </si>
  <si>
    <t>&gt;6 x 7900 IP55</t>
  </si>
  <si>
    <t>RS232 Connection</t>
  </si>
  <si>
    <t xml:space="preserve">             CIJ BOM</t>
  </si>
  <si>
    <t>Braydon Cocks</t>
  </si>
  <si>
    <t>02020453</t>
  </si>
  <si>
    <t>FA76504</t>
  </si>
  <si>
    <t>Linx Campaign Code</t>
  </si>
  <si>
    <t>5900e IP55 Dye Based Only</t>
  </si>
  <si>
    <t>1 x 5900 IP55</t>
  </si>
  <si>
    <t>2 x 5900 IP55</t>
  </si>
  <si>
    <t>3 x 5900 IP55</t>
  </si>
  <si>
    <t>4 x 5900 IP55</t>
  </si>
  <si>
    <t>5 x 5900 IP55</t>
  </si>
  <si>
    <t>&gt;6 x 5900 IP55</t>
  </si>
  <si>
    <t>8900 2m Midi Mk11 (Standard Speed)</t>
  </si>
  <si>
    <t>8900 4m Midi Mk11 (Standard Speed)</t>
  </si>
  <si>
    <t>8900 6m Midi Mk11 (Standard Speed)</t>
  </si>
  <si>
    <t>8900 6m Midi Mk11 (High Speed)</t>
  </si>
  <si>
    <t>8900 4m Midi Mk11 (High Speed)</t>
  </si>
  <si>
    <t>8900 2m Midi Mk11 (High Speed)</t>
  </si>
  <si>
    <t>P890-U2-01-SSC</t>
  </si>
  <si>
    <t>P890-U6-01-SSC</t>
  </si>
  <si>
    <t>P890-U0-01-HPC</t>
  </si>
  <si>
    <t>P890-U2-01-HPC</t>
  </si>
  <si>
    <t>P890-U4-01-HPC</t>
  </si>
  <si>
    <t>02010093</t>
  </si>
  <si>
    <t>FAC1240/5L</t>
  </si>
  <si>
    <t>FAC1512/5L</t>
  </si>
  <si>
    <r>
      <t xml:space="preserve">Startup Kit: </t>
    </r>
    <r>
      <rPr>
        <b/>
        <sz val="9"/>
        <color theme="5" tint="-0.249977111117893"/>
        <rFont val="Arial"/>
        <family val="2"/>
      </rPr>
      <t>8900</t>
    </r>
  </si>
  <si>
    <t>8900 Startup kit (1240 &amp; 1512)</t>
  </si>
  <si>
    <t xml:space="preserve"> Quote Number:</t>
  </si>
  <si>
    <t>WH100813.01</t>
  </si>
  <si>
    <t>3M Microbiology | WH100813.01 | CIJ - Continuous Ink Jet</t>
  </si>
  <si>
    <t>11060101, 13120085, 13120086</t>
  </si>
  <si>
    <t>11060102, 13120085</t>
  </si>
  <si>
    <t>6033185, 20081501/01_A-01, 20081501/02_A-01</t>
  </si>
  <si>
    <t>6033206, 20081501/01_A-01</t>
  </si>
  <si>
    <t xml:space="preserve">11060095, 11060039, 13120085, 13120086 </t>
  </si>
  <si>
    <t>11060010, 11060038, 13120085</t>
  </si>
  <si>
    <t>0.2 x 15140077
0.2 x 16140057</t>
  </si>
  <si>
    <t>2 x FAC1240 2bottles
1 x FAC1512 1bottle</t>
  </si>
  <si>
    <t>% Split</t>
  </si>
  <si>
    <t>Territory 1</t>
  </si>
  <si>
    <t>Territory 2</t>
  </si>
  <si>
    <t xml:space="preserve">00060667 </t>
  </si>
  <si>
    <t xml:space="preserve">00060668 </t>
  </si>
  <si>
    <t>Existing PMP onsite</t>
  </si>
  <si>
    <t>Wesley Knox</t>
  </si>
  <si>
    <t>Joe Simionato</t>
  </si>
  <si>
    <t xml:space="preserve">SOLVENT 1512 (8900) 5 X 1L  </t>
  </si>
  <si>
    <t xml:space="preserve">INK 1240 BLK (8900) 10 X 500ML  </t>
  </si>
  <si>
    <r>
      <t> </t>
    </r>
    <r>
      <rPr>
        <sz val="9"/>
        <rFont val="Calibri"/>
        <family val="2"/>
      </rPr>
      <t>02010094</t>
    </r>
  </si>
  <si>
    <r>
      <t> </t>
    </r>
    <r>
      <rPr>
        <sz val="9"/>
        <rFont val="Calibri"/>
        <family val="2"/>
      </rPr>
      <t>02010095</t>
    </r>
  </si>
  <si>
    <r>
      <t> </t>
    </r>
    <r>
      <rPr>
        <sz val="9"/>
        <rFont val="Calibri"/>
        <family val="2"/>
      </rPr>
      <t>02010096</t>
    </r>
  </si>
  <si>
    <r>
      <t> </t>
    </r>
    <r>
      <rPr>
        <sz val="9"/>
        <rFont val="Calibri"/>
        <family val="2"/>
      </rPr>
      <t>02010097</t>
    </r>
  </si>
  <si>
    <r>
      <t> </t>
    </r>
    <r>
      <rPr>
        <sz val="9"/>
        <rFont val="Calibri"/>
        <family val="2"/>
      </rPr>
      <t>02010098</t>
    </r>
  </si>
  <si>
    <t>P891-U6-01-HPC</t>
  </si>
  <si>
    <t>8910 IP55 MIDI 2M (High Speed) </t>
  </si>
  <si>
    <t>8910 IP55 MIDI 4M (High Speed) </t>
  </si>
  <si>
    <t>8910 IP55 MIDI 6M (High Speed) </t>
  </si>
  <si>
    <t>8920 IP55 MIDI 2M (High Speed)</t>
  </si>
  <si>
    <t>8920 IP55 MIDI 4M (High Speed)</t>
  </si>
  <si>
    <t>8920 IP55 MIDI 6M (High Speed)</t>
  </si>
  <si>
    <t>8900 Linx Trolley</t>
  </si>
  <si>
    <t>8900 TROLLEY</t>
  </si>
  <si>
    <t>Message/Print Direction</t>
  </si>
  <si>
    <t>Hours Per Day</t>
  </si>
  <si>
    <t>Days Per Week</t>
  </si>
  <si>
    <t>Weeks Per Year</t>
  </si>
  <si>
    <t>Prints Per Hour</t>
  </si>
  <si>
    <t>Prints Per Year</t>
  </si>
  <si>
    <t>Production Hours Per Year</t>
  </si>
  <si>
    <t>Message</t>
  </si>
  <si>
    <r>
      <t xml:space="preserve">Actual Message </t>
    </r>
    <r>
      <rPr>
        <sz val="10"/>
        <rFont val="Arial"/>
        <family val="2"/>
      </rPr>
      <t>(Eg:</t>
    </r>
    <r>
      <rPr>
        <sz val="10"/>
        <color theme="5" tint="0.39997558519241921"/>
        <rFont val="Arial"/>
        <family val="2"/>
      </rPr>
      <t xml:space="preserve"> Best Before 02/02/02</t>
    </r>
    <r>
      <rPr>
        <sz val="10"/>
        <rFont val="Arial"/>
        <family val="2"/>
      </rPr>
      <t>)</t>
    </r>
  </si>
  <si>
    <t>Estimated Number of characters</t>
  </si>
  <si>
    <t>Prints pa</t>
  </si>
  <si>
    <t>Prints per Hour</t>
  </si>
  <si>
    <t>Production Hours Calculators</t>
  </si>
  <si>
    <t>Integration &amp; Connectivity</t>
  </si>
  <si>
    <t>Jan Irzyk</t>
  </si>
  <si>
    <t>Products / Hour</t>
  </si>
  <si>
    <t>product / minute</t>
  </si>
  <si>
    <t>products / hour</t>
  </si>
  <si>
    <t>Prints per min</t>
  </si>
  <si>
    <t>Prints per second</t>
  </si>
  <si>
    <t>Tradeout Serial #</t>
  </si>
  <si>
    <t>RS232 and VFC - Dual Alarm Config</t>
  </si>
  <si>
    <t>Finance Details</t>
  </si>
  <si>
    <t>Finance Deal</t>
  </si>
  <si>
    <t>Finance Type</t>
  </si>
  <si>
    <t>Total $ Amount</t>
  </si>
  <si>
    <t>Finance Approved</t>
  </si>
  <si>
    <t>Period (months)</t>
  </si>
  <si>
    <t>Assembly Code</t>
  </si>
  <si>
    <t>SOLVENT 1545 (8900) 5 X 1L </t>
  </si>
  <si>
    <t>INK 3103 BLK (8900) 10 X 500ML </t>
  </si>
  <si>
    <t>SOLVENT 3501 (8900) 5 X 1L </t>
  </si>
  <si>
    <t>SOLVENT 1505 (8900) 5 X 1L </t>
  </si>
  <si>
    <t>INK 1056 BLK (8900) 10X500ML</t>
  </si>
  <si>
    <t>SOLVENT 1555 (8900) 5X1L</t>
  </si>
  <si>
    <t>INK 2250 BLK 10 X 500ML </t>
  </si>
  <si>
    <t>8900 Consumables</t>
  </si>
  <si>
    <t>Startup</t>
  </si>
  <si>
    <t>INK1291 THERMO (8900) 10 X 500ML </t>
  </si>
  <si>
    <t>Flush Kit</t>
  </si>
  <si>
    <t>Solvent Kit</t>
  </si>
  <si>
    <t xml:space="preserve">FAC1291/5L </t>
  </si>
  <si>
    <t>FAC1014/5L</t>
  </si>
  <si>
    <t>FAC1555/5L</t>
  </si>
  <si>
    <t>FAC1545/5L</t>
  </si>
  <si>
    <t>FAC3501/5L</t>
  </si>
  <si>
    <t>FAC1505/5L</t>
  </si>
  <si>
    <t>FAC1056/5L</t>
  </si>
  <si>
    <t>FAC3103/5</t>
  </si>
  <si>
    <t xml:space="preserve">FA92250/5L </t>
  </si>
  <si>
    <t xml:space="preserve">CLEANER 8900 MEK 2x500ML </t>
  </si>
  <si>
    <t>FA90105/1L</t>
  </si>
  <si>
    <t xml:space="preserve">CLEANER 8900 1056/1291 2x500ML </t>
  </si>
  <si>
    <t>FA90115/1L</t>
  </si>
  <si>
    <t xml:space="preserve">CLEANER 8900 3103 2x500ML </t>
  </si>
  <si>
    <t>FA90305/1L</t>
  </si>
  <si>
    <t>Flush / Cleaning Kits</t>
  </si>
  <si>
    <t>Ink Range</t>
  </si>
  <si>
    <t>8940 IP65 MIDI 2M (High Speed)</t>
  </si>
  <si>
    <t>8940 IP65 MIDI 4M (High Speed)</t>
  </si>
  <si>
    <t>8940 IP65 MIDI 6M (High Speed)</t>
  </si>
  <si>
    <t>12 MONTHS</t>
  </si>
  <si>
    <t>18 MONTHS</t>
  </si>
  <si>
    <t>24 MONTHS</t>
  </si>
  <si>
    <t>8900 Service Intervals - Depending On Inks</t>
  </si>
  <si>
    <t>Hours</t>
  </si>
  <si>
    <t>Time Period</t>
  </si>
  <si>
    <t>ASSOCIATED</t>
  </si>
  <si>
    <t>DESCRIPTION</t>
  </si>
  <si>
    <t>02030013</t>
  </si>
  <si>
    <t>ASSEMBLY LINX 8900</t>
  </si>
  <si>
    <t>02030016</t>
  </si>
  <si>
    <t>ASSEMBLY LINX 8910</t>
  </si>
  <si>
    <t>02030014</t>
  </si>
  <si>
    <t>ASSEMBLY LINX 8920</t>
  </si>
  <si>
    <t>ASSEMBLY LINX 8940</t>
  </si>
  <si>
    <t>ASSY STOCK_CODE</t>
  </si>
  <si>
    <t>8910/8920/8940</t>
  </si>
  <si>
    <t>ASSY</t>
  </si>
  <si>
    <t>Spectrum</t>
  </si>
  <si>
    <t>02010103</t>
  </si>
  <si>
    <t>02010104</t>
  </si>
  <si>
    <t>02010102</t>
  </si>
  <si>
    <t>02010105</t>
  </si>
  <si>
    <t>02010106</t>
  </si>
  <si>
    <t>02010107</t>
  </si>
  <si>
    <t>02010108</t>
  </si>
  <si>
    <t>02010109</t>
  </si>
  <si>
    <t>02010110</t>
  </si>
  <si>
    <t>02030015</t>
  </si>
  <si>
    <t>8900 Plastic Cover</t>
  </si>
  <si>
    <t>FA11207</t>
  </si>
  <si>
    <t>02020527</t>
  </si>
  <si>
    <t>FA11206</t>
  </si>
  <si>
    <t>02020524</t>
  </si>
  <si>
    <t>Special Discount (Approved by Service)</t>
  </si>
  <si>
    <t>Essential Service Package</t>
  </si>
  <si>
    <t>FF11216</t>
  </si>
  <si>
    <t>Multistage Alarm 24V</t>
  </si>
  <si>
    <t>02020532</t>
  </si>
  <si>
    <t>LCE-302-BYG</t>
  </si>
  <si>
    <t>Alarm Beacon (3 colour B/A/G) with pole</t>
  </si>
  <si>
    <t>Plug</t>
  </si>
  <si>
    <t>02020538</t>
  </si>
  <si>
    <t>Startup Kit - 1079 Yellow (8920)</t>
  </si>
  <si>
    <t>Ink 1079 Yellow (8900) 10 X 500ml</t>
  </si>
  <si>
    <t>Solvent 1505 (8900) 5 X 1L</t>
  </si>
  <si>
    <t>FAC1079/5L</t>
  </si>
  <si>
    <t>Custom Parts</t>
  </si>
  <si>
    <t>Quote Summary</t>
  </si>
  <si>
    <r>
      <t>Price (</t>
    </r>
    <r>
      <rPr>
        <b/>
        <u/>
        <sz val="10"/>
        <color theme="5" tint="-0.249977111117893"/>
        <rFont val="Arial"/>
        <family val="2"/>
      </rPr>
      <t>No</t>
    </r>
    <r>
      <rPr>
        <u/>
        <sz val="10"/>
        <color theme="5" tint="-0.249977111117893"/>
        <rFont val="Arial"/>
        <family val="2"/>
      </rPr>
      <t xml:space="preserve"> discount)</t>
    </r>
  </si>
  <si>
    <t>Based Final Price</t>
  </si>
  <si>
    <t>8920 IP55 MIDI PLUS 2M+ (High Speed)</t>
  </si>
  <si>
    <t>02010111</t>
  </si>
  <si>
    <t>8910c IP55 MIDI PLUS 2M+ (High Speed) - Yellow</t>
  </si>
  <si>
    <t>8920c IP55 MIDI PLUS 2M+ (High Speed) - Yellow</t>
  </si>
  <si>
    <t>8910c IP55 MIDI PLUS 2M+ (High Speed) - Blue</t>
  </si>
  <si>
    <t>8920c IP55 MIDI PLUS 2M+ (High Speed) - Blue</t>
  </si>
  <si>
    <t>8910c IP55 MIDI PLUS 2M+ (High Speed) - Pigmented Black</t>
  </si>
  <si>
    <t>8920c IP55 MIDI PLUS 2M+ (High Speed) - Pigmented Black</t>
  </si>
  <si>
    <t>ASSEMBLY LINX 8920c</t>
  </si>
  <si>
    <t>8920c</t>
  </si>
  <si>
    <t>8910c</t>
  </si>
  <si>
    <t>Contrast Systems</t>
  </si>
  <si>
    <t>8900 Linx Trolley (This can fit with slight overhang)</t>
  </si>
  <si>
    <t>Capital Project Coversheet</t>
  </si>
  <si>
    <t>Additional Travel Allowance - Flights (Both ways)</t>
  </si>
  <si>
    <t>Accomodation Allowance - Per Day</t>
  </si>
  <si>
    <t>Presite visit including (Onsite inspection &amp; travel to &amp; from)</t>
  </si>
  <si>
    <t>PG</t>
  </si>
  <si>
    <t>Description / CPM Description</t>
  </si>
  <si>
    <t>Qty</t>
  </si>
  <si>
    <t>Price (ea)</t>
  </si>
  <si>
    <t>Product # / CPM#</t>
  </si>
  <si>
    <t>TotalSales</t>
  </si>
  <si>
    <t>8910c / 8920c</t>
  </si>
  <si>
    <t>Financial Review</t>
  </si>
  <si>
    <t>Alert Checklist</t>
  </si>
  <si>
    <t>P890-U0-17-SSC</t>
  </si>
  <si>
    <t>P891-U0-17-HPC</t>
  </si>
  <si>
    <t>P891-U2-17-HPC</t>
  </si>
  <si>
    <t>P892-U0-17-HPC</t>
  </si>
  <si>
    <t>P892-U2-17-HPC</t>
  </si>
  <si>
    <t>P892-U6-17-HPC</t>
  </si>
  <si>
    <t>P894-U0-17-HPC</t>
  </si>
  <si>
    <t>P894-U2-17-HPC</t>
  </si>
  <si>
    <t>P894-U6-17-HPC</t>
  </si>
  <si>
    <t>P892-W0-72-HPC</t>
  </si>
  <si>
    <t>P891-W0-72-HPC</t>
  </si>
  <si>
    <t>Alarm Beacon Mounting Bracket</t>
  </si>
  <si>
    <t>07061701</t>
  </si>
  <si>
    <t>LCE-202FB-BA, 489-532</t>
  </si>
  <si>
    <t>GD4130-BK</t>
  </si>
  <si>
    <t>P891-W0-21-HPC</t>
  </si>
  <si>
    <t>P891-W0-56-HPC</t>
  </si>
  <si>
    <t>P892-W0-21-HPC</t>
  </si>
  <si>
    <t>P892-W0-56-HPC</t>
  </si>
  <si>
    <t>Production Line 1</t>
  </si>
  <si>
    <t>Production Line 2</t>
  </si>
  <si>
    <t>Is external communication required?</t>
  </si>
  <si>
    <t>Substrate</t>
  </si>
  <si>
    <t>Photo's</t>
  </si>
  <si>
    <t>FF67101</t>
  </si>
  <si>
    <t>Positive Air Upgrade (8900, 8910, 8920)</t>
  </si>
  <si>
    <t>Positive Air Upgrade (8940 Only)</t>
  </si>
  <si>
    <t>FF67050</t>
  </si>
  <si>
    <t>ERROR</t>
  </si>
  <si>
    <t>7900 Food Grade</t>
  </si>
  <si>
    <t>Revenue Allocation</t>
  </si>
  <si>
    <t>CIJ Model</t>
  </si>
  <si>
    <t>Capital Assembly</t>
  </si>
  <si>
    <t>AssemblyCode</t>
  </si>
  <si>
    <t>Travel &amp; Accomodation</t>
  </si>
  <si>
    <t>Project Management</t>
  </si>
  <si>
    <t>Supplier#</t>
  </si>
  <si>
    <t>Matthews#</t>
  </si>
  <si>
    <t>Product Description</t>
  </si>
  <si>
    <t>Nett Price</t>
  </si>
  <si>
    <t>Matt#</t>
  </si>
  <si>
    <t>Class</t>
  </si>
  <si>
    <t>CIJ01</t>
  </si>
  <si>
    <t>Engineering</t>
  </si>
  <si>
    <t>IDSnet Express</t>
  </si>
  <si>
    <t>iDSnet Enterprise</t>
  </si>
  <si>
    <t>Datacapture</t>
  </si>
  <si>
    <t>Nett Discount</t>
  </si>
  <si>
    <t>Allocated CIJ</t>
  </si>
  <si>
    <t>Revenue</t>
  </si>
  <si>
    <t>Calculated Total (Above Allocations)</t>
  </si>
  <si>
    <t>Area</t>
  </si>
  <si>
    <t>7900 Only</t>
  </si>
  <si>
    <t>i</t>
  </si>
  <si>
    <t>Variance Between Final Price / Calculated</t>
  </si>
  <si>
    <t>Sum of Qty</t>
  </si>
  <si>
    <t>Show</t>
  </si>
  <si>
    <t>Identifier</t>
  </si>
  <si>
    <t>Sum of Nett Price</t>
  </si>
  <si>
    <t>Picking List Summary: 8900 Only</t>
  </si>
  <si>
    <t>INK 1014 BLK (8900) 10 X 500Ml</t>
  </si>
  <si>
    <t>INK 1014 BLK (8900) 10 X 500ml</t>
  </si>
  <si>
    <t>Startup Kit - 1014</t>
  </si>
  <si>
    <t>02030017</t>
  </si>
  <si>
    <t>02010112</t>
  </si>
  <si>
    <t>8910c IP55 MIDI PLUS 4M+ (High Speed) - Yellow</t>
  </si>
  <si>
    <t>02010114</t>
  </si>
  <si>
    <t>P891-W2-72-HPC</t>
  </si>
  <si>
    <t>8910 IP55 MIDI 2M (High Speed) - Thermochromic</t>
  </si>
  <si>
    <t>8920 IP55 MIDI 2M (High Speed) - Thermochromic</t>
  </si>
  <si>
    <t>INK 1010 BLK (8900) 10X500ML</t>
  </si>
  <si>
    <t>FAC1010/5L</t>
  </si>
  <si>
    <t>INK 1281 Pink (8900) 10X500ML</t>
  </si>
  <si>
    <t>FAC1281/5L</t>
  </si>
  <si>
    <t>INK 1405  (8900) 10X500ML</t>
  </si>
  <si>
    <t>FAC1405/5L</t>
  </si>
  <si>
    <t xml:space="preserve">Solvent 1705 5 x 1L (8900)  	</t>
  </si>
  <si>
    <t>FAC1705/5L</t>
  </si>
  <si>
    <t>Not Longer</t>
  </si>
  <si>
    <t>Dry time (seconds)</t>
  </si>
  <si>
    <t>Shelf life</t>
  </si>
  <si>
    <t>Acid</t>
  </si>
  <si>
    <t>Alkali</t>
  </si>
  <si>
    <t>Detergent</t>
  </si>
  <si>
    <t>Petrol</t>
  </si>
  <si>
    <t>Heat / °C</t>
  </si>
  <si>
    <t>Light-fastness</t>
  </si>
  <si>
    <t>Glass</t>
  </si>
  <si>
    <t>Metal</t>
  </si>
  <si>
    <t>Plastic</t>
  </si>
  <si>
    <t>Black 1010</t>
  </si>
  <si>
    <t>Black plastic-adherent 1014</t>
  </si>
  <si>
    <t>Black plastic-film 1016</t>
  </si>
  <si>
    <t>Red 1018</t>
  </si>
  <si>
    <t>Black water-removable 1035</t>
  </si>
  <si>
    <t>Black wet process 1055</t>
  </si>
  <si>
    <t>Black wet process 1056</t>
  </si>
  <si>
    <t>Black bottling 1058</t>
  </si>
  <si>
    <t>Black oil-penetrating 1062</t>
  </si>
  <si>
    <t>Black grease-penetrating 1063</t>
  </si>
  <si>
    <t>Black dry glass 1065</t>
  </si>
  <si>
    <t>Black alkali-removable 1070</t>
  </si>
  <si>
    <t>Black alcohol-resistant 1075</t>
  </si>
  <si>
    <t>Black 1085</t>
  </si>
  <si>
    <t>Clear UV-readable 1121</t>
  </si>
  <si>
    <t>Black PE 1130</t>
  </si>
  <si>
    <t>Black fast-drying 1240</t>
  </si>
  <si>
    <t>Blue fast-drying 1243</t>
  </si>
  <si>
    <t>Brown fast-drying 1248</t>
  </si>
  <si>
    <t>Thermochromic purple to pink 1281</t>
  </si>
  <si>
    <t>Thermochromic black to blue 1291</t>
  </si>
  <si>
    <t>Black ultra fast-drying 1405</t>
  </si>
  <si>
    <t>Black ethanol 2030</t>
  </si>
  <si>
    <t>Black ethanol 2035</t>
  </si>
  <si>
    <t>Blue wetness-indicator 2040</t>
  </si>
  <si>
    <t>Black food-packaging 2250</t>
  </si>
  <si>
    <t>Black mixed base 3103</t>
  </si>
  <si>
    <t>Blue mixed base 3123</t>
  </si>
  <si>
    <t>Green mixed base 3124</t>
  </si>
  <si>
    <t>Clear security 3160</t>
  </si>
  <si>
    <t>Black 3240</t>
  </si>
  <si>
    <t>Black 3401</t>
  </si>
  <si>
    <t>Red food grade (FDA) 6100</t>
  </si>
  <si>
    <t>Blue food grade (FDA) 6120</t>
  </si>
  <si>
    <t>Blue food grade (EU) 6220</t>
  </si>
  <si>
    <t>1 = Ketone-based (MEK)</t>
  </si>
  <si>
    <t>2 = Ketone-based (acetone)</t>
  </si>
  <si>
    <t>3 = Industrial alcohol (ethanol)</t>
  </si>
  <si>
    <t>4 = Food grade ethanol</t>
  </si>
  <si>
    <t>1-2</t>
  </si>
  <si>
    <t>1-3</t>
  </si>
  <si>
    <t>1-5</t>
  </si>
  <si>
    <t>5 = Mixed-base (ethanol / acetone)</t>
  </si>
  <si>
    <t>Solvent Base Key</t>
  </si>
  <si>
    <t>6 = Mixed-base (ethanol / acetone)</t>
  </si>
  <si>
    <t>7 = Mixed-base (ethanol / acetone)</t>
  </si>
  <si>
    <t>1-9</t>
  </si>
  <si>
    <t>2-4</t>
  </si>
  <si>
    <t>3-5</t>
  </si>
  <si>
    <t>½-1</t>
  </si>
  <si>
    <t>Solvent Base Code</t>
  </si>
  <si>
    <t>P</t>
  </si>
  <si>
    <t>û</t>
  </si>
  <si>
    <t>H</t>
  </si>
  <si>
    <t>Solvents</t>
  </si>
  <si>
    <t>Chemical Rub Resistance</t>
  </si>
  <si>
    <t>Colour Fastness</t>
  </si>
  <si>
    <t>Adhesion</t>
  </si>
  <si>
    <t>Excellent resistance</t>
  </si>
  <si>
    <t>Poor resistance</t>
  </si>
  <si>
    <t>Excellent resistance
following heat treatment
(10 min @ 200°C)</t>
  </si>
  <si>
    <t>¡</t>
  </si>
  <si>
    <t></t>
  </si>
  <si>
    <t>-</t>
  </si>
  <si>
    <t>Not always suitable</t>
  </si>
  <si>
    <t>Recommended for this
material</t>
  </si>
  <si>
    <t>Code</t>
  </si>
  <si>
    <t>Low Odour</t>
  </si>
  <si>
    <t>Applications</t>
  </si>
  <si>
    <t>Bottles, jars, laboratory equipment, windows</t>
  </si>
  <si>
    <t>Extrusions, mouldings,
cables, storage media</t>
  </si>
  <si>
    <t>Bottles, blister packs,
flexible plastic</t>
  </si>
  <si>
    <t>Steel plate, cans,
automotive and
mechanical components</t>
  </si>
  <si>
    <t>Cans, food trays,
building materials</t>
  </si>
  <si>
    <t>Food packaging</t>
  </si>
  <si>
    <t>Tiles (porous), crockery,
pots</t>
  </si>
  <si>
    <t>Labels, documents, paper
sacks, cardboard boxes</t>
  </si>
  <si>
    <t>Oil Penetrating / Resistant</t>
  </si>
  <si>
    <t>Moisture Penetrating</t>
  </si>
  <si>
    <t>Long Shelf Life</t>
  </si>
  <si>
    <t>Very Fast-Drying</t>
  </si>
  <si>
    <t>Special Characteristics</t>
  </si>
  <si>
    <t>Black plastic-adherent</t>
  </si>
  <si>
    <t>Strengths</t>
  </si>
  <si>
    <t>Excellent light-fastness</t>
  </si>
  <si>
    <t>Water resistant on glass</t>
  </si>
  <si>
    <t>Black plastic-film</t>
  </si>
  <si>
    <t>Best adhesion to plastic films</t>
  </si>
  <si>
    <t>Good adhesion to PTFE</t>
  </si>
  <si>
    <t>Excellent scratch resistance on LDPE</t>
  </si>
  <si>
    <t>Very good heat tolerance</t>
  </si>
  <si>
    <t>Rub resistant to aqueous alcohol, e.g. spirits</t>
  </si>
  <si>
    <t>Excellent resistance to most solvents after heating</t>
  </si>
  <si>
    <t>Linx CIJ Consumable Guide</t>
  </si>
  <si>
    <t>Black fast-drying</t>
  </si>
  <si>
    <t>Fast-drying</t>
  </si>
  <si>
    <t>Black ultra fast-drying</t>
  </si>
  <si>
    <t>Very fast-drying</t>
  </si>
  <si>
    <t xml:space="preserve">MEK-free </t>
  </si>
  <si>
    <t>Water and scratch resistant on glass</t>
  </si>
  <si>
    <t>Rub resistant to aqueous alcohol</t>
  </si>
  <si>
    <t>Splash resistant to phosphate ether, e.g. hydraulic fluid</t>
  </si>
  <si>
    <t>Very low solvent consumption</t>
  </si>
  <si>
    <t>MEK &amp; ketone-free</t>
  </si>
  <si>
    <t>Black ethanol</t>
  </si>
  <si>
    <t>Black food-packaging</t>
  </si>
  <si>
    <t xml:space="preserve">MEK &amp; ketone-free </t>
  </si>
  <si>
    <t>Low odour</t>
  </si>
  <si>
    <t>Chromium-free</t>
  </si>
  <si>
    <t>USDA compliant for incidental food contact</t>
  </si>
  <si>
    <t>Black mixed base</t>
  </si>
  <si>
    <t xml:space="preserve">Excellent light-fastness </t>
  </si>
  <si>
    <t>MEK-free</t>
  </si>
  <si>
    <t>Lower solvent consumption than 3103</t>
  </si>
  <si>
    <t>Good scratch resistance on HDPE</t>
  </si>
  <si>
    <t>Splash resistant to halocarbons, e.g. metals degreaser</t>
  </si>
  <si>
    <t>Rub resistant to aromatic hydrocarbons, e.g. biological sterilising agent</t>
  </si>
  <si>
    <t>Red</t>
  </si>
  <si>
    <t>Strong red colour</t>
  </si>
  <si>
    <t>Splash resistant to aqueous alcohol, e.g. spirits</t>
  </si>
  <si>
    <t>Can print up to 4 lines of text on any printhead except Mk7 Mini</t>
  </si>
  <si>
    <t>Blue fast-drying</t>
  </si>
  <si>
    <t>Strong blue colour</t>
  </si>
  <si>
    <t>Lower solvent consumption than 3123</t>
  </si>
  <si>
    <t>Good scratch resistance on PP and PVC</t>
  </si>
  <si>
    <t>Blue mixed base</t>
  </si>
  <si>
    <t>Good adhesion to aluminium and plastics</t>
  </si>
  <si>
    <t>Green mixed base</t>
  </si>
  <si>
    <t>Strong green colour</t>
  </si>
  <si>
    <t>Good adhesion to aluminium and plastics, including PTFE</t>
  </si>
  <si>
    <t>Clear UV-readable</t>
  </si>
  <si>
    <t>Near invisible in normal light but UV-readable</t>
  </si>
  <si>
    <t>Removable with alkali</t>
  </si>
  <si>
    <t>Clear security</t>
  </si>
  <si>
    <t>Specialist security ink</t>
  </si>
  <si>
    <t>Good adhesion to plastics, tin and steel</t>
  </si>
  <si>
    <t>Thermochromic purple to pink</t>
  </si>
  <si>
    <t>Withstands sterilisation and dry temperatures of up to 300°C</t>
  </si>
  <si>
    <t>Undergoes colour change from purple to pink in retort conditions</t>
  </si>
  <si>
    <t>Penetrates oil/wax/varnish</t>
  </si>
  <si>
    <t>Water and rub resistant on HDPE, LDPE and polypropylene</t>
  </si>
  <si>
    <t>Excellent chemical resistance after heating</t>
  </si>
  <si>
    <r>
      <t xml:space="preserve">Legend </t>
    </r>
    <r>
      <rPr>
        <b/>
        <sz val="9"/>
        <rFont val="Arial"/>
        <family val="2"/>
      </rPr>
      <t>(Expand button to view)</t>
    </r>
  </si>
  <si>
    <t>Thermochromic black to blue</t>
  </si>
  <si>
    <t>Withstands sterilisation and dry temperatures of up to 400°C</t>
  </si>
  <si>
    <t>Undergoes colour change from black to blue in retort conditions</t>
  </si>
  <si>
    <t>Splash resistant to esters, e.g. nail varnish</t>
  </si>
  <si>
    <t>P891-U0-71-HPC</t>
  </si>
  <si>
    <t>02010116</t>
  </si>
  <si>
    <t>02010117</t>
  </si>
  <si>
    <t>P892-U0-71-HPC</t>
  </si>
  <si>
    <t>Item Code</t>
  </si>
  <si>
    <t>Item Descript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</si>
</sst>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_(* \(#,##0\);_(* &quot;-&quot;_);_(@_)"/>
    <numFmt numFmtId="164" formatCode="&quot;$&quot;#,##0;[Red]\-&quot;$&quot;#,##0"/>
    <numFmt numFmtId="165" formatCode="_-&quot;$&quot;* #,##0.00_-;\-&quot;$&quot;* #,##0.00_-;_-&quot;$&quot;* &quot;-&quot;??_-;_-@_-"/>
    <numFmt numFmtId="166" formatCode="_-* #,##0.00_-;\-* #,##0.00_-;_-* &quot;-&quot;??_-;_-@_-"/>
    <numFmt numFmtId="167" formatCode="&quot;$&quot;#,##0.00"/>
    <numFmt numFmtId="168" formatCode="_-&quot;$&quot;* #,##0_-;\-&quot;$&quot;* #,##0_-;_-&quot;$&quot;* &quot;-&quot;??_-;_-@_-"/>
    <numFmt numFmtId="169" formatCode="&quot;$&quot;#,##0"/>
    <numFmt numFmtId="170" formatCode="_-* #,##0_-;\-* #,##0_-;_-* &quot;-&quot;??_-;_-@_-"/>
    <numFmt numFmtId="171" formatCode="0.0%"/>
    <numFmt numFmtId="172" formatCode="0.0000000%"/>
    <numFmt numFmtId="173" formatCode="0.0"/>
    <numFmt numFmtId="174" formatCode="_-&quot;$&quot;* #,##0_-;\-&quot;$&quot;* #,##0_-;_-&quot;$&quot;* &quot;-&quot;???_-;_-@_-"/>
    <numFmt numFmtId="175" formatCode="_-&quot;$&quot;* #,##0_-;\-&quot;$&quot;* #,##0_-;_-&quot;$&quot;* &quot;-&quot;?_-;_-@_-"/>
    <numFmt numFmtId="176" formatCode="#,##0.00_ ;\-#,##0.00\ "/>
  </numFmts>
  <fonts count="98">
    <font>
      <sz val="10"/>
      <name val="Arial"/>
    </font>
    <font>
      <sz val="10"/>
      <name val="Arial"/>
      <family val="2"/>
    </font>
    <font>
      <sz val="8"/>
      <name val="Arial"/>
      <family val="2"/>
    </font>
    <font>
      <b/>
      <sz val="10"/>
      <name val="Arial"/>
      <family val="2"/>
    </font>
    <font>
      <b/>
      <sz val="18"/>
      <name val="Arial"/>
      <family val="2"/>
    </font>
    <font>
      <sz val="10"/>
      <name val="Arial"/>
      <family val="2"/>
    </font>
    <font>
      <b/>
      <u/>
      <sz val="10"/>
      <name val="Arial"/>
      <family val="2"/>
    </font>
    <font>
      <b/>
      <sz val="12"/>
      <name val="Arial"/>
      <family val="2"/>
    </font>
    <font>
      <i/>
      <sz val="10"/>
      <name val="Arial"/>
      <family val="2"/>
    </font>
    <font>
      <b/>
      <sz val="11"/>
      <color theme="5" tint="-0.249977111117893"/>
      <name val="Arial"/>
      <family val="2"/>
    </font>
    <font>
      <sz val="10"/>
      <color rgb="FFFF0000"/>
      <name val="Arial"/>
      <family val="2"/>
    </font>
    <font>
      <b/>
      <sz val="20"/>
      <name val="Arial"/>
      <family val="2"/>
    </font>
    <font>
      <b/>
      <sz val="10"/>
      <color rgb="FFFF0000"/>
      <name val="Arial"/>
      <family val="2"/>
    </font>
    <font>
      <b/>
      <i/>
      <sz val="10"/>
      <name val="Arial"/>
      <family val="2"/>
    </font>
    <font>
      <b/>
      <sz val="12"/>
      <color rgb="FFFF0000"/>
      <name val="Arial"/>
      <family val="2"/>
    </font>
    <font>
      <b/>
      <sz val="11"/>
      <name val="Arial"/>
      <family val="2"/>
    </font>
    <font>
      <b/>
      <sz val="8"/>
      <name val="Arial"/>
      <family val="2"/>
    </font>
    <font>
      <sz val="10"/>
      <color theme="0" tint="-0.14999847407452621"/>
      <name val="Arial"/>
      <family val="2"/>
    </font>
    <font>
      <sz val="10"/>
      <color theme="0"/>
      <name val="Arial"/>
      <family val="2"/>
    </font>
    <font>
      <sz val="10"/>
      <name val="Tahoma"/>
      <family val="2"/>
    </font>
    <font>
      <b/>
      <u/>
      <sz val="10"/>
      <color theme="5"/>
      <name val="Arial"/>
      <family val="2"/>
    </font>
    <font>
      <b/>
      <sz val="10"/>
      <color theme="5"/>
      <name val="Arial"/>
      <family val="2"/>
    </font>
    <font>
      <b/>
      <sz val="9"/>
      <name val="Arial"/>
      <family val="2"/>
    </font>
    <font>
      <b/>
      <i/>
      <sz val="10"/>
      <color theme="6" tint="-0.249977111117893"/>
      <name val="Arial"/>
      <family val="2"/>
    </font>
    <font>
      <b/>
      <sz val="11"/>
      <color theme="1" tint="0.14999847407452621"/>
      <name val="Arial"/>
      <family val="2"/>
    </font>
    <font>
      <sz val="10"/>
      <name val="Arial"/>
      <family val="2"/>
    </font>
    <font>
      <b/>
      <i/>
      <sz val="9"/>
      <color rgb="FFFF0000"/>
      <name val="Arial"/>
      <family val="2"/>
    </font>
    <font>
      <b/>
      <sz val="9"/>
      <color theme="5" tint="-0.249977111117893"/>
      <name val="Arial"/>
      <family val="2"/>
    </font>
    <font>
      <i/>
      <sz val="9"/>
      <name val="Arial"/>
      <family val="2"/>
    </font>
    <font>
      <b/>
      <sz val="11"/>
      <color indexed="12"/>
      <name val="Arial"/>
      <family val="2"/>
    </font>
    <font>
      <sz val="9"/>
      <name val="Arial"/>
      <family val="2"/>
    </font>
    <font>
      <b/>
      <sz val="9"/>
      <color rgb="FFFF0000"/>
      <name val="Arial"/>
      <family val="2"/>
    </font>
    <font>
      <b/>
      <i/>
      <sz val="9"/>
      <name val="Arial"/>
      <family val="2"/>
    </font>
    <font>
      <b/>
      <sz val="14"/>
      <color theme="5" tint="-0.249977111117893"/>
      <name val="Arial"/>
      <family val="2"/>
    </font>
    <font>
      <b/>
      <sz val="14"/>
      <color theme="1"/>
      <name val="Calibri"/>
      <family val="2"/>
      <scheme val="minor"/>
    </font>
    <font>
      <sz val="10"/>
      <color indexed="8"/>
      <name val="Calibri"/>
      <family val="2"/>
      <scheme val="minor"/>
    </font>
    <font>
      <b/>
      <sz val="16"/>
      <name val="Arial"/>
      <family val="2"/>
    </font>
    <font>
      <b/>
      <sz val="10"/>
      <name val="Calibri"/>
      <family val="2"/>
      <scheme val="minor"/>
    </font>
    <font>
      <sz val="9"/>
      <color theme="0"/>
      <name val="Arial"/>
      <family val="2"/>
    </font>
    <font>
      <sz val="9"/>
      <name val="Cambria"/>
      <family val="1"/>
      <scheme val="major"/>
    </font>
    <font>
      <b/>
      <i/>
      <u/>
      <sz val="11"/>
      <color rgb="FFFF0000"/>
      <name val="Arial"/>
      <family val="2"/>
    </font>
    <font>
      <b/>
      <sz val="11"/>
      <color theme="1"/>
      <name val="Calibri"/>
      <family val="2"/>
      <scheme val="minor"/>
    </font>
    <font>
      <b/>
      <i/>
      <sz val="10"/>
      <color rgb="FFFF0000"/>
      <name val="Arial"/>
      <family val="2"/>
    </font>
    <font>
      <i/>
      <sz val="10"/>
      <color rgb="FFFF0000"/>
      <name val="Arial"/>
      <family val="2"/>
    </font>
    <font>
      <sz val="8"/>
      <color rgb="FFFF0000"/>
      <name val="Arial"/>
      <family val="2"/>
    </font>
    <font>
      <sz val="10"/>
      <color theme="1"/>
      <name val="Calibri"/>
      <family val="2"/>
      <scheme val="minor"/>
    </font>
    <font>
      <b/>
      <sz val="10"/>
      <color theme="5" tint="-0.249977111117893"/>
      <name val="Calibri"/>
      <family val="2"/>
      <scheme val="minor"/>
    </font>
    <font>
      <sz val="8"/>
      <color rgb="FF000000"/>
      <name val="Arial"/>
      <family val="2"/>
    </font>
    <font>
      <sz val="8"/>
      <color theme="0"/>
      <name val="Arial"/>
      <family val="2"/>
    </font>
    <font>
      <b/>
      <sz val="8"/>
      <color rgb="FFFF0000"/>
      <name val="Arial"/>
      <family val="2"/>
    </font>
    <font>
      <b/>
      <sz val="8"/>
      <color theme="0"/>
      <name val="Arial"/>
      <family val="2"/>
    </font>
    <font>
      <b/>
      <sz val="12"/>
      <color theme="0"/>
      <name val="Arial"/>
      <family val="2"/>
    </font>
    <font>
      <b/>
      <sz val="10"/>
      <color theme="5" tint="-0.249977111117893"/>
      <name val="Arial"/>
      <family val="2"/>
    </font>
    <font>
      <sz val="10"/>
      <color theme="4" tint="0.39997558519241921"/>
      <name val="Arial"/>
      <family val="2"/>
    </font>
    <font>
      <b/>
      <sz val="10"/>
      <color theme="0"/>
      <name val="Arial"/>
      <family val="2"/>
    </font>
    <font>
      <b/>
      <sz val="8"/>
      <color theme="5" tint="-0.249977111117893"/>
      <name val="Arial"/>
      <family val="2"/>
    </font>
    <font>
      <sz val="8"/>
      <name val="Arial Unicode MS"/>
      <family val="2"/>
    </font>
    <font>
      <u/>
      <sz val="8"/>
      <name val="Arial"/>
      <family val="2"/>
    </font>
    <font>
      <u/>
      <sz val="10"/>
      <color indexed="12"/>
      <name val="Arial"/>
      <family val="2"/>
    </font>
    <font>
      <i/>
      <sz val="8"/>
      <name val="Arial"/>
      <family val="2"/>
    </font>
    <font>
      <sz val="10"/>
      <name val="Sans-serif"/>
    </font>
    <font>
      <sz val="8"/>
      <color theme="4" tint="0.39997558519241921"/>
      <name val="Arial"/>
      <family val="2"/>
    </font>
    <font>
      <b/>
      <sz val="11"/>
      <color rgb="FFFF0000"/>
      <name val="Arial"/>
      <family val="2"/>
    </font>
    <font>
      <sz val="8"/>
      <color indexed="81"/>
      <name val="Tahoma"/>
      <family val="2"/>
    </font>
    <font>
      <b/>
      <sz val="8"/>
      <color indexed="81"/>
      <name val="Tahoma"/>
      <family val="2"/>
    </font>
    <font>
      <b/>
      <i/>
      <u/>
      <sz val="10"/>
      <name val="Arial"/>
      <family val="2"/>
    </font>
    <font>
      <b/>
      <u/>
      <sz val="10"/>
      <color theme="5" tint="-0.249977111117893"/>
      <name val="Arial"/>
      <family val="2"/>
    </font>
    <font>
      <sz val="10"/>
      <color theme="5" tint="-0.249977111117893"/>
      <name val="Arial"/>
      <family val="2"/>
    </font>
    <font>
      <b/>
      <sz val="9"/>
      <color indexed="81"/>
      <name val="Tahoma"/>
      <family val="2"/>
    </font>
    <font>
      <b/>
      <u/>
      <sz val="9"/>
      <color theme="5" tint="-0.249977111117893"/>
      <name val="Arial"/>
      <family val="2"/>
    </font>
    <font>
      <sz val="10"/>
      <color rgb="FF000000"/>
      <name val="Arial"/>
      <family val="2"/>
    </font>
    <font>
      <sz val="8"/>
      <color rgb="FF000000"/>
      <name val="Tahoma"/>
      <family val="2"/>
    </font>
    <font>
      <b/>
      <sz val="12"/>
      <color theme="5" tint="-0.249977111117893"/>
      <name val="Arial"/>
      <family val="2"/>
    </font>
    <font>
      <sz val="8"/>
      <color rgb="FF000000"/>
      <name val="Segoe UI"/>
      <family val="2"/>
    </font>
    <font>
      <b/>
      <i/>
      <u/>
      <sz val="14"/>
      <color theme="5" tint="-0.249977111117893"/>
      <name val="Arial"/>
      <family val="2"/>
    </font>
    <font>
      <sz val="9"/>
      <color indexed="81"/>
      <name val="Tahoma"/>
      <family val="2"/>
    </font>
    <font>
      <sz val="9"/>
      <name val="Calibri"/>
      <family val="2"/>
    </font>
    <font>
      <sz val="10"/>
      <color theme="5" tint="0.39997558519241921"/>
      <name val="Arial"/>
      <family val="2"/>
    </font>
    <font>
      <b/>
      <sz val="12"/>
      <color theme="1"/>
      <name val="Calibri"/>
      <family val="2"/>
      <scheme val="minor"/>
    </font>
    <font>
      <sz val="9"/>
      <color theme="0"/>
      <name val="Calibri"/>
      <family val="2"/>
      <scheme val="minor"/>
    </font>
    <font>
      <b/>
      <sz val="12"/>
      <color theme="5" tint="-0.249977111117893"/>
      <name val="Calibri"/>
      <family val="2"/>
      <scheme val="minor"/>
    </font>
    <font>
      <u/>
      <sz val="10"/>
      <color theme="5" tint="-0.249977111117893"/>
      <name val="Arial"/>
      <family val="2"/>
    </font>
    <font>
      <i/>
      <sz val="10"/>
      <color theme="3" tint="0.39997558519241921"/>
      <name val="Arial"/>
      <family val="2"/>
    </font>
    <font>
      <b/>
      <sz val="14"/>
      <color theme="4" tint="0.39997558519241921"/>
      <name val="Arial"/>
      <family val="2"/>
    </font>
    <font>
      <b/>
      <sz val="12"/>
      <color theme="3" tint="0.39997558519241921"/>
      <name val="Arial"/>
      <family val="2"/>
    </font>
    <font>
      <b/>
      <sz val="16"/>
      <color theme="4" tint="0.39997558519241921"/>
      <name val="Arial"/>
      <family val="2"/>
    </font>
    <font>
      <sz val="10"/>
      <color rgb="FFFF0000"/>
      <name val="Wingdings"/>
      <charset val="2"/>
    </font>
    <font>
      <sz val="11"/>
      <color rgb="FFFF0000"/>
      <name val="Wingdings"/>
      <charset val="2"/>
    </font>
    <font>
      <b/>
      <sz val="11"/>
      <color theme="6" tint="-0.249977111117893"/>
      <name val="Wingdings 2"/>
      <family val="1"/>
      <charset val="2"/>
    </font>
    <font>
      <b/>
      <sz val="11"/>
      <color theme="7" tint="0.39997558519241921"/>
      <name val="Arial"/>
      <family val="2"/>
    </font>
    <font>
      <sz val="10"/>
      <color rgb="FF92D050"/>
      <name val="Wingdings 2"/>
      <family val="1"/>
      <charset val="2"/>
    </font>
    <font>
      <b/>
      <u/>
      <sz val="10"/>
      <color rgb="FFC00000"/>
      <name val="Arial"/>
      <family val="2"/>
    </font>
    <font>
      <b/>
      <u/>
      <sz val="9"/>
      <color rgb="FFC00000"/>
      <name val="Arial"/>
      <family val="2"/>
    </font>
    <font>
      <sz val="11"/>
      <name val="Calibri"/>
      <family val="2"/>
    </font>
    <font>
      <sz val="7"/>
      <name val="Arial"/>
      <family val="2"/>
    </font>
    <font>
      <b/>
      <u/>
      <sz val="8"/>
      <name val="Arial"/>
      <family val="2"/>
    </font>
    <font>
      <b/>
      <u/>
      <sz val="7"/>
      <name val="Arial"/>
      <family val="2"/>
    </font>
    <font>
      <b/>
      <sz val="10"/>
      <color theme="4" tint="0.39997558519241921"/>
      <name val="Arial"/>
      <family val="2"/>
    </font>
  </fonts>
  <fills count="28">
    <fill>
      <patternFill patternType="none"/>
    </fill>
    <fill>
      <patternFill patternType="gray125"/>
    </fill>
    <fill>
      <patternFill patternType="solid">
        <fgColor theme="0" tint="-0.249977111117893"/>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0"/>
        <bgColor indexed="64"/>
      </patternFill>
    </fill>
    <fill>
      <patternFill patternType="solid">
        <fgColor indexed="9"/>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8"/>
        <bgColor indexed="64"/>
      </patternFill>
    </fill>
    <fill>
      <patternFill patternType="solid">
        <fgColor theme="7"/>
        <bgColor indexed="64"/>
      </patternFill>
    </fill>
    <fill>
      <patternFill patternType="solid">
        <fgColor theme="6"/>
        <bgColor indexed="64"/>
      </patternFill>
    </fill>
    <fill>
      <patternFill patternType="solid">
        <fgColor rgb="FFFF0000"/>
        <bgColor indexed="64"/>
      </patternFill>
    </fill>
    <fill>
      <patternFill patternType="solid">
        <fgColor theme="9"/>
        <bgColor indexed="64"/>
      </patternFill>
    </fill>
    <fill>
      <patternFill patternType="solid">
        <fgColor rgb="FF7030A0"/>
        <bgColor indexed="64"/>
      </patternFill>
    </fill>
    <fill>
      <patternFill patternType="solid">
        <fgColor theme="1"/>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2" tint="-0.249977111117893"/>
        <bgColor indexed="64"/>
      </patternFill>
    </fill>
    <fill>
      <patternFill patternType="solid">
        <fgColor theme="7" tint="0.39997558519241921"/>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right/>
      <top/>
      <bottom style="hair">
        <color indexed="64"/>
      </bottom>
      <diagonal/>
    </border>
    <border>
      <left/>
      <right/>
      <top style="hair">
        <color indexed="64"/>
      </top>
      <bottom style="hair">
        <color indexed="64"/>
      </bottom>
      <diagonal/>
    </border>
    <border>
      <left style="medium">
        <color indexed="64"/>
      </left>
      <right style="medium">
        <color indexed="64"/>
      </right>
      <top/>
      <bottom style="thin">
        <color indexed="64"/>
      </bottom>
      <diagonal/>
    </border>
    <border>
      <left/>
      <right/>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style="medium">
        <color indexed="64"/>
      </top>
      <bottom style="double">
        <color indexed="64"/>
      </bottom>
      <diagonal/>
    </border>
    <border>
      <left/>
      <right/>
      <top/>
      <bottom style="medium">
        <color theme="4" tint="0.79998168889431442"/>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s>
  <cellStyleXfs count="8">
    <xf numFmtId="0" fontId="0" fillId="0" borderId="0"/>
    <xf numFmtId="165" fontId="1" fillId="0" borderId="0" applyFont="0" applyFill="0" applyBorder="0" applyAlignment="0" applyProtection="0"/>
    <xf numFmtId="166" fontId="25" fillId="0" borderId="0" applyFont="0" applyFill="0" applyBorder="0" applyAlignment="0" applyProtection="0"/>
    <xf numFmtId="9" fontId="25" fillId="0" borderId="0" applyFont="0" applyFill="0" applyBorder="0" applyAlignment="0" applyProtection="0"/>
    <xf numFmtId="0" fontId="45" fillId="0" borderId="0"/>
    <xf numFmtId="0" fontId="1" fillId="0" borderId="0"/>
    <xf numFmtId="9" fontId="1" fillId="0" borderId="0" applyFont="0" applyFill="0" applyBorder="0" applyAlignment="0" applyProtection="0"/>
    <xf numFmtId="0" fontId="58" fillId="0" borderId="0" applyNumberFormat="0" applyFill="0" applyBorder="0" applyAlignment="0" applyProtection="0">
      <alignment vertical="top"/>
      <protection locked="0"/>
    </xf>
  </cellStyleXfs>
  <cellXfs count="1732">
    <xf numFmtId="0" fontId="0" fillId="0" borderId="0" xfId="0"/>
    <xf numFmtId="0" fontId="0" fillId="0" borderId="0" xfId="0" applyAlignment="1">
      <alignment horizontal="left"/>
    </xf>
    <xf numFmtId="0" fontId="0" fillId="0" borderId="0" xfId="0" applyAlignment="1">
      <alignment horizontal="center"/>
    </xf>
    <xf numFmtId="0" fontId="0" fillId="0" borderId="1" xfId="0" applyBorder="1" applyAlignment="1">
      <alignment horizontal="center"/>
    </xf>
    <xf numFmtId="0" fontId="0" fillId="0" borderId="1" xfId="0" applyBorder="1" applyAlignment="1">
      <alignment wrapText="1"/>
    </xf>
    <xf numFmtId="167" fontId="0" fillId="0" borderId="1" xfId="0" applyNumberFormat="1" applyBorder="1"/>
    <xf numFmtId="167" fontId="0" fillId="0" borderId="2" xfId="0" applyNumberFormat="1" applyBorder="1"/>
    <xf numFmtId="0" fontId="0" fillId="0" borderId="3" xfId="0" applyBorder="1" applyAlignment="1">
      <alignment wrapText="1"/>
    </xf>
    <xf numFmtId="0" fontId="0" fillId="0" borderId="3" xfId="0" applyBorder="1" applyAlignment="1">
      <alignment horizontal="center"/>
    </xf>
    <xf numFmtId="167" fontId="0" fillId="0" borderId="4" xfId="0" applyNumberFormat="1" applyBorder="1"/>
    <xf numFmtId="0" fontId="0" fillId="0" borderId="5" xfId="0" applyBorder="1" applyAlignment="1">
      <alignment horizontal="left"/>
    </xf>
    <xf numFmtId="0" fontId="0" fillId="0" borderId="5" xfId="0" applyBorder="1" applyAlignment="1">
      <alignment horizontal="center"/>
    </xf>
    <xf numFmtId="167" fontId="0" fillId="0" borderId="6" xfId="0" applyNumberFormat="1" applyBorder="1"/>
    <xf numFmtId="0" fontId="9" fillId="0" borderId="7" xfId="0" applyFont="1" applyBorder="1" applyAlignment="1">
      <alignment horizontal="left"/>
    </xf>
    <xf numFmtId="0" fontId="9" fillId="0" borderId="8" xfId="0" applyFont="1" applyBorder="1" applyAlignment="1">
      <alignment horizontal="left"/>
    </xf>
    <xf numFmtId="0" fontId="9" fillId="0" borderId="8" xfId="0" applyFont="1" applyBorder="1"/>
    <xf numFmtId="0" fontId="9" fillId="0" borderId="8" xfId="0" applyFont="1" applyBorder="1" applyAlignment="1">
      <alignment horizontal="center"/>
    </xf>
    <xf numFmtId="0" fontId="4" fillId="0" borderId="9" xfId="0" applyFont="1" applyBorder="1" applyAlignment="1">
      <alignment horizontal="left"/>
    </xf>
    <xf numFmtId="0" fontId="0" fillId="0" borderId="9" xfId="0" applyBorder="1" applyAlignment="1">
      <alignment horizontal="left"/>
    </xf>
    <xf numFmtId="0" fontId="0" fillId="0" borderId="9" xfId="0" applyBorder="1"/>
    <xf numFmtId="0" fontId="0" fillId="0" borderId="9" xfId="0" applyBorder="1" applyAlignment="1">
      <alignment horizontal="center"/>
    </xf>
    <xf numFmtId="14" fontId="0" fillId="0" borderId="0" xfId="0" applyNumberFormat="1" applyAlignment="1">
      <alignment horizontal="left"/>
    </xf>
    <xf numFmtId="0" fontId="0" fillId="0" borderId="1" xfId="0" applyBorder="1" applyAlignment="1">
      <alignment horizontal="left" vertical="top"/>
    </xf>
    <xf numFmtId="0" fontId="0" fillId="0" borderId="10" xfId="0" applyBorder="1" applyAlignment="1">
      <alignment horizontal="left" vertical="top"/>
    </xf>
    <xf numFmtId="0" fontId="0" fillId="0" borderId="11" xfId="0" applyBorder="1" applyAlignment="1">
      <alignment horizontal="left" vertical="top"/>
    </xf>
    <xf numFmtId="0" fontId="0" fillId="0" borderId="3" xfId="0" applyBorder="1" applyAlignment="1">
      <alignment horizontal="left" vertical="top"/>
    </xf>
    <xf numFmtId="0" fontId="0" fillId="0" borderId="0" xfId="0" applyBorder="1" applyAlignment="1">
      <alignment horizontal="left" vertical="top"/>
    </xf>
    <xf numFmtId="0" fontId="0" fillId="0" borderId="0" xfId="0" applyBorder="1" applyAlignment="1">
      <alignment wrapText="1"/>
    </xf>
    <xf numFmtId="0" fontId="0" fillId="0" borderId="0" xfId="0" applyBorder="1" applyAlignment="1">
      <alignment horizontal="center"/>
    </xf>
    <xf numFmtId="167" fontId="0" fillId="0" borderId="0" xfId="0" applyNumberFormat="1" applyBorder="1"/>
    <xf numFmtId="0" fontId="0" fillId="0" borderId="7" xfId="0" applyBorder="1" applyAlignment="1">
      <alignment horizontal="left" vertical="top"/>
    </xf>
    <xf numFmtId="0" fontId="0" fillId="0" borderId="8" xfId="0" applyBorder="1" applyAlignment="1">
      <alignment horizontal="center"/>
    </xf>
    <xf numFmtId="167" fontId="0" fillId="0" borderId="12" xfId="0" applyNumberFormat="1" applyBorder="1"/>
    <xf numFmtId="0" fontId="5" fillId="0" borderId="0" xfId="0" applyFont="1"/>
    <xf numFmtId="0" fontId="0" fillId="0" borderId="1" xfId="0" applyBorder="1" applyAlignment="1">
      <alignment horizontal="center" vertical="top"/>
    </xf>
    <xf numFmtId="0" fontId="0" fillId="0" borderId="3" xfId="0" applyBorder="1" applyAlignment="1">
      <alignment horizontal="center" vertical="top"/>
    </xf>
    <xf numFmtId="0" fontId="5" fillId="0" borderId="0" xfId="0" applyFont="1" applyAlignment="1">
      <alignment horizontal="left"/>
    </xf>
    <xf numFmtId="0" fontId="9" fillId="0" borderId="12" xfId="0" applyFont="1" applyBorder="1" applyAlignment="1">
      <alignment horizontal="center"/>
    </xf>
    <xf numFmtId="0" fontId="3" fillId="0" borderId="0" xfId="0" applyFont="1" applyBorder="1"/>
    <xf numFmtId="167" fontId="3" fillId="0" borderId="0" xfId="0" applyNumberFormat="1" applyFont="1" applyBorder="1"/>
    <xf numFmtId="0" fontId="5" fillId="0" borderId="13" xfId="0" applyFont="1" applyBorder="1" applyAlignment="1">
      <alignment horizontal="left"/>
    </xf>
    <xf numFmtId="0" fontId="5" fillId="0" borderId="5" xfId="0" applyFont="1" applyBorder="1" applyAlignment="1">
      <alignment wrapText="1"/>
    </xf>
    <xf numFmtId="0" fontId="5" fillId="0" borderId="8" xfId="0" applyFont="1" applyBorder="1" applyAlignment="1">
      <alignment horizontal="left" vertical="top"/>
    </xf>
    <xf numFmtId="0" fontId="5" fillId="0" borderId="1" xfId="0" applyFont="1" applyBorder="1" applyAlignment="1">
      <alignment horizontal="left" vertical="top"/>
    </xf>
    <xf numFmtId="0" fontId="5" fillId="0" borderId="3" xfId="0" applyFont="1" applyBorder="1" applyAlignment="1">
      <alignment horizontal="left" vertical="top"/>
    </xf>
    <xf numFmtId="0" fontId="6" fillId="0" borderId="0" xfId="0" applyFont="1" applyAlignment="1">
      <alignment horizontal="left"/>
    </xf>
    <xf numFmtId="0" fontId="6" fillId="0" borderId="0" xfId="0" applyFont="1"/>
    <xf numFmtId="0" fontId="6" fillId="0" borderId="0" xfId="0" applyFont="1" applyAlignment="1">
      <alignment horizontal="center"/>
    </xf>
    <xf numFmtId="0" fontId="0" fillId="2" borderId="14" xfId="0" applyFill="1" applyBorder="1" applyAlignment="1">
      <alignment horizontal="left"/>
    </xf>
    <xf numFmtId="0" fontId="0" fillId="2" borderId="15" xfId="0" applyFill="1" applyBorder="1"/>
    <xf numFmtId="0" fontId="7" fillId="2" borderId="16" xfId="0" applyFont="1" applyFill="1" applyBorder="1" applyAlignment="1">
      <alignment horizontal="left"/>
    </xf>
    <xf numFmtId="0" fontId="3" fillId="0" borderId="17" xfId="0" applyFont="1" applyBorder="1" applyAlignment="1">
      <alignment horizontal="center" vertical="center"/>
    </xf>
    <xf numFmtId="0" fontId="0" fillId="0" borderId="0" xfId="0" applyAlignment="1">
      <alignment horizontal="center" vertical="center"/>
    </xf>
    <xf numFmtId="167" fontId="3" fillId="0" borderId="0" xfId="0" applyNumberFormat="1" applyFont="1" applyBorder="1" applyAlignment="1">
      <alignment horizontal="center" vertical="center"/>
    </xf>
    <xf numFmtId="167" fontId="3" fillId="0" borderId="18" xfId="0" applyNumberFormat="1" applyFont="1" applyBorder="1" applyAlignment="1">
      <alignment horizontal="right" vertical="center"/>
    </xf>
    <xf numFmtId="0" fontId="3" fillId="0" borderId="0" xfId="0" applyFont="1" applyAlignment="1"/>
    <xf numFmtId="0" fontId="5" fillId="0" borderId="19" xfId="0" applyFont="1" applyBorder="1" applyAlignment="1">
      <alignment horizontal="left" vertical="top"/>
    </xf>
    <xf numFmtId="0" fontId="0" fillId="0" borderId="19" xfId="0" applyBorder="1" applyAlignment="1">
      <alignment wrapText="1"/>
    </xf>
    <xf numFmtId="0" fontId="0" fillId="0" borderId="19" xfId="0" applyBorder="1" applyAlignment="1">
      <alignment horizontal="center"/>
    </xf>
    <xf numFmtId="167" fontId="0" fillId="0" borderId="20" xfId="0" applyNumberFormat="1" applyBorder="1"/>
    <xf numFmtId="14" fontId="5" fillId="0" borderId="10" xfId="0" applyNumberFormat="1" applyFont="1" applyBorder="1" applyAlignment="1">
      <alignment horizontal="left" vertical="top"/>
    </xf>
    <xf numFmtId="167" fontId="0" fillId="0" borderId="2" xfId="0" applyNumberFormat="1" applyBorder="1" applyAlignment="1">
      <alignment vertical="top"/>
    </xf>
    <xf numFmtId="167" fontId="0" fillId="0" borderId="2" xfId="0" applyNumberFormat="1" applyBorder="1" applyAlignment="1">
      <alignment horizontal="right" vertical="top"/>
    </xf>
    <xf numFmtId="167" fontId="0" fillId="0" borderId="4" xfId="0" applyNumberFormat="1" applyBorder="1" applyAlignment="1">
      <alignment vertical="top"/>
    </xf>
    <xf numFmtId="167" fontId="3" fillId="0" borderId="18" xfId="0" applyNumberFormat="1" applyFont="1" applyBorder="1" applyAlignment="1">
      <alignment horizontal="right" vertical="top"/>
    </xf>
    <xf numFmtId="0" fontId="0" fillId="0" borderId="7" xfId="0" applyBorder="1"/>
    <xf numFmtId="0" fontId="0" fillId="0" borderId="10" xfId="0" applyBorder="1"/>
    <xf numFmtId="0" fontId="0" fillId="0" borderId="11" xfId="0" applyBorder="1"/>
    <xf numFmtId="0" fontId="3" fillId="0" borderId="7" xfId="0" applyFont="1" applyBorder="1"/>
    <xf numFmtId="0" fontId="5" fillId="3" borderId="8" xfId="0" applyFont="1" applyFill="1" applyBorder="1" applyAlignment="1">
      <alignment horizontal="center"/>
    </xf>
    <xf numFmtId="0" fontId="0" fillId="3" borderId="3" xfId="0" applyFill="1" applyBorder="1" applyAlignment="1">
      <alignment horizontal="center"/>
    </xf>
    <xf numFmtId="0" fontId="3" fillId="3" borderId="17" xfId="0" applyFont="1" applyFill="1" applyBorder="1"/>
    <xf numFmtId="167" fontId="3" fillId="3" borderId="18" xfId="0" applyNumberFormat="1" applyFont="1" applyFill="1" applyBorder="1"/>
    <xf numFmtId="0" fontId="0" fillId="0" borderId="21" xfId="0" applyBorder="1" applyAlignment="1">
      <alignment horizontal="left" vertical="top"/>
    </xf>
    <xf numFmtId="0" fontId="0" fillId="0" borderId="22" xfId="0" applyBorder="1" applyAlignment="1">
      <alignment horizontal="left" vertical="top"/>
    </xf>
    <xf numFmtId="0" fontId="0" fillId="0" borderId="22" xfId="0" applyBorder="1" applyAlignment="1">
      <alignment wrapText="1"/>
    </xf>
    <xf numFmtId="0" fontId="0" fillId="0" borderId="22" xfId="0" applyBorder="1" applyAlignment="1">
      <alignment horizontal="center" vertical="top"/>
    </xf>
    <xf numFmtId="167" fontId="0" fillId="0" borderId="23" xfId="0" applyNumberFormat="1" applyBorder="1" applyAlignment="1">
      <alignment vertical="top"/>
    </xf>
    <xf numFmtId="0" fontId="10" fillId="0" borderId="1" xfId="0" applyFont="1" applyBorder="1" applyAlignment="1">
      <alignment wrapText="1"/>
    </xf>
    <xf numFmtId="0" fontId="3" fillId="0" borderId="27" xfId="0" applyFont="1" applyBorder="1" applyAlignment="1">
      <alignment horizontal="center"/>
    </xf>
    <xf numFmtId="0" fontId="7" fillId="4" borderId="16" xfId="0" applyFont="1" applyFill="1" applyBorder="1" applyAlignment="1">
      <alignment horizontal="left"/>
    </xf>
    <xf numFmtId="0" fontId="0" fillId="4" borderId="14" xfId="0" applyFill="1" applyBorder="1" applyAlignment="1">
      <alignment horizontal="left"/>
    </xf>
    <xf numFmtId="0" fontId="0" fillId="4" borderId="14" xfId="0" applyFill="1" applyBorder="1"/>
    <xf numFmtId="0" fontId="0" fillId="4" borderId="14" xfId="0" applyFill="1" applyBorder="1" applyAlignment="1">
      <alignment horizontal="center"/>
    </xf>
    <xf numFmtId="0" fontId="0" fillId="4" borderId="15" xfId="0" applyFill="1" applyBorder="1"/>
    <xf numFmtId="0" fontId="5" fillId="0" borderId="1" xfId="0" applyFont="1" applyBorder="1" applyAlignment="1">
      <alignment wrapText="1"/>
    </xf>
    <xf numFmtId="0" fontId="5" fillId="0" borderId="8" xfId="0" applyFont="1" applyBorder="1" applyAlignment="1">
      <alignment wrapText="1"/>
    </xf>
    <xf numFmtId="0" fontId="5" fillId="0" borderId="1" xfId="0" applyFont="1" applyBorder="1" applyAlignment="1">
      <alignment vertical="top" wrapText="1"/>
    </xf>
    <xf numFmtId="0" fontId="5" fillId="0" borderId="0" xfId="0" applyFont="1" applyBorder="1" applyAlignment="1">
      <alignment wrapText="1"/>
    </xf>
    <xf numFmtId="167" fontId="0" fillId="2" borderId="1" xfId="0" applyNumberFormat="1" applyFill="1" applyBorder="1"/>
    <xf numFmtId="167" fontId="0" fillId="2" borderId="1" xfId="0" applyNumberFormat="1" applyFill="1" applyBorder="1" applyAlignment="1">
      <alignment horizontal="right"/>
    </xf>
    <xf numFmtId="167" fontId="0" fillId="2" borderId="22" xfId="0" applyNumberFormat="1" applyFill="1" applyBorder="1"/>
    <xf numFmtId="167" fontId="0" fillId="2" borderId="3" xfId="0" applyNumberFormat="1" applyFill="1" applyBorder="1"/>
    <xf numFmtId="167" fontId="0" fillId="2" borderId="8" xfId="0" applyNumberFormat="1" applyFill="1" applyBorder="1"/>
    <xf numFmtId="167" fontId="0" fillId="2" borderId="19" xfId="0" applyNumberFormat="1" applyFill="1" applyBorder="1"/>
    <xf numFmtId="167" fontId="0" fillId="2" borderId="5" xfId="0" applyNumberFormat="1" applyFill="1" applyBorder="1"/>
    <xf numFmtId="0" fontId="3" fillId="0" borderId="9" xfId="0" applyFont="1" applyBorder="1" applyAlignment="1">
      <alignment horizontal="left"/>
    </xf>
    <xf numFmtId="168" fontId="0" fillId="0" borderId="1" xfId="1" applyNumberFormat="1" applyFont="1" applyBorder="1" applyAlignment="1">
      <alignment horizontal="right"/>
    </xf>
    <xf numFmtId="0" fontId="0" fillId="0" borderId="1" xfId="0" applyBorder="1"/>
    <xf numFmtId="0" fontId="5" fillId="0" borderId="1" xfId="0" applyFont="1" applyBorder="1" applyAlignment="1">
      <alignment horizontal="left"/>
    </xf>
    <xf numFmtId="0" fontId="5" fillId="0" borderId="1" xfId="0" applyFont="1" applyBorder="1"/>
    <xf numFmtId="9" fontId="0" fillId="3" borderId="18" xfId="0" applyNumberFormat="1" applyFill="1" applyBorder="1"/>
    <xf numFmtId="0" fontId="3" fillId="3" borderId="17" xfId="0" applyFont="1" applyFill="1" applyBorder="1" applyAlignment="1">
      <alignment horizontal="right"/>
    </xf>
    <xf numFmtId="0" fontId="13" fillId="3" borderId="17" xfId="0" applyFont="1" applyFill="1" applyBorder="1" applyAlignment="1">
      <alignment horizontal="right"/>
    </xf>
    <xf numFmtId="0" fontId="14" fillId="0" borderId="0" xfId="0" applyFont="1" applyAlignment="1">
      <alignment horizontal="right"/>
    </xf>
    <xf numFmtId="0" fontId="5" fillId="3" borderId="1" xfId="0" applyFont="1" applyFill="1" applyBorder="1" applyAlignment="1">
      <alignment horizontal="center"/>
    </xf>
    <xf numFmtId="0" fontId="3" fillId="0" borderId="0" xfId="0" applyFont="1" applyAlignment="1">
      <alignment horizontal="left"/>
    </xf>
    <xf numFmtId="0" fontId="12" fillId="4" borderId="14" xfId="0" applyFont="1" applyFill="1" applyBorder="1"/>
    <xf numFmtId="0" fontId="10" fillId="0" borderId="0" xfId="0" applyFont="1" applyBorder="1" applyAlignment="1">
      <alignment wrapText="1"/>
    </xf>
    <xf numFmtId="0" fontId="0" fillId="0" borderId="0" xfId="0" applyBorder="1"/>
    <xf numFmtId="168" fontId="0" fillId="0" borderId="0" xfId="1" applyNumberFormat="1" applyFont="1" applyBorder="1" applyAlignment="1">
      <alignment horizontal="right"/>
    </xf>
    <xf numFmtId="0" fontId="12" fillId="0" borderId="0" xfId="0" applyFont="1"/>
    <xf numFmtId="0" fontId="0" fillId="5" borderId="0" xfId="0" applyFill="1"/>
    <xf numFmtId="0" fontId="0" fillId="5" borderId="0" xfId="0" applyFill="1" applyAlignment="1">
      <alignment horizontal="left"/>
    </xf>
    <xf numFmtId="0" fontId="4" fillId="0" borderId="0" xfId="0" applyFont="1" applyBorder="1" applyAlignment="1">
      <alignment horizontal="left"/>
    </xf>
    <xf numFmtId="0" fontId="0" fillId="0" borderId="0" xfId="0" applyBorder="1" applyAlignment="1">
      <alignment horizontal="left"/>
    </xf>
    <xf numFmtId="0" fontId="0" fillId="5" borderId="0" xfId="0" applyFill="1" applyAlignment="1">
      <alignment horizontal="center"/>
    </xf>
    <xf numFmtId="167" fontId="3" fillId="5" borderId="0" xfId="0"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0" fontId="5" fillId="0" borderId="0" xfId="0" applyFont="1" applyBorder="1" applyAlignment="1">
      <alignment horizontal="center"/>
    </xf>
    <xf numFmtId="0" fontId="5" fillId="0" borderId="0" xfId="0" applyFont="1" applyBorder="1" applyAlignment="1">
      <alignment horizontal="right"/>
    </xf>
    <xf numFmtId="0" fontId="0" fillId="0" borderId="30" xfId="0" applyBorder="1"/>
    <xf numFmtId="0" fontId="0" fillId="0" borderId="31" xfId="0" applyBorder="1" applyAlignment="1">
      <alignment horizontal="left"/>
    </xf>
    <xf numFmtId="0" fontId="0" fillId="0" borderId="31" xfId="0" applyBorder="1"/>
    <xf numFmtId="0" fontId="0" fillId="0" borderId="31" xfId="0" applyBorder="1" applyAlignment="1">
      <alignment horizontal="center"/>
    </xf>
    <xf numFmtId="0" fontId="0" fillId="6" borderId="32" xfId="0" applyFill="1" applyBorder="1"/>
    <xf numFmtId="0" fontId="0" fillId="0" borderId="33" xfId="0" applyBorder="1"/>
    <xf numFmtId="0" fontId="6" fillId="2" borderId="0" xfId="0" applyFont="1" applyFill="1" applyBorder="1" applyAlignment="1">
      <alignment horizontal="left"/>
    </xf>
    <xf numFmtId="0" fontId="6" fillId="2" borderId="0" xfId="0" applyFont="1" applyFill="1" applyBorder="1"/>
    <xf numFmtId="0" fontId="6" fillId="2" borderId="0" xfId="0" applyFont="1" applyFill="1" applyBorder="1" applyAlignment="1">
      <alignment horizontal="center"/>
    </xf>
    <xf numFmtId="0" fontId="0" fillId="6" borderId="34" xfId="0" applyFill="1" applyBorder="1"/>
    <xf numFmtId="0" fontId="6" fillId="0" borderId="0" xfId="0" applyFont="1" applyBorder="1" applyAlignment="1">
      <alignment horizontal="left"/>
    </xf>
    <xf numFmtId="0" fontId="5" fillId="0" borderId="0" xfId="0" applyFont="1" applyBorder="1" applyAlignment="1">
      <alignment horizontal="left"/>
    </xf>
    <xf numFmtId="0" fontId="6" fillId="0" borderId="0" xfId="0" applyFont="1" applyBorder="1"/>
    <xf numFmtId="0" fontId="6" fillId="0" borderId="0" xfId="0" applyFont="1" applyBorder="1" applyAlignment="1">
      <alignment horizontal="center"/>
    </xf>
    <xf numFmtId="0" fontId="0" fillId="0" borderId="35" xfId="0" applyBorder="1"/>
    <xf numFmtId="0" fontId="0" fillId="6" borderId="6" xfId="0" applyFill="1" applyBorder="1"/>
    <xf numFmtId="0" fontId="3" fillId="7" borderId="0" xfId="0" applyFont="1" applyFill="1"/>
    <xf numFmtId="49" fontId="3" fillId="7" borderId="1" xfId="0" applyNumberFormat="1" applyFont="1" applyFill="1" applyBorder="1" applyAlignment="1" applyProtection="1">
      <alignment horizontal="center" vertical="center" wrapText="1"/>
      <protection locked="0"/>
    </xf>
    <xf numFmtId="167" fontId="0" fillId="6" borderId="1" xfId="0" applyNumberFormat="1" applyFill="1" applyBorder="1" applyAlignment="1">
      <alignment horizontal="right"/>
    </xf>
    <xf numFmtId="167" fontId="0" fillId="6" borderId="19" xfId="0" applyNumberFormat="1" applyFill="1" applyBorder="1"/>
    <xf numFmtId="0" fontId="5" fillId="0" borderId="1" xfId="0" applyFont="1" applyBorder="1" applyAlignment="1">
      <alignment horizontal="center"/>
    </xf>
    <xf numFmtId="0" fontId="14" fillId="0" borderId="0" xfId="0" applyFont="1" applyAlignment="1">
      <alignment horizontal="center"/>
    </xf>
    <xf numFmtId="0" fontId="0" fillId="0" borderId="1" xfId="0" applyBorder="1" applyAlignment="1" applyProtection="1">
      <alignment wrapText="1"/>
      <protection locked="0"/>
    </xf>
    <xf numFmtId="0" fontId="0" fillId="0" borderId="19" xfId="0" applyBorder="1" applyAlignment="1" applyProtection="1">
      <alignment horizontal="center"/>
      <protection locked="0"/>
    </xf>
    <xf numFmtId="0" fontId="0" fillId="0" borderId="1" xfId="0" applyBorder="1" applyAlignment="1" applyProtection="1">
      <alignment horizontal="center" vertical="top"/>
      <protection locked="0"/>
    </xf>
    <xf numFmtId="0" fontId="0" fillId="0" borderId="3" xfId="0" applyBorder="1" applyAlignment="1" applyProtection="1">
      <alignment horizontal="center" vertical="top"/>
      <protection locked="0"/>
    </xf>
    <xf numFmtId="0" fontId="0" fillId="0" borderId="1" xfId="0" applyBorder="1" applyAlignment="1" applyProtection="1">
      <alignment horizontal="center"/>
      <protection locked="0"/>
    </xf>
    <xf numFmtId="0" fontId="0" fillId="0" borderId="3" xfId="0" applyBorder="1" applyAlignment="1" applyProtection="1">
      <alignment horizontal="center"/>
      <protection locked="0"/>
    </xf>
    <xf numFmtId="0" fontId="0" fillId="0" borderId="5" xfId="0" applyBorder="1" applyAlignment="1" applyProtection="1">
      <alignment horizontal="center"/>
      <protection locked="0"/>
    </xf>
    <xf numFmtId="0" fontId="13" fillId="3" borderId="17" xfId="0" applyFont="1" applyFill="1" applyBorder="1" applyAlignment="1" applyProtection="1">
      <alignment horizontal="right"/>
      <protection locked="0"/>
    </xf>
    <xf numFmtId="0" fontId="5" fillId="0" borderId="1" xfId="0" applyFont="1" applyBorder="1" applyAlignment="1" applyProtection="1">
      <alignment horizontal="left"/>
      <protection locked="0"/>
    </xf>
    <xf numFmtId="0" fontId="0" fillId="0" borderId="0" xfId="0" applyBorder="1" applyProtection="1">
      <protection locked="0"/>
    </xf>
    <xf numFmtId="0" fontId="0" fillId="0" borderId="1" xfId="0" applyBorder="1" applyProtection="1">
      <protection locked="0"/>
    </xf>
    <xf numFmtId="168" fontId="0" fillId="0" borderId="1" xfId="1" applyNumberFormat="1" applyFont="1" applyBorder="1" applyAlignment="1" applyProtection="1">
      <alignment horizontal="right"/>
      <protection locked="0"/>
    </xf>
    <xf numFmtId="168" fontId="0" fillId="0" borderId="0" xfId="1" applyNumberFormat="1" applyFont="1" applyBorder="1" applyAlignment="1" applyProtection="1">
      <alignment horizontal="right"/>
      <protection locked="0"/>
    </xf>
    <xf numFmtId="0" fontId="1" fillId="0" borderId="1" xfId="0" applyFont="1" applyBorder="1" applyAlignment="1">
      <alignment wrapText="1"/>
    </xf>
    <xf numFmtId="0" fontId="1" fillId="0" borderId="1" xfId="0" applyFont="1" applyBorder="1" applyAlignment="1">
      <alignment horizontal="center"/>
    </xf>
    <xf numFmtId="169" fontId="0" fillId="6" borderId="1" xfId="0" applyNumberFormat="1" applyFill="1" applyBorder="1" applyAlignment="1">
      <alignment horizontal="right"/>
    </xf>
    <xf numFmtId="169" fontId="0" fillId="0" borderId="2" xfId="0" applyNumberFormat="1" applyBorder="1" applyAlignment="1">
      <alignment vertical="top"/>
    </xf>
    <xf numFmtId="0" fontId="0" fillId="6" borderId="28" xfId="0" applyFill="1" applyBorder="1"/>
    <xf numFmtId="0" fontId="3" fillId="6" borderId="28" xfId="0" applyFont="1" applyFill="1" applyBorder="1" applyAlignment="1">
      <alignment horizontal="left" indent="2"/>
    </xf>
    <xf numFmtId="0" fontId="0" fillId="6" borderId="0" xfId="0" applyFill="1" applyBorder="1"/>
    <xf numFmtId="0" fontId="18" fillId="0" borderId="0" xfId="0" applyFont="1"/>
    <xf numFmtId="0" fontId="5" fillId="0" borderId="10" xfId="0" applyNumberFormat="1" applyFont="1" applyBorder="1" applyAlignment="1">
      <alignment horizontal="left" vertical="top"/>
    </xf>
    <xf numFmtId="0" fontId="0" fillId="8" borderId="0" xfId="0" applyFill="1"/>
    <xf numFmtId="0" fontId="15" fillId="6" borderId="28" xfId="0" applyFont="1" applyFill="1" applyBorder="1"/>
    <xf numFmtId="0" fontId="6" fillId="6" borderId="0" xfId="0" applyFont="1" applyFill="1"/>
    <xf numFmtId="0" fontId="1" fillId="6" borderId="0" xfId="0" applyFont="1" applyFill="1"/>
    <xf numFmtId="0" fontId="5" fillId="6" borderId="0" xfId="0" applyFont="1" applyFill="1"/>
    <xf numFmtId="168" fontId="0" fillId="6" borderId="0" xfId="1" applyNumberFormat="1" applyFont="1" applyFill="1"/>
    <xf numFmtId="0" fontId="19" fillId="6" borderId="0" xfId="0" applyFont="1" applyFill="1"/>
    <xf numFmtId="0" fontId="3" fillId="6" borderId="28" xfId="0" applyFont="1" applyFill="1" applyBorder="1"/>
    <xf numFmtId="0" fontId="11" fillId="6" borderId="0" xfId="0" applyFont="1" applyFill="1" applyBorder="1" applyAlignment="1">
      <alignment horizontal="left" vertical="top" indent="1"/>
    </xf>
    <xf numFmtId="0" fontId="20" fillId="6" borderId="0" xfId="0" applyFont="1" applyFill="1"/>
    <xf numFmtId="0" fontId="21" fillId="6" borderId="0" xfId="0" applyFont="1" applyFill="1" applyAlignment="1">
      <alignment horizontal="left"/>
    </xf>
    <xf numFmtId="0" fontId="8" fillId="6" borderId="0" xfId="0" applyFont="1" applyFill="1"/>
    <xf numFmtId="0" fontId="8" fillId="6" borderId="0" xfId="0" applyFont="1" applyFill="1" applyAlignment="1">
      <alignment horizontal="left" indent="2"/>
    </xf>
    <xf numFmtId="0" fontId="0" fillId="6" borderId="0" xfId="0" applyFill="1" applyAlignment="1">
      <alignment horizontal="left" indent="2"/>
    </xf>
    <xf numFmtId="0" fontId="3" fillId="6" borderId="0" xfId="0" applyFont="1" applyFill="1"/>
    <xf numFmtId="14" fontId="3" fillId="7" borderId="0" xfId="0" applyNumberFormat="1" applyFont="1" applyFill="1"/>
    <xf numFmtId="165" fontId="0" fillId="0" borderId="1" xfId="1" applyNumberFormat="1" applyFont="1" applyBorder="1" applyAlignment="1" applyProtection="1">
      <alignment horizontal="right"/>
      <protection locked="0"/>
    </xf>
    <xf numFmtId="0" fontId="3" fillId="6" borderId="0" xfId="0" applyFont="1" applyFill="1" applyAlignment="1">
      <alignment horizontal="left" indent="2"/>
    </xf>
    <xf numFmtId="0" fontId="3" fillId="7" borderId="0" xfId="0" applyFont="1" applyFill="1" applyProtection="1">
      <protection locked="0"/>
    </xf>
    <xf numFmtId="49" fontId="3" fillId="7" borderId="0" xfId="0" applyNumberFormat="1" applyFont="1" applyFill="1" applyBorder="1" applyAlignment="1" applyProtection="1">
      <alignment horizontal="center" vertical="center" wrapText="1"/>
      <protection locked="0"/>
    </xf>
    <xf numFmtId="0" fontId="0" fillId="0" borderId="24" xfId="0" applyBorder="1" applyProtection="1">
      <protection locked="0"/>
    </xf>
    <xf numFmtId="0" fontId="1" fillId="0" borderId="1" xfId="0" applyFont="1" applyBorder="1" applyAlignment="1" applyProtection="1">
      <alignment wrapText="1"/>
      <protection locked="0"/>
    </xf>
    <xf numFmtId="169" fontId="3" fillId="3" borderId="18" xfId="0" applyNumberFormat="1" applyFont="1" applyFill="1" applyBorder="1" applyProtection="1">
      <protection locked="0"/>
    </xf>
    <xf numFmtId="0" fontId="23" fillId="0" borderId="0" xfId="0" applyFont="1" applyAlignment="1">
      <alignment horizontal="right"/>
    </xf>
    <xf numFmtId="0" fontId="1" fillId="0" borderId="8" xfId="0" applyFont="1" applyBorder="1" applyAlignment="1" applyProtection="1">
      <alignment wrapText="1"/>
      <protection locked="0"/>
    </xf>
    <xf numFmtId="0" fontId="5" fillId="0" borderId="1" xfId="0" applyFont="1" applyBorder="1" applyAlignment="1">
      <alignment horizontal="center"/>
    </xf>
    <xf numFmtId="0" fontId="0" fillId="0" borderId="1" xfId="0" applyBorder="1" applyAlignment="1">
      <alignment horizontal="left"/>
    </xf>
    <xf numFmtId="0" fontId="0" fillId="0" borderId="8" xfId="0" applyBorder="1" applyAlignment="1" applyProtection="1">
      <alignment horizontal="center"/>
    </xf>
    <xf numFmtId="0" fontId="5" fillId="0" borderId="22" xfId="0" applyFont="1" applyBorder="1" applyAlignment="1">
      <alignment horizontal="center"/>
    </xf>
    <xf numFmtId="0" fontId="0" fillId="0" borderId="22" xfId="0" applyBorder="1" applyAlignment="1">
      <alignment horizontal="center"/>
    </xf>
    <xf numFmtId="0" fontId="1" fillId="0" borderId="1" xfId="0" applyFont="1" applyBorder="1" applyAlignment="1">
      <alignment horizontal="left"/>
    </xf>
    <xf numFmtId="0" fontId="0" fillId="0" borderId="1" xfId="0" applyFill="1" applyBorder="1" applyAlignment="1">
      <alignment horizontal="center"/>
    </xf>
    <xf numFmtId="168" fontId="0" fillId="0" borderId="1" xfId="1" applyNumberFormat="1" applyFont="1" applyFill="1" applyBorder="1" applyAlignment="1" applyProtection="1">
      <alignment horizontal="right"/>
      <protection locked="0"/>
    </xf>
    <xf numFmtId="0" fontId="0" fillId="0" borderId="0" xfId="0" applyFill="1" applyBorder="1" applyAlignment="1">
      <alignment horizontal="center"/>
    </xf>
    <xf numFmtId="168" fontId="0" fillId="0" borderId="0" xfId="1" applyNumberFormat="1" applyFont="1" applyFill="1" applyBorder="1" applyAlignment="1">
      <alignment horizontal="right"/>
    </xf>
    <xf numFmtId="0" fontId="1" fillId="5" borderId="0" xfId="0" applyFont="1" applyFill="1"/>
    <xf numFmtId="0" fontId="1" fillId="5" borderId="0" xfId="0" applyFont="1" applyFill="1" applyAlignment="1">
      <alignment horizontal="center" vertical="center"/>
    </xf>
    <xf numFmtId="0" fontId="1" fillId="0" borderId="33" xfId="0" applyFont="1" applyBorder="1"/>
    <xf numFmtId="0" fontId="1" fillId="0" borderId="0" xfId="0" applyFont="1" applyBorder="1" applyAlignment="1">
      <alignment horizontal="left"/>
    </xf>
    <xf numFmtId="0" fontId="1" fillId="0" borderId="0" xfId="0" applyFont="1"/>
    <xf numFmtId="0" fontId="1" fillId="0" borderId="0" xfId="0" applyFont="1" applyBorder="1" applyAlignment="1">
      <alignment horizontal="center"/>
    </xf>
    <xf numFmtId="0" fontId="1" fillId="0" borderId="1" xfId="0" applyFont="1" applyBorder="1" applyAlignment="1">
      <alignment horizontal="center" vertical="top"/>
    </xf>
    <xf numFmtId="0" fontId="17" fillId="0" borderId="0" xfId="0" applyFont="1"/>
    <xf numFmtId="0" fontId="5" fillId="0" borderId="11" xfId="0" applyNumberFormat="1" applyFont="1" applyBorder="1" applyAlignment="1">
      <alignment horizontal="left" vertical="top"/>
    </xf>
    <xf numFmtId="167" fontId="0" fillId="6" borderId="3" xfId="0" applyNumberFormat="1" applyFill="1" applyBorder="1" applyAlignment="1">
      <alignment horizontal="right"/>
    </xf>
    <xf numFmtId="0" fontId="3" fillId="0" borderId="13" xfId="0" applyFont="1" applyBorder="1" applyAlignment="1">
      <alignment horizontal="center" vertical="center"/>
    </xf>
    <xf numFmtId="0" fontId="0" fillId="0" borderId="3" xfId="0" applyBorder="1" applyProtection="1">
      <protection locked="0"/>
    </xf>
    <xf numFmtId="0" fontId="5" fillId="0" borderId="22" xfId="0" applyFont="1" applyBorder="1" applyAlignment="1">
      <alignment horizontal="left" vertical="top"/>
    </xf>
    <xf numFmtId="0" fontId="0" fillId="0" borderId="22" xfId="0" applyBorder="1" applyAlignment="1" applyProtection="1">
      <alignment horizontal="center"/>
      <protection locked="0"/>
    </xf>
    <xf numFmtId="0" fontId="24" fillId="0" borderId="41" xfId="0" applyFont="1" applyBorder="1" applyAlignment="1">
      <alignment horizontal="left"/>
    </xf>
    <xf numFmtId="0" fontId="9" fillId="0" borderId="42" xfId="0" applyFont="1" applyBorder="1" applyAlignment="1">
      <alignment horizontal="center"/>
    </xf>
    <xf numFmtId="0" fontId="9" fillId="0" borderId="29" xfId="0" applyFont="1" applyBorder="1" applyAlignment="1">
      <alignment horizontal="left"/>
    </xf>
    <xf numFmtId="0" fontId="9" fillId="0" borderId="29" xfId="0" applyFont="1" applyBorder="1"/>
    <xf numFmtId="0" fontId="9" fillId="0" borderId="29" xfId="0" applyFont="1" applyBorder="1" applyAlignment="1">
      <alignment horizontal="center"/>
    </xf>
    <xf numFmtId="0" fontId="5" fillId="0" borderId="43" xfId="0" applyNumberFormat="1" applyFont="1" applyBorder="1" applyAlignment="1">
      <alignment horizontal="left" vertical="top"/>
    </xf>
    <xf numFmtId="0" fontId="1" fillId="0" borderId="1" xfId="0" applyFont="1" applyBorder="1" applyProtection="1">
      <protection locked="0"/>
    </xf>
    <xf numFmtId="0" fontId="0" fillId="0" borderId="0" xfId="0" applyBorder="1" applyAlignment="1" applyProtection="1">
      <alignment horizontal="left" vertical="top" indent="1"/>
      <protection locked="0"/>
    </xf>
    <xf numFmtId="0" fontId="3" fillId="9" borderId="17" xfId="0" applyFont="1" applyFill="1" applyBorder="1" applyAlignment="1">
      <alignment horizontal="left"/>
    </xf>
    <xf numFmtId="0" fontId="7" fillId="7" borderId="9" xfId="0" applyFont="1" applyFill="1" applyBorder="1" applyProtection="1">
      <protection locked="0"/>
    </xf>
    <xf numFmtId="0" fontId="3" fillId="7" borderId="9" xfId="0" applyFont="1" applyFill="1" applyBorder="1" applyProtection="1">
      <protection locked="0"/>
    </xf>
    <xf numFmtId="0" fontId="22" fillId="9" borderId="36" xfId="0" applyFont="1" applyFill="1" applyBorder="1" applyAlignment="1" applyProtection="1">
      <alignment vertical="top" wrapText="1"/>
      <protection locked="0"/>
    </xf>
    <xf numFmtId="0" fontId="3" fillId="9" borderId="1" xfId="0" applyFont="1" applyFill="1" applyBorder="1" applyAlignment="1" applyProtection="1">
      <alignment horizontal="left" vertical="center"/>
      <protection locked="0"/>
    </xf>
    <xf numFmtId="0" fontId="3" fillId="7" borderId="0" xfId="0" applyFont="1" applyFill="1" applyBorder="1" applyAlignment="1" applyProtection="1">
      <alignment horizontal="center"/>
      <protection locked="0"/>
    </xf>
    <xf numFmtId="0" fontId="3" fillId="0" borderId="0" xfId="0" applyFont="1" applyBorder="1" applyAlignment="1">
      <alignment horizontal="center" vertical="center"/>
    </xf>
    <xf numFmtId="167" fontId="3" fillId="0" borderId="0" xfId="0" applyNumberFormat="1" applyFont="1" applyBorder="1" applyAlignment="1">
      <alignment horizontal="right" vertical="center"/>
    </xf>
    <xf numFmtId="0" fontId="0" fillId="0" borderId="7" xfId="0" applyBorder="1" applyAlignment="1" applyProtection="1">
      <alignment horizontal="left" vertical="top"/>
      <protection locked="0"/>
    </xf>
    <xf numFmtId="0" fontId="1" fillId="0" borderId="8" xfId="0" applyFont="1" applyBorder="1" applyAlignment="1" applyProtection="1">
      <alignment horizontal="left" vertical="top"/>
      <protection locked="0"/>
    </xf>
    <xf numFmtId="0" fontId="0" fillId="0" borderId="8" xfId="0" applyBorder="1" applyAlignment="1" applyProtection="1">
      <alignment wrapText="1"/>
      <protection locked="0"/>
    </xf>
    <xf numFmtId="0" fontId="0" fillId="0" borderId="8" xfId="0" applyBorder="1" applyAlignment="1" applyProtection="1">
      <alignment horizontal="center"/>
      <protection locked="0"/>
    </xf>
    <xf numFmtId="167" fontId="0" fillId="6" borderId="8" xfId="0" applyNumberFormat="1" applyFill="1" applyBorder="1" applyProtection="1">
      <protection locked="0"/>
    </xf>
    <xf numFmtId="0" fontId="0" fillId="0" borderId="10" xfId="0" applyBorder="1" applyAlignment="1" applyProtection="1">
      <alignment horizontal="left" vertical="top"/>
      <protection locked="0"/>
    </xf>
    <xf numFmtId="0" fontId="1" fillId="0" borderId="19" xfId="0" applyFont="1" applyBorder="1" applyAlignment="1" applyProtection="1">
      <alignment horizontal="left" vertical="top"/>
      <protection locked="0"/>
    </xf>
    <xf numFmtId="0" fontId="0" fillId="0" borderId="19" xfId="0" applyBorder="1" applyAlignment="1" applyProtection="1">
      <alignment horizontal="left"/>
      <protection locked="0"/>
    </xf>
    <xf numFmtId="167" fontId="0" fillId="6" borderId="19" xfId="0" applyNumberFormat="1" applyFill="1" applyBorder="1" applyProtection="1">
      <protection locked="0"/>
    </xf>
    <xf numFmtId="0" fontId="1" fillId="0" borderId="13" xfId="0" applyFont="1" applyBorder="1" applyAlignment="1" applyProtection="1">
      <alignment horizontal="left"/>
      <protection locked="0"/>
    </xf>
    <xf numFmtId="0" fontId="0" fillId="0" borderId="5" xfId="0" applyBorder="1" applyAlignment="1" applyProtection="1">
      <alignment horizontal="left"/>
      <protection locked="0"/>
    </xf>
    <xf numFmtId="0" fontId="1" fillId="0" borderId="5" xfId="0" applyFont="1" applyBorder="1" applyAlignment="1" applyProtection="1">
      <alignment wrapText="1"/>
      <protection locked="0"/>
    </xf>
    <xf numFmtId="167" fontId="0" fillId="6" borderId="5" xfId="0" applyNumberFormat="1" applyFill="1" applyBorder="1" applyProtection="1">
      <protection locked="0"/>
    </xf>
    <xf numFmtId="0" fontId="18" fillId="7" borderId="0" xfId="0" applyFont="1" applyFill="1" applyProtection="1">
      <protection locked="0"/>
    </xf>
    <xf numFmtId="169" fontId="3" fillId="3" borderId="18" xfId="0" applyNumberFormat="1" applyFont="1" applyFill="1" applyBorder="1"/>
    <xf numFmtId="169" fontId="3" fillId="0" borderId="18" xfId="0" applyNumberFormat="1" applyFont="1" applyBorder="1" applyAlignment="1">
      <alignment horizontal="right" vertical="center"/>
    </xf>
    <xf numFmtId="169" fontId="3" fillId="0" borderId="18" xfId="0" applyNumberFormat="1" applyFont="1" applyBorder="1" applyAlignment="1">
      <alignment horizontal="right" vertical="top"/>
    </xf>
    <xf numFmtId="169" fontId="0" fillId="0" borderId="4" xfId="0" applyNumberFormat="1" applyBorder="1" applyAlignment="1">
      <alignment vertical="top"/>
    </xf>
    <xf numFmtId="169" fontId="0" fillId="0" borderId="12" xfId="0" applyNumberFormat="1" applyBorder="1" applyAlignment="1">
      <alignment vertical="top"/>
    </xf>
    <xf numFmtId="169" fontId="0" fillId="0" borderId="4" xfId="0" applyNumberFormat="1" applyBorder="1" applyAlignment="1">
      <alignment horizontal="right" vertical="top"/>
    </xf>
    <xf numFmtId="169" fontId="0" fillId="0" borderId="12" xfId="0" applyNumberFormat="1" applyBorder="1"/>
    <xf numFmtId="169" fontId="0" fillId="0" borderId="2" xfId="0" applyNumberFormat="1" applyBorder="1"/>
    <xf numFmtId="49" fontId="0" fillId="0" borderId="1" xfId="0" applyNumberFormat="1" applyFill="1" applyBorder="1" applyAlignment="1">
      <alignment horizontal="center"/>
    </xf>
    <xf numFmtId="49" fontId="1" fillId="0" borderId="1" xfId="0" applyNumberFormat="1" applyFont="1" applyFill="1" applyBorder="1" applyAlignment="1">
      <alignment horizontal="center"/>
    </xf>
    <xf numFmtId="0" fontId="0" fillId="0" borderId="51" xfId="0" applyBorder="1" applyAlignment="1" applyProtection="1">
      <alignment wrapText="1"/>
      <protection locked="0"/>
    </xf>
    <xf numFmtId="0" fontId="1" fillId="5" borderId="0" xfId="0" applyFont="1" applyFill="1" applyAlignment="1">
      <alignment horizontal="left"/>
    </xf>
    <xf numFmtId="0" fontId="0" fillId="0" borderId="44" xfId="0" applyBorder="1" applyAlignment="1">
      <alignment horizontal="left" vertical="top" wrapText="1"/>
    </xf>
    <xf numFmtId="0" fontId="1" fillId="0" borderId="1" xfId="0" applyFont="1" applyBorder="1" applyAlignment="1" applyProtection="1">
      <alignment horizontal="left"/>
      <protection locked="0"/>
    </xf>
    <xf numFmtId="0" fontId="1" fillId="0" borderId="1" xfId="0" applyFont="1" applyFill="1" applyBorder="1" applyAlignment="1">
      <alignment horizontal="center"/>
    </xf>
    <xf numFmtId="0" fontId="0" fillId="0" borderId="54" xfId="0" applyBorder="1" applyAlignment="1" applyProtection="1">
      <alignment horizontal="left" vertical="top"/>
      <protection locked="0"/>
    </xf>
    <xf numFmtId="0" fontId="1" fillId="0" borderId="50" xfId="0" applyFont="1" applyBorder="1" applyAlignment="1" applyProtection="1">
      <alignment horizontal="left" vertical="top"/>
      <protection locked="0"/>
    </xf>
    <xf numFmtId="0" fontId="0" fillId="0" borderId="50" xfId="0" applyBorder="1" applyAlignment="1" applyProtection="1">
      <alignment wrapText="1"/>
      <protection locked="0"/>
    </xf>
    <xf numFmtId="0" fontId="0" fillId="0" borderId="50" xfId="0" applyBorder="1" applyAlignment="1" applyProtection="1">
      <alignment horizontal="center"/>
      <protection locked="0"/>
    </xf>
    <xf numFmtId="167" fontId="0" fillId="6" borderId="50" xfId="0" applyNumberFormat="1" applyFill="1" applyBorder="1" applyProtection="1">
      <protection locked="0"/>
    </xf>
    <xf numFmtId="0" fontId="0" fillId="0" borderId="0" xfId="0" applyNumberFormat="1" applyBorder="1" applyAlignment="1" applyProtection="1">
      <alignment horizontal="left" vertical="top" indent="1"/>
      <protection locked="0"/>
    </xf>
    <xf numFmtId="171" fontId="8" fillId="0" borderId="0" xfId="3" applyNumberFormat="1" applyFont="1" applyBorder="1" applyAlignment="1" applyProtection="1">
      <alignment horizontal="left" vertical="top" indent="1"/>
    </xf>
    <xf numFmtId="9" fontId="18" fillId="0" borderId="0" xfId="3" applyFont="1" applyBorder="1" applyAlignment="1" applyProtection="1">
      <alignment horizontal="left" vertical="top" indent="1"/>
    </xf>
    <xf numFmtId="0" fontId="0" fillId="0" borderId="21" xfId="0" applyBorder="1" applyAlignment="1" applyProtection="1">
      <alignment horizontal="left" vertical="top"/>
      <protection locked="0"/>
    </xf>
    <xf numFmtId="0" fontId="5" fillId="0" borderId="22" xfId="0" applyFont="1" applyBorder="1" applyAlignment="1" applyProtection="1">
      <alignment horizontal="left" vertical="top"/>
      <protection locked="0"/>
    </xf>
    <xf numFmtId="0" fontId="0" fillId="0" borderId="11" xfId="0"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22" fillId="5" borderId="0" xfId="0" applyFont="1" applyFill="1"/>
    <xf numFmtId="0" fontId="22" fillId="5" borderId="0" xfId="0" applyFont="1" applyFill="1" applyBorder="1"/>
    <xf numFmtId="0" fontId="30" fillId="5" borderId="0" xfId="0" applyFont="1" applyFill="1"/>
    <xf numFmtId="0" fontId="11" fillId="6" borderId="0" xfId="0" applyFont="1" applyFill="1" applyProtection="1">
      <protection locked="0"/>
    </xf>
    <xf numFmtId="0" fontId="0" fillId="6" borderId="0" xfId="0" applyFill="1" applyProtection="1">
      <protection locked="0"/>
    </xf>
    <xf numFmtId="0" fontId="8" fillId="6" borderId="0" xfId="0" applyFont="1" applyFill="1" applyProtection="1">
      <protection locked="0"/>
    </xf>
    <xf numFmtId="0" fontId="28" fillId="6" borderId="0" xfId="0" applyFont="1" applyFill="1" applyProtection="1">
      <protection locked="0"/>
    </xf>
    <xf numFmtId="0" fontId="29" fillId="6" borderId="28" xfId="0" applyFont="1" applyFill="1" applyBorder="1" applyProtection="1">
      <protection locked="0"/>
    </xf>
    <xf numFmtId="0" fontId="0" fillId="6" borderId="28" xfId="0" applyFill="1" applyBorder="1" applyProtection="1">
      <protection locked="0"/>
    </xf>
    <xf numFmtId="0" fontId="22" fillId="6" borderId="0" xfId="0" applyFont="1" applyFill="1" applyProtection="1">
      <protection locked="0"/>
    </xf>
    <xf numFmtId="0" fontId="22" fillId="6" borderId="0" xfId="0" applyFont="1" applyFill="1" applyBorder="1" applyProtection="1">
      <protection locked="0"/>
    </xf>
    <xf numFmtId="0" fontId="30" fillId="6" borderId="0" xfId="0" applyFont="1" applyFill="1" applyBorder="1" applyAlignment="1" applyProtection="1">
      <alignment horizontal="right"/>
      <protection locked="0"/>
    </xf>
    <xf numFmtId="0" fontId="22" fillId="6" borderId="1" xfId="0" applyFont="1" applyFill="1" applyBorder="1" applyAlignment="1" applyProtection="1">
      <alignment horizontal="center"/>
      <protection locked="0"/>
    </xf>
    <xf numFmtId="0" fontId="30" fillId="6" borderId="0" xfId="0" applyFont="1" applyFill="1" applyProtection="1">
      <protection locked="0"/>
    </xf>
    <xf numFmtId="0" fontId="22" fillId="6" borderId="0" xfId="0" applyFont="1" applyFill="1" applyBorder="1" applyAlignment="1" applyProtection="1">
      <alignment horizontal="center"/>
      <protection locked="0"/>
    </xf>
    <xf numFmtId="0" fontId="22" fillId="6" borderId="28" xfId="0" applyFont="1" applyFill="1" applyBorder="1" applyProtection="1">
      <protection locked="0"/>
    </xf>
    <xf numFmtId="0" fontId="0" fillId="6" borderId="0" xfId="0" applyFill="1" applyBorder="1" applyProtection="1">
      <protection locked="0"/>
    </xf>
    <xf numFmtId="0" fontId="10" fillId="6" borderId="0" xfId="0" applyFont="1" applyFill="1" applyProtection="1">
      <protection locked="0"/>
    </xf>
    <xf numFmtId="0" fontId="10" fillId="6" borderId="28" xfId="0" applyFont="1" applyFill="1" applyBorder="1" applyProtection="1">
      <protection locked="0"/>
    </xf>
    <xf numFmtId="0" fontId="29" fillId="6" borderId="0" xfId="0" applyFont="1" applyFill="1" applyProtection="1">
      <protection locked="0"/>
    </xf>
    <xf numFmtId="0" fontId="30" fillId="6" borderId="0" xfId="0" applyFont="1" applyFill="1" applyAlignment="1" applyProtection="1">
      <alignment horizontal="right"/>
      <protection locked="0"/>
    </xf>
    <xf numFmtId="0" fontId="1" fillId="6" borderId="0" xfId="0" applyFont="1" applyFill="1" applyAlignment="1" applyProtection="1">
      <alignment horizontal="right"/>
      <protection locked="0"/>
    </xf>
    <xf numFmtId="0" fontId="2" fillId="6" borderId="0" xfId="0" applyFont="1" applyFill="1" applyBorder="1" applyAlignment="1" applyProtection="1">
      <alignment horizontal="right"/>
      <protection locked="0"/>
    </xf>
    <xf numFmtId="0" fontId="2" fillId="6" borderId="0" xfId="0" applyFont="1" applyFill="1" applyAlignment="1" applyProtection="1">
      <alignment horizontal="right"/>
      <protection locked="0"/>
    </xf>
    <xf numFmtId="0" fontId="31" fillId="6" borderId="0" xfId="0" applyFont="1" applyFill="1" applyProtection="1">
      <protection locked="0"/>
    </xf>
    <xf numFmtId="0" fontId="30" fillId="6" borderId="0" xfId="0" applyFont="1" applyFill="1" applyAlignment="1" applyProtection="1">
      <alignment horizontal="left" indent="2"/>
      <protection locked="0"/>
    </xf>
    <xf numFmtId="0" fontId="1" fillId="6" borderId="0" xfId="0" applyFont="1" applyFill="1" applyBorder="1" applyProtection="1">
      <protection locked="0"/>
    </xf>
    <xf numFmtId="0" fontId="30" fillId="6" borderId="28" xfId="0" applyFont="1" applyFill="1" applyBorder="1" applyAlignment="1" applyProtection="1">
      <alignment horizontal="left"/>
      <protection locked="0"/>
    </xf>
    <xf numFmtId="0" fontId="30" fillId="6" borderId="0" xfId="0" applyFont="1" applyFill="1" applyAlignment="1" applyProtection="1">
      <alignment horizontal="left"/>
      <protection locked="0"/>
    </xf>
    <xf numFmtId="0" fontId="22" fillId="6" borderId="0" xfId="0" applyFont="1" applyFill="1" applyBorder="1" applyAlignment="1" applyProtection="1">
      <alignment horizontal="left"/>
      <protection locked="0"/>
    </xf>
    <xf numFmtId="0" fontId="28" fillId="6" borderId="0" xfId="0" applyFont="1" applyFill="1" applyBorder="1" applyProtection="1">
      <protection locked="0"/>
    </xf>
    <xf numFmtId="0" fontId="29" fillId="6" borderId="0" xfId="0" applyFont="1" applyFill="1" applyBorder="1" applyProtection="1">
      <protection locked="0"/>
    </xf>
    <xf numFmtId="0" fontId="22" fillId="6" borderId="0" xfId="0" applyFont="1" applyFill="1" applyBorder="1" applyAlignment="1" applyProtection="1">
      <alignment horizontal="right"/>
      <protection locked="0"/>
    </xf>
    <xf numFmtId="0" fontId="30" fillId="6" borderId="0" xfId="0" applyFont="1" applyFill="1" applyBorder="1" applyProtection="1">
      <protection locked="0"/>
    </xf>
    <xf numFmtId="0" fontId="22" fillId="6" borderId="0" xfId="0" applyFont="1" applyFill="1" applyAlignment="1" applyProtection="1">
      <alignment horizontal="right"/>
      <protection locked="0"/>
    </xf>
    <xf numFmtId="0" fontId="30" fillId="6" borderId="1" xfId="0" applyFont="1" applyFill="1" applyBorder="1" applyAlignment="1" applyProtection="1">
      <alignment horizontal="center"/>
      <protection locked="0"/>
    </xf>
    <xf numFmtId="0" fontId="28" fillId="6" borderId="28" xfId="0" applyFont="1" applyFill="1" applyBorder="1" applyProtection="1">
      <protection locked="0"/>
    </xf>
    <xf numFmtId="0" fontId="3" fillId="6" borderId="0" xfId="0" applyFont="1" applyFill="1" applyProtection="1">
      <protection locked="0"/>
    </xf>
    <xf numFmtId="0" fontId="32" fillId="6" borderId="0" xfId="0" applyFont="1" applyFill="1" applyProtection="1">
      <protection locked="0"/>
    </xf>
    <xf numFmtId="0" fontId="0" fillId="6" borderId="1" xfId="0" applyFill="1" applyBorder="1" applyAlignment="1" applyProtection="1">
      <alignment horizontal="center"/>
      <protection locked="0"/>
    </xf>
    <xf numFmtId="0" fontId="1" fillId="6" borderId="0" xfId="0" applyFont="1" applyFill="1" applyProtection="1">
      <protection locked="0"/>
    </xf>
    <xf numFmtId="0" fontId="28" fillId="6" borderId="0" xfId="0" applyFont="1" applyFill="1" applyAlignment="1" applyProtection="1">
      <alignment horizontal="center"/>
      <protection locked="0"/>
    </xf>
    <xf numFmtId="0" fontId="30" fillId="6" borderId="28" xfId="0" applyFont="1" applyFill="1" applyBorder="1" applyAlignment="1" applyProtection="1">
      <alignment horizontal="right"/>
      <protection locked="0"/>
    </xf>
    <xf numFmtId="0" fontId="30" fillId="6" borderId="29" xfId="0" applyFont="1" applyFill="1" applyBorder="1" applyAlignment="1" applyProtection="1">
      <alignment horizontal="right"/>
      <protection locked="0"/>
    </xf>
    <xf numFmtId="0" fontId="30" fillId="6" borderId="0" xfId="0" applyFont="1" applyFill="1" applyBorder="1" applyAlignment="1" applyProtection="1">
      <alignment horizontal="center"/>
      <protection locked="0"/>
    </xf>
    <xf numFmtId="0" fontId="28" fillId="6" borderId="0" xfId="0" applyFont="1" applyFill="1" applyBorder="1" applyAlignment="1" applyProtection="1">
      <alignment horizontal="left"/>
      <protection locked="0"/>
    </xf>
    <xf numFmtId="0" fontId="3" fillId="6" borderId="28" xfId="0" applyFont="1" applyFill="1" applyBorder="1" applyAlignment="1">
      <alignment horizontal="left" indent="3"/>
    </xf>
    <xf numFmtId="0" fontId="3" fillId="6" borderId="28" xfId="0" applyFont="1" applyFill="1" applyBorder="1" applyAlignment="1">
      <alignment horizontal="left" indent="5"/>
    </xf>
    <xf numFmtId="0" fontId="0" fillId="0" borderId="0" xfId="0" applyFont="1"/>
    <xf numFmtId="0" fontId="0" fillId="0" borderId="0" xfId="0" applyFont="1" applyFill="1" applyBorder="1"/>
    <xf numFmtId="0" fontId="36" fillId="0" borderId="9" xfId="0" applyFont="1" applyBorder="1"/>
    <xf numFmtId="0" fontId="37" fillId="0" borderId="0" xfId="0" applyNumberFormat="1" applyFont="1" applyFill="1" applyBorder="1" applyAlignment="1" applyProtection="1">
      <alignment horizontal="left"/>
    </xf>
    <xf numFmtId="0" fontId="36" fillId="0" borderId="9" xfId="0" applyFont="1" applyBorder="1" applyAlignment="1">
      <alignment horizontal="center"/>
    </xf>
    <xf numFmtId="0" fontId="34" fillId="0" borderId="0" xfId="0" applyFont="1" applyAlignment="1">
      <alignment horizontal="center"/>
    </xf>
    <xf numFmtId="169" fontId="3" fillId="9" borderId="18" xfId="1" applyNumberFormat="1" applyFont="1" applyFill="1" applyBorder="1" applyProtection="1">
      <protection locked="0"/>
    </xf>
    <xf numFmtId="169" fontId="0" fillId="6" borderId="8" xfId="0" applyNumberFormat="1" applyFill="1" applyBorder="1"/>
    <xf numFmtId="169" fontId="0" fillId="6" borderId="1" xfId="0" applyNumberFormat="1" applyFill="1" applyBorder="1"/>
    <xf numFmtId="169" fontId="0" fillId="6" borderId="22" xfId="0" applyNumberFormat="1" applyFill="1" applyBorder="1" applyProtection="1">
      <protection locked="0"/>
    </xf>
    <xf numFmtId="169" fontId="0" fillId="6" borderId="3" xfId="0" applyNumberFormat="1" applyFill="1" applyBorder="1" applyProtection="1">
      <protection locked="0"/>
    </xf>
    <xf numFmtId="165" fontId="0" fillId="0" borderId="1" xfId="1" applyNumberFormat="1" applyFont="1" applyFill="1" applyBorder="1" applyAlignment="1" applyProtection="1">
      <alignment horizontal="right"/>
      <protection locked="0"/>
    </xf>
    <xf numFmtId="165" fontId="0" fillId="0" borderId="0" xfId="1" applyNumberFormat="1" applyFont="1" applyFill="1" applyBorder="1" applyAlignment="1">
      <alignment horizontal="right"/>
    </xf>
    <xf numFmtId="165" fontId="0" fillId="0" borderId="0" xfId="1" applyNumberFormat="1" applyFont="1" applyFill="1" applyBorder="1" applyAlignment="1" applyProtection="1">
      <alignment horizontal="right"/>
      <protection locked="0"/>
    </xf>
    <xf numFmtId="165" fontId="0" fillId="0" borderId="0" xfId="1" applyNumberFormat="1" applyFont="1" applyBorder="1" applyAlignment="1" applyProtection="1">
      <alignment horizontal="right"/>
      <protection locked="0"/>
    </xf>
    <xf numFmtId="165" fontId="0" fillId="0" borderId="0" xfId="1" applyNumberFormat="1" applyFont="1" applyBorder="1" applyAlignment="1">
      <alignment horizontal="right"/>
    </xf>
    <xf numFmtId="165" fontId="0" fillId="0" borderId="1" xfId="1" applyNumberFormat="1" applyFont="1" applyBorder="1" applyAlignment="1">
      <alignment horizontal="right"/>
    </xf>
    <xf numFmtId="165" fontId="5" fillId="0" borderId="0" xfId="0" applyNumberFormat="1" applyFont="1" applyBorder="1" applyAlignment="1">
      <alignment horizontal="left"/>
    </xf>
    <xf numFmtId="167" fontId="0" fillId="0" borderId="12" xfId="0" applyNumberFormat="1" applyBorder="1" applyAlignment="1">
      <alignment vertical="top"/>
    </xf>
    <xf numFmtId="0" fontId="35" fillId="0" borderId="0" xfId="0" quotePrefix="1" applyNumberFormat="1" applyFont="1" applyFill="1" applyBorder="1" applyAlignment="1" applyProtection="1">
      <alignment horizontal="center"/>
    </xf>
    <xf numFmtId="0" fontId="35" fillId="0" borderId="0" xfId="0" applyNumberFormat="1" applyFont="1" applyFill="1" applyBorder="1" applyAlignment="1" applyProtection="1"/>
    <xf numFmtId="41" fontId="35" fillId="0" borderId="0" xfId="0" applyNumberFormat="1" applyFont="1" applyFill="1" applyBorder="1" applyAlignment="1" applyProtection="1">
      <alignment horizontal="center"/>
    </xf>
    <xf numFmtId="9" fontId="0" fillId="0" borderId="0" xfId="3" applyFont="1" applyAlignment="1">
      <alignment horizontal="center"/>
    </xf>
    <xf numFmtId="9" fontId="5" fillId="0" borderId="0" xfId="0" applyNumberFormat="1" applyFont="1" applyBorder="1" applyAlignment="1">
      <alignment horizontal="center"/>
    </xf>
    <xf numFmtId="9" fontId="30" fillId="0" borderId="0" xfId="0" applyNumberFormat="1" applyFont="1" applyAlignment="1" applyProtection="1">
      <alignment horizontal="left"/>
    </xf>
    <xf numFmtId="14" fontId="30" fillId="0" borderId="0" xfId="0" applyNumberFormat="1" applyFont="1" applyAlignment="1" applyProtection="1">
      <alignment horizontal="left"/>
    </xf>
    <xf numFmtId="9" fontId="30" fillId="0" borderId="0" xfId="3" applyFont="1" applyAlignment="1">
      <alignment horizontal="center"/>
    </xf>
    <xf numFmtId="169" fontId="0" fillId="0" borderId="52" xfId="0" applyNumberFormat="1" applyBorder="1"/>
    <xf numFmtId="14" fontId="30" fillId="11" borderId="1" xfId="0" applyNumberFormat="1" applyFont="1" applyFill="1" applyBorder="1" applyAlignment="1" applyProtection="1">
      <alignment horizontal="center"/>
      <protection locked="0"/>
    </xf>
    <xf numFmtId="0" fontId="13" fillId="0" borderId="0" xfId="0" applyFont="1" applyBorder="1" applyAlignment="1" applyProtection="1">
      <alignment horizontal="left" vertical="top" indent="1"/>
    </xf>
    <xf numFmtId="171" fontId="13" fillId="0" borderId="0" xfId="0" applyNumberFormat="1" applyFont="1" applyBorder="1" applyAlignment="1" applyProtection="1">
      <alignment horizontal="left" vertical="top" indent="1"/>
    </xf>
    <xf numFmtId="169" fontId="0" fillId="6" borderId="3" xfId="0" applyNumberFormat="1" applyFill="1" applyBorder="1" applyAlignment="1">
      <alignment horizontal="right"/>
    </xf>
    <xf numFmtId="9" fontId="39" fillId="11" borderId="0" xfId="0" applyNumberFormat="1" applyFont="1" applyFill="1" applyBorder="1" applyAlignment="1">
      <alignment horizontal="center"/>
    </xf>
    <xf numFmtId="49" fontId="3" fillId="12" borderId="1" xfId="0" applyNumberFormat="1" applyFont="1" applyFill="1" applyBorder="1" applyAlignment="1" applyProtection="1">
      <alignment horizontal="left" vertical="center" wrapText="1"/>
      <protection locked="0"/>
    </xf>
    <xf numFmtId="0" fontId="3" fillId="12" borderId="36" xfId="0" applyFont="1" applyFill="1" applyBorder="1" applyAlignment="1" applyProtection="1">
      <alignment horizontal="left" vertical="center"/>
      <protection locked="0"/>
    </xf>
    <xf numFmtId="0" fontId="3" fillId="12" borderId="1" xfId="0" applyFont="1" applyFill="1" applyBorder="1" applyAlignment="1" applyProtection="1">
      <alignment horizontal="left" vertical="center"/>
      <protection locked="0"/>
    </xf>
    <xf numFmtId="0" fontId="26" fillId="12" borderId="36" xfId="0" applyFont="1" applyFill="1" applyBorder="1" applyAlignment="1" applyProtection="1">
      <alignment horizontal="left" vertical="top"/>
    </xf>
    <xf numFmtId="0" fontId="3" fillId="12" borderId="19" xfId="0" applyFont="1" applyFill="1" applyBorder="1" applyAlignment="1" applyProtection="1">
      <alignment horizontal="left" vertical="top"/>
    </xf>
    <xf numFmtId="0" fontId="3" fillId="12" borderId="1" xfId="0" applyFont="1" applyFill="1" applyBorder="1" applyAlignment="1" applyProtection="1">
      <protection locked="0"/>
    </xf>
    <xf numFmtId="0" fontId="40" fillId="7" borderId="0" xfId="0" applyFont="1" applyFill="1" applyAlignment="1" applyProtection="1">
      <alignment horizontal="center"/>
    </xf>
    <xf numFmtId="0" fontId="16" fillId="11" borderId="1" xfId="0" applyFont="1" applyFill="1" applyBorder="1" applyAlignment="1" applyProtection="1">
      <alignment horizontal="center" vertical="center" wrapText="1"/>
      <protection locked="0"/>
    </xf>
    <xf numFmtId="0" fontId="3" fillId="2" borderId="1" xfId="0" applyFont="1" applyFill="1" applyBorder="1" applyProtection="1"/>
    <xf numFmtId="0" fontId="5" fillId="0" borderId="3" xfId="0" applyFont="1" applyBorder="1" applyAlignment="1">
      <alignment horizontal="left"/>
    </xf>
    <xf numFmtId="0" fontId="5" fillId="0" borderId="8" xfId="0" applyFont="1" applyBorder="1" applyAlignment="1">
      <alignment horizontal="left"/>
    </xf>
    <xf numFmtId="0" fontId="5" fillId="0" borderId="26" xfId="0" applyFont="1" applyBorder="1" applyAlignment="1">
      <alignment horizontal="left"/>
    </xf>
    <xf numFmtId="49" fontId="0" fillId="0" borderId="3" xfId="0" applyNumberFormat="1" applyFill="1" applyBorder="1" applyAlignment="1">
      <alignment horizontal="center"/>
    </xf>
    <xf numFmtId="0" fontId="0" fillId="0" borderId="3" xfId="0" applyFill="1" applyBorder="1" applyAlignment="1">
      <alignment horizontal="center"/>
    </xf>
    <xf numFmtId="0" fontId="0" fillId="0" borderId="10" xfId="0" applyBorder="1" applyAlignment="1">
      <alignment horizontal="left"/>
    </xf>
    <xf numFmtId="0" fontId="0" fillId="0" borderId="11" xfId="0" applyBorder="1" applyAlignment="1">
      <alignment horizontal="left"/>
    </xf>
    <xf numFmtId="0" fontId="0" fillId="0" borderId="0" xfId="0" applyBorder="1" applyAlignment="1" applyProtection="1">
      <alignment horizontal="center" vertical="top"/>
      <protection locked="0"/>
    </xf>
    <xf numFmtId="0" fontId="1" fillId="0" borderId="8" xfId="0" applyFont="1" applyBorder="1" applyAlignment="1">
      <alignment horizontal="left"/>
    </xf>
    <xf numFmtId="0" fontId="0" fillId="0" borderId="8" xfId="0" applyBorder="1" applyAlignment="1" applyProtection="1">
      <alignment horizontal="center" vertical="top"/>
      <protection locked="0"/>
    </xf>
    <xf numFmtId="167" fontId="0" fillId="6" borderId="8" xfId="0" applyNumberFormat="1" applyFill="1" applyBorder="1" applyAlignment="1">
      <alignment horizontal="right"/>
    </xf>
    <xf numFmtId="0" fontId="1" fillId="0" borderId="3" xfId="0" applyFont="1" applyBorder="1" applyAlignment="1">
      <alignment horizontal="left"/>
    </xf>
    <xf numFmtId="0" fontId="42" fillId="4" borderId="14" xfId="0" applyFont="1" applyFill="1" applyBorder="1"/>
    <xf numFmtId="0" fontId="1" fillId="5" borderId="1" xfId="0" applyFont="1" applyFill="1" applyBorder="1" applyAlignment="1">
      <alignment horizontal="center"/>
    </xf>
    <xf numFmtId="0" fontId="2" fillId="0" borderId="1" xfId="0" applyFont="1" applyBorder="1" applyAlignment="1">
      <alignment horizontal="center" vertical="top"/>
    </xf>
    <xf numFmtId="0" fontId="2" fillId="0" borderId="1" xfId="0" applyFont="1" applyBorder="1" applyAlignment="1">
      <alignment horizontal="center"/>
    </xf>
    <xf numFmtId="169" fontId="0" fillId="6" borderId="1" xfId="0" applyNumberFormat="1" applyFill="1" applyBorder="1" applyProtection="1">
      <protection locked="0"/>
    </xf>
    <xf numFmtId="9" fontId="30" fillId="0" borderId="0" xfId="0" applyNumberFormat="1" applyFont="1" applyAlignment="1" applyProtection="1">
      <alignment horizontal="center" vertical="center"/>
    </xf>
    <xf numFmtId="0" fontId="43" fillId="0" borderId="0" xfId="0" applyFont="1" applyBorder="1" applyAlignment="1">
      <alignment horizontal="left"/>
    </xf>
    <xf numFmtId="0" fontId="2" fillId="5" borderId="0" xfId="0" applyFont="1" applyFill="1" applyAlignment="1">
      <alignment horizontal="center"/>
    </xf>
    <xf numFmtId="0" fontId="1" fillId="0" borderId="0" xfId="0" applyFont="1" applyBorder="1"/>
    <xf numFmtId="0" fontId="2" fillId="0" borderId="1" xfId="0" applyFont="1" applyFill="1" applyBorder="1" applyAlignment="1">
      <alignment horizontal="center"/>
    </xf>
    <xf numFmtId="0" fontId="2" fillId="0" borderId="1" xfId="0" quotePrefix="1" applyFont="1" applyFill="1" applyBorder="1" applyAlignment="1">
      <alignment horizontal="center"/>
    </xf>
    <xf numFmtId="0" fontId="2" fillId="0" borderId="1" xfId="0" applyFont="1" applyFill="1" applyBorder="1" applyAlignment="1">
      <alignment horizontal="center" wrapText="1"/>
    </xf>
    <xf numFmtId="49" fontId="2" fillId="0" borderId="1" xfId="0" applyNumberFormat="1" applyFont="1" applyFill="1" applyBorder="1" applyAlignment="1">
      <alignment horizontal="center"/>
    </xf>
    <xf numFmtId="0" fontId="44" fillId="0" borderId="1" xfId="0" applyFont="1" applyFill="1" applyBorder="1" applyAlignment="1">
      <alignment horizontal="center"/>
    </xf>
    <xf numFmtId="0" fontId="0" fillId="0" borderId="1" xfId="0" applyBorder="1" applyAlignment="1" applyProtection="1">
      <alignment horizontal="left" vertical="top" wrapText="1"/>
      <protection locked="0"/>
    </xf>
    <xf numFmtId="0" fontId="5" fillId="0" borderId="3" xfId="0" applyFont="1" applyBorder="1" applyAlignment="1" applyProtection="1">
      <alignment horizontal="left" vertical="top" wrapText="1"/>
      <protection locked="0"/>
    </xf>
    <xf numFmtId="0" fontId="1" fillId="0" borderId="1" xfId="0" applyFont="1" applyBorder="1" applyAlignment="1">
      <alignment horizontal="left" vertical="top"/>
    </xf>
    <xf numFmtId="167" fontId="0" fillId="0" borderId="47" xfId="0" applyNumberFormat="1" applyBorder="1" applyAlignment="1">
      <alignment vertical="top"/>
    </xf>
    <xf numFmtId="0" fontId="1" fillId="0" borderId="46" xfId="0" applyFont="1" applyBorder="1" applyAlignment="1">
      <alignment horizontal="left" vertical="top" wrapText="1"/>
    </xf>
    <xf numFmtId="0" fontId="1" fillId="0" borderId="46" xfId="0" applyFont="1" applyBorder="1" applyAlignment="1" applyProtection="1">
      <alignment horizontal="left" vertical="top" wrapText="1"/>
      <protection locked="0"/>
    </xf>
    <xf numFmtId="0" fontId="0" fillId="0" borderId="46" xfId="0" applyBorder="1" applyAlignment="1" applyProtection="1">
      <alignment horizontal="center" vertical="top"/>
      <protection locked="0"/>
    </xf>
    <xf numFmtId="167" fontId="0" fillId="6" borderId="46" xfId="0" applyNumberFormat="1" applyFill="1" applyBorder="1" applyAlignment="1">
      <alignment horizontal="right" vertical="top"/>
    </xf>
    <xf numFmtId="0" fontId="15" fillId="0" borderId="30" xfId="0" applyNumberFormat="1" applyFont="1" applyBorder="1" applyAlignment="1">
      <alignment horizontal="left" vertical="top"/>
    </xf>
    <xf numFmtId="0" fontId="15" fillId="0" borderId="33" xfId="0" applyNumberFormat="1" applyFont="1" applyBorder="1" applyAlignment="1">
      <alignment horizontal="left" vertical="top"/>
    </xf>
    <xf numFmtId="0" fontId="0" fillId="0" borderId="29" xfId="0" applyBorder="1" applyAlignment="1">
      <alignment horizontal="left" vertical="top"/>
    </xf>
    <xf numFmtId="0" fontId="1" fillId="0" borderId="29" xfId="0" applyFont="1" applyBorder="1" applyAlignment="1">
      <alignment wrapText="1"/>
    </xf>
    <xf numFmtId="0" fontId="0" fillId="0" borderId="29" xfId="0" applyBorder="1" applyAlignment="1" applyProtection="1">
      <alignment horizontal="center" vertical="top"/>
      <protection locked="0"/>
    </xf>
    <xf numFmtId="167" fontId="3" fillId="0" borderId="0" xfId="0" applyNumberFormat="1" applyFont="1" applyBorder="1" applyAlignment="1">
      <alignment horizontal="right" vertical="top"/>
    </xf>
    <xf numFmtId="165" fontId="2" fillId="0" borderId="1" xfId="1" applyNumberFormat="1" applyFont="1" applyBorder="1" applyAlignment="1" applyProtection="1">
      <alignment horizontal="right"/>
      <protection locked="0"/>
    </xf>
    <xf numFmtId="165" fontId="2" fillId="0" borderId="1" xfId="1" applyNumberFormat="1" applyFont="1" applyFill="1" applyBorder="1" applyAlignment="1" applyProtection="1">
      <alignment horizontal="right"/>
      <protection locked="0"/>
    </xf>
    <xf numFmtId="165" fontId="2" fillId="0" borderId="3" xfId="1" applyNumberFormat="1" applyFont="1" applyFill="1" applyBorder="1" applyAlignment="1" applyProtection="1">
      <alignment horizontal="right"/>
      <protection locked="0"/>
    </xf>
    <xf numFmtId="165" fontId="2" fillId="0" borderId="0" xfId="1" applyNumberFormat="1" applyFont="1" applyFill="1" applyBorder="1" applyAlignment="1" applyProtection="1">
      <alignment horizontal="right"/>
      <protection locked="0"/>
    </xf>
    <xf numFmtId="171" fontId="39" fillId="0" borderId="0" xfId="0" applyNumberFormat="1" applyFont="1" applyFill="1" applyBorder="1" applyAlignment="1">
      <alignment horizontal="center"/>
    </xf>
    <xf numFmtId="0" fontId="46" fillId="6" borderId="9" xfId="0" applyNumberFormat="1" applyFont="1" applyFill="1" applyBorder="1" applyAlignment="1" applyProtection="1">
      <alignment horizontal="center" wrapText="1"/>
    </xf>
    <xf numFmtId="0" fontId="46" fillId="6" borderId="35" xfId="0" applyNumberFormat="1" applyFont="1" applyFill="1" applyBorder="1" applyAlignment="1" applyProtection="1">
      <alignment horizontal="center" wrapText="1"/>
    </xf>
    <xf numFmtId="0" fontId="46" fillId="6" borderId="6" xfId="0" applyNumberFormat="1" applyFont="1" applyFill="1" applyBorder="1" applyAlignment="1" applyProtection="1">
      <alignment horizontal="center" wrapText="1"/>
    </xf>
    <xf numFmtId="171" fontId="39" fillId="10" borderId="33" xfId="0" applyNumberFormat="1" applyFont="1" applyFill="1" applyBorder="1" applyAlignment="1">
      <alignment horizontal="center"/>
    </xf>
    <xf numFmtId="171" fontId="39" fillId="0" borderId="34" xfId="0" applyNumberFormat="1" applyFont="1" applyFill="1" applyBorder="1" applyAlignment="1">
      <alignment horizontal="center"/>
    </xf>
    <xf numFmtId="171" fontId="39" fillId="10" borderId="35" xfId="0" applyNumberFormat="1" applyFont="1" applyFill="1" applyBorder="1" applyAlignment="1">
      <alignment horizontal="center"/>
    </xf>
    <xf numFmtId="171" fontId="39" fillId="0" borderId="9" xfId="0" applyNumberFormat="1" applyFont="1" applyFill="1" applyBorder="1" applyAlignment="1">
      <alignment horizontal="center"/>
    </xf>
    <xf numFmtId="171" fontId="39" fillId="0" borderId="6" xfId="0" applyNumberFormat="1" applyFont="1" applyFill="1" applyBorder="1" applyAlignment="1">
      <alignment horizontal="center"/>
    </xf>
    <xf numFmtId="171" fontId="39" fillId="10" borderId="34" xfId="0" applyNumberFormat="1" applyFont="1" applyFill="1" applyBorder="1" applyAlignment="1">
      <alignment horizontal="center"/>
    </xf>
    <xf numFmtId="171" fontId="39" fillId="10" borderId="6" xfId="0" applyNumberFormat="1" applyFont="1" applyFill="1" applyBorder="1" applyAlignment="1">
      <alignment horizontal="center"/>
    </xf>
    <xf numFmtId="0" fontId="1" fillId="0" borderId="0" xfId="0" applyFont="1" applyAlignment="1">
      <alignment horizontal="left"/>
    </xf>
    <xf numFmtId="169" fontId="1" fillId="0" borderId="0" xfId="0" applyNumberFormat="1" applyFont="1" applyBorder="1" applyAlignment="1" applyProtection="1">
      <alignment horizontal="left" vertical="top" indent="1"/>
    </xf>
    <xf numFmtId="165" fontId="44" fillId="0" borderId="1" xfId="1" applyNumberFormat="1" applyFont="1" applyFill="1" applyBorder="1" applyAlignment="1" applyProtection="1">
      <alignment horizontal="right"/>
      <protection locked="0"/>
    </xf>
    <xf numFmtId="165" fontId="2" fillId="0" borderId="1" xfId="1" applyNumberFormat="1" applyFont="1" applyBorder="1" applyAlignment="1">
      <alignment horizontal="right"/>
    </xf>
    <xf numFmtId="165" fontId="2" fillId="0" borderId="0" xfId="1" applyNumberFormat="1" applyFont="1" applyBorder="1" applyAlignment="1" applyProtection="1">
      <alignment horizontal="right"/>
      <protection locked="0"/>
    </xf>
    <xf numFmtId="168" fontId="2" fillId="0" borderId="1" xfId="1" applyNumberFormat="1" applyFont="1" applyBorder="1" applyAlignment="1">
      <alignment horizontal="right"/>
    </xf>
    <xf numFmtId="165" fontId="2" fillId="0" borderId="1" xfId="0" applyNumberFormat="1" applyFont="1" applyFill="1" applyBorder="1" applyAlignment="1">
      <alignment horizontal="center"/>
    </xf>
    <xf numFmtId="0" fontId="47" fillId="0" borderId="0" xfId="0" applyFont="1" applyAlignment="1">
      <alignment horizontal="center"/>
    </xf>
    <xf numFmtId="0" fontId="2" fillId="0" borderId="1" xfId="0" applyFont="1" applyBorder="1"/>
    <xf numFmtId="0" fontId="2" fillId="0" borderId="0" xfId="0" applyFont="1" applyBorder="1" applyAlignment="1">
      <alignment horizontal="center"/>
    </xf>
    <xf numFmtId="0" fontId="2" fillId="0" borderId="0" xfId="0" applyFont="1" applyBorder="1"/>
    <xf numFmtId="0" fontId="18" fillId="0" borderId="0" xfId="0" applyFont="1" applyBorder="1" applyAlignment="1">
      <alignment horizontal="left"/>
    </xf>
    <xf numFmtId="165" fontId="49" fillId="0" borderId="1" xfId="1" applyNumberFormat="1" applyFont="1" applyBorder="1" applyAlignment="1" applyProtection="1">
      <alignment horizontal="right"/>
      <protection locked="0"/>
    </xf>
    <xf numFmtId="169" fontId="3" fillId="0" borderId="52" xfId="0" applyNumberFormat="1" applyFont="1" applyBorder="1" applyAlignment="1">
      <alignment horizontal="right" vertical="top"/>
    </xf>
    <xf numFmtId="169" fontId="0" fillId="0" borderId="20" xfId="0" applyNumberFormat="1" applyBorder="1" applyAlignment="1">
      <alignment vertical="top"/>
    </xf>
    <xf numFmtId="169" fontId="0" fillId="6" borderId="29" xfId="0" applyNumberFormat="1" applyFill="1" applyBorder="1" applyAlignment="1">
      <alignment horizontal="right"/>
    </xf>
    <xf numFmtId="0" fontId="3" fillId="0" borderId="1" xfId="0" applyFont="1" applyBorder="1" applyAlignment="1" applyProtection="1">
      <alignment horizontal="left" vertical="top" wrapText="1"/>
      <protection locked="0"/>
    </xf>
    <xf numFmtId="0" fontId="48" fillId="0" borderId="0" xfId="0" applyFont="1" applyAlignment="1">
      <alignment horizontal="left"/>
    </xf>
    <xf numFmtId="169" fontId="48" fillId="0" borderId="0" xfId="0" applyNumberFormat="1" applyFont="1" applyAlignment="1">
      <alignment horizontal="center"/>
    </xf>
    <xf numFmtId="0" fontId="50" fillId="0" borderId="0" xfId="0" applyFont="1" applyAlignment="1">
      <alignment horizontal="left"/>
    </xf>
    <xf numFmtId="0" fontId="48" fillId="0" borderId="0" xfId="0" applyFont="1" applyAlignment="1">
      <alignment horizontal="center"/>
    </xf>
    <xf numFmtId="0" fontId="51" fillId="0" borderId="0" xfId="0" applyFont="1" applyAlignment="1">
      <alignment horizontal="left"/>
    </xf>
    <xf numFmtId="171" fontId="0" fillId="3" borderId="18" xfId="0" applyNumberFormat="1" applyFill="1" applyBorder="1" applyAlignment="1" applyProtection="1">
      <alignment horizontal="center"/>
      <protection locked="0"/>
    </xf>
    <xf numFmtId="172" fontId="48" fillId="0" borderId="0" xfId="3" applyNumberFormat="1" applyFont="1" applyAlignment="1">
      <alignment horizontal="center"/>
    </xf>
    <xf numFmtId="169" fontId="0" fillId="6" borderId="5" xfId="0" applyNumberFormat="1" applyFill="1" applyBorder="1"/>
    <xf numFmtId="169" fontId="0" fillId="0" borderId="6" xfId="0" applyNumberFormat="1" applyBorder="1"/>
    <xf numFmtId="0" fontId="0" fillId="0" borderId="1" xfId="0" applyNumberFormat="1" applyBorder="1" applyAlignment="1" applyProtection="1">
      <alignment horizontal="center" vertical="top"/>
      <protection locked="0"/>
    </xf>
    <xf numFmtId="0" fontId="18" fillId="0" borderId="0" xfId="0" applyFont="1" applyBorder="1" applyAlignment="1" applyProtection="1">
      <alignment horizontal="left" vertical="top" indent="1"/>
    </xf>
    <xf numFmtId="0" fontId="0" fillId="0" borderId="0" xfId="0" applyBorder="1" applyAlignment="1" applyProtection="1">
      <alignment horizontal="left" vertical="top" indent="1"/>
    </xf>
    <xf numFmtId="0" fontId="5" fillId="0" borderId="0" xfId="0" applyFont="1" applyBorder="1" applyAlignment="1" applyProtection="1">
      <alignment horizontal="center"/>
    </xf>
    <xf numFmtId="0" fontId="0" fillId="5" borderId="0" xfId="0" applyFill="1" applyAlignment="1">
      <alignment horizontal="left" indent="2"/>
    </xf>
    <xf numFmtId="0" fontId="2" fillId="0" borderId="1" xfId="0" applyFont="1" applyBorder="1" applyAlignment="1">
      <alignment horizontal="left" vertical="top"/>
    </xf>
    <xf numFmtId="0" fontId="1" fillId="5" borderId="0" xfId="0" applyFont="1" applyFill="1" applyAlignment="1">
      <alignment horizontal="center"/>
    </xf>
    <xf numFmtId="0" fontId="0" fillId="0" borderId="46" xfId="0" applyBorder="1" applyAlignment="1">
      <alignment horizontal="left" vertical="top"/>
    </xf>
    <xf numFmtId="0" fontId="1" fillId="0" borderId="46" xfId="0" applyFont="1" applyBorder="1" applyAlignment="1">
      <alignment wrapText="1"/>
    </xf>
    <xf numFmtId="169" fontId="0" fillId="6" borderId="46" xfId="0" applyNumberFormat="1" applyFill="1" applyBorder="1" applyAlignment="1">
      <alignment horizontal="right"/>
    </xf>
    <xf numFmtId="169" fontId="0" fillId="0" borderId="47" xfId="0" applyNumberFormat="1" applyBorder="1" applyAlignment="1">
      <alignment vertical="top"/>
    </xf>
    <xf numFmtId="167" fontId="0" fillId="0" borderId="55" xfId="0" applyNumberFormat="1" applyBorder="1"/>
    <xf numFmtId="0" fontId="15" fillId="0" borderId="41" xfId="0" applyNumberFormat="1" applyFont="1" applyBorder="1" applyAlignment="1">
      <alignment horizontal="left" vertical="top"/>
    </xf>
    <xf numFmtId="0" fontId="0" fillId="0" borderId="28" xfId="0" applyBorder="1" applyAlignment="1">
      <alignment horizontal="left" vertical="top"/>
    </xf>
    <xf numFmtId="0" fontId="1" fillId="0" borderId="28" xfId="0" applyFont="1" applyBorder="1" applyAlignment="1">
      <alignment wrapText="1"/>
    </xf>
    <xf numFmtId="0" fontId="0" fillId="0" borderId="28" xfId="0" applyBorder="1" applyAlignment="1" applyProtection="1">
      <alignment horizontal="center" vertical="top"/>
      <protection locked="0"/>
    </xf>
    <xf numFmtId="169" fontId="0" fillId="6" borderId="28" xfId="0" applyNumberFormat="1" applyFill="1" applyBorder="1" applyAlignment="1">
      <alignment horizontal="right"/>
    </xf>
    <xf numFmtId="169" fontId="0" fillId="0" borderId="42" xfId="0" applyNumberFormat="1" applyBorder="1" applyAlignment="1">
      <alignment vertical="top"/>
    </xf>
    <xf numFmtId="0" fontId="0" fillId="0" borderId="53" xfId="0" applyBorder="1" applyAlignment="1">
      <alignment horizontal="left" vertical="top"/>
    </xf>
    <xf numFmtId="0" fontId="5" fillId="0" borderId="37" xfId="0" applyFont="1" applyBorder="1" applyAlignment="1">
      <alignment horizontal="left" vertical="top"/>
    </xf>
    <xf numFmtId="0" fontId="0" fillId="0" borderId="37" xfId="0" applyBorder="1" applyAlignment="1" applyProtection="1">
      <alignment horizontal="center"/>
      <protection locked="0"/>
    </xf>
    <xf numFmtId="167" fontId="0" fillId="6" borderId="37" xfId="0" applyNumberFormat="1" applyFill="1" applyBorder="1"/>
    <xf numFmtId="0" fontId="5" fillId="0" borderId="19" xfId="0" applyFont="1" applyBorder="1" applyAlignment="1">
      <alignment horizontal="left" vertical="top" wrapText="1"/>
    </xf>
    <xf numFmtId="0" fontId="0" fillId="0" borderId="1" xfId="0" applyBorder="1" applyAlignment="1">
      <alignment horizontal="left" vertical="top" wrapText="1"/>
    </xf>
    <xf numFmtId="0" fontId="0" fillId="0" borderId="19" xfId="0" applyBorder="1" applyAlignment="1" applyProtection="1">
      <alignment horizontal="left" vertical="top"/>
      <protection locked="0"/>
    </xf>
    <xf numFmtId="0" fontId="6" fillId="0" borderId="0" xfId="0" applyFont="1" applyBorder="1" applyAlignment="1">
      <alignment horizontal="right"/>
    </xf>
    <xf numFmtId="0" fontId="0" fillId="0" borderId="19" xfId="0" applyBorder="1" applyAlignment="1" applyProtection="1">
      <alignment horizontal="center" vertical="center"/>
      <protection locked="0"/>
    </xf>
    <xf numFmtId="169" fontId="0" fillId="0" borderId="20" xfId="0" applyNumberFormat="1" applyBorder="1" applyAlignment="1">
      <alignment vertical="center"/>
    </xf>
    <xf numFmtId="169" fontId="0" fillId="6" borderId="19" xfId="0" applyNumberFormat="1" applyFill="1" applyBorder="1" applyAlignment="1">
      <alignment vertical="center"/>
    </xf>
    <xf numFmtId="0" fontId="1" fillId="0" borderId="1" xfId="0" applyFont="1" applyBorder="1" applyAlignment="1"/>
    <xf numFmtId="0" fontId="1" fillId="0" borderId="1" xfId="0" applyFont="1" applyBorder="1"/>
    <xf numFmtId="0" fontId="3" fillId="12" borderId="1" xfId="0" applyFont="1" applyFill="1" applyBorder="1"/>
    <xf numFmtId="0" fontId="1" fillId="0" borderId="56" xfId="0" applyFont="1" applyFill="1" applyBorder="1"/>
    <xf numFmtId="0" fontId="1" fillId="0" borderId="56" xfId="0" applyFont="1" applyFill="1" applyBorder="1" applyAlignment="1">
      <alignment horizontal="left"/>
    </xf>
    <xf numFmtId="0" fontId="1" fillId="0" borderId="1" xfId="0" applyFont="1" applyFill="1" applyBorder="1"/>
    <xf numFmtId="0" fontId="1" fillId="0" borderId="1" xfId="0" applyFont="1" applyFill="1" applyBorder="1" applyAlignment="1">
      <alignment horizontal="left"/>
    </xf>
    <xf numFmtId="0" fontId="1" fillId="0" borderId="24" xfId="0" applyFont="1" applyBorder="1" applyAlignment="1"/>
    <xf numFmtId="0" fontId="0" fillId="0" borderId="24" xfId="0" applyBorder="1" applyAlignment="1">
      <alignment horizontal="left"/>
    </xf>
    <xf numFmtId="0" fontId="1" fillId="0" borderId="3" xfId="0" applyFont="1" applyBorder="1" applyAlignment="1"/>
    <xf numFmtId="0" fontId="1" fillId="0" borderId="3" xfId="0" applyFont="1" applyBorder="1"/>
    <xf numFmtId="0" fontId="1" fillId="0" borderId="3" xfId="0" applyFont="1" applyFill="1" applyBorder="1" applyAlignment="1">
      <alignment horizontal="left"/>
    </xf>
    <xf numFmtId="0" fontId="1" fillId="0" borderId="3" xfId="0" applyFont="1" applyFill="1" applyBorder="1"/>
    <xf numFmtId="169" fontId="0" fillId="6" borderId="8" xfId="0" applyNumberFormat="1" applyFill="1" applyBorder="1" applyAlignment="1">
      <alignment horizontal="right"/>
    </xf>
    <xf numFmtId="0" fontId="1" fillId="0" borderId="56" xfId="0" applyFont="1" applyBorder="1" applyAlignment="1"/>
    <xf numFmtId="0" fontId="1" fillId="0" borderId="24" xfId="0" applyFont="1" applyFill="1" applyBorder="1"/>
    <xf numFmtId="0" fontId="3" fillId="12" borderId="1" xfId="0" applyFont="1" applyFill="1" applyBorder="1" applyAlignment="1">
      <alignment horizontal="left"/>
    </xf>
    <xf numFmtId="0" fontId="0" fillId="0" borderId="2" xfId="0" applyBorder="1" applyAlignment="1">
      <alignment horizontal="left"/>
    </xf>
    <xf numFmtId="0" fontId="0" fillId="0" borderId="4" xfId="0" applyBorder="1" applyAlignment="1">
      <alignment horizontal="left"/>
    </xf>
    <xf numFmtId="0" fontId="1" fillId="0" borderId="24" xfId="0" applyFont="1" applyFill="1" applyBorder="1" applyAlignment="1">
      <alignment horizontal="left"/>
    </xf>
    <xf numFmtId="0" fontId="1" fillId="0" borderId="24" xfId="0" applyFont="1" applyBorder="1"/>
    <xf numFmtId="0" fontId="0" fillId="0" borderId="3" xfId="0" applyBorder="1" applyAlignment="1">
      <alignment horizontal="left"/>
    </xf>
    <xf numFmtId="0" fontId="41" fillId="12" borderId="7" xfId="0" applyFont="1" applyFill="1" applyBorder="1" applyAlignment="1">
      <alignment horizontal="left"/>
    </xf>
    <xf numFmtId="0" fontId="41" fillId="12" borderId="12" xfId="0" applyFont="1" applyFill="1" applyBorder="1" applyAlignment="1">
      <alignment horizontal="left"/>
    </xf>
    <xf numFmtId="0" fontId="3" fillId="12" borderId="1" xfId="0" applyFont="1" applyFill="1" applyBorder="1" applyAlignment="1">
      <alignment horizontal="center"/>
    </xf>
    <xf numFmtId="0" fontId="1" fillId="0" borderId="3" xfId="0" applyFont="1" applyBorder="1" applyAlignment="1">
      <alignment horizontal="center"/>
    </xf>
    <xf numFmtId="0" fontId="1" fillId="0" borderId="24" xfId="0" applyFont="1" applyBorder="1" applyAlignment="1">
      <alignment horizontal="center"/>
    </xf>
    <xf numFmtId="0" fontId="1" fillId="0" borderId="56" xfId="0" applyFont="1" applyBorder="1" applyAlignment="1">
      <alignment horizontal="center"/>
    </xf>
    <xf numFmtId="0" fontId="1" fillId="5" borderId="0" xfId="0" applyFont="1" applyFill="1" applyAlignment="1">
      <alignment horizontal="center"/>
    </xf>
    <xf numFmtId="0" fontId="5" fillId="0" borderId="1" xfId="0" applyFont="1" applyBorder="1" applyAlignment="1">
      <alignment horizontal="center"/>
    </xf>
    <xf numFmtId="0" fontId="16" fillId="12" borderId="17" xfId="0" applyFont="1" applyFill="1" applyBorder="1" applyAlignment="1">
      <alignment horizontal="center"/>
    </xf>
    <xf numFmtId="0" fontId="16" fillId="12" borderId="26" xfId="0" applyFont="1" applyFill="1" applyBorder="1"/>
    <xf numFmtId="0" fontId="16" fillId="12" borderId="26" xfId="0" applyFont="1" applyFill="1" applyBorder="1" applyAlignment="1">
      <alignment horizontal="center"/>
    </xf>
    <xf numFmtId="0" fontId="16" fillId="12" borderId="18" xfId="0" applyFont="1" applyFill="1" applyBorder="1"/>
    <xf numFmtId="0" fontId="0" fillId="0" borderId="24" xfId="0" applyBorder="1" applyAlignment="1">
      <alignment horizontal="center"/>
    </xf>
    <xf numFmtId="0" fontId="1" fillId="0" borderId="24" xfId="0" applyFont="1" applyBorder="1" applyAlignment="1">
      <alignment horizontal="left"/>
    </xf>
    <xf numFmtId="0" fontId="1" fillId="0" borderId="22" xfId="0" applyFont="1" applyBorder="1" applyAlignment="1">
      <alignment horizontal="center"/>
    </xf>
    <xf numFmtId="0" fontId="1" fillId="0" borderId="22" xfId="0" applyFont="1" applyBorder="1" applyAlignment="1"/>
    <xf numFmtId="0" fontId="1" fillId="0" borderId="22" xfId="0" applyFont="1" applyFill="1" applyBorder="1" applyAlignment="1">
      <alignment horizontal="center"/>
    </xf>
    <xf numFmtId="0" fontId="1" fillId="5" borderId="1" xfId="0" applyFont="1" applyFill="1" applyBorder="1"/>
    <xf numFmtId="173" fontId="1" fillId="5" borderId="0" xfId="0" applyNumberFormat="1" applyFont="1" applyFill="1" applyAlignment="1">
      <alignment horizontal="center"/>
    </xf>
    <xf numFmtId="0" fontId="1" fillId="6" borderId="34" xfId="0" applyFont="1" applyFill="1" applyBorder="1"/>
    <xf numFmtId="0" fontId="16" fillId="12" borderId="1" xfId="0" applyFont="1" applyFill="1" applyBorder="1"/>
    <xf numFmtId="0" fontId="16" fillId="12" borderId="57" xfId="0" applyFont="1" applyFill="1" applyBorder="1"/>
    <xf numFmtId="0" fontId="16" fillId="12" borderId="44" xfId="0" applyFont="1" applyFill="1" applyBorder="1"/>
    <xf numFmtId="0" fontId="1" fillId="0" borderId="0" xfId="0" applyFont="1" applyAlignment="1">
      <alignment horizontal="center"/>
    </xf>
    <xf numFmtId="0" fontId="53" fillId="5" borderId="0" xfId="0" applyFont="1" applyFill="1" applyAlignment="1">
      <alignment horizontal="left"/>
    </xf>
    <xf numFmtId="0" fontId="53" fillId="5" borderId="0" xfId="0" applyFont="1" applyFill="1"/>
    <xf numFmtId="0" fontId="1" fillId="0" borderId="0" xfId="5"/>
    <xf numFmtId="0" fontId="10" fillId="0" borderId="0" xfId="5" applyFont="1"/>
    <xf numFmtId="0" fontId="1" fillId="5" borderId="0" xfId="5" applyFont="1" applyFill="1"/>
    <xf numFmtId="0" fontId="4" fillId="0" borderId="0" xfId="5" applyFont="1" applyBorder="1" applyAlignment="1">
      <alignment horizontal="left"/>
    </xf>
    <xf numFmtId="0" fontId="1" fillId="0" borderId="0" xfId="5" applyBorder="1" applyAlignment="1">
      <alignment horizontal="left"/>
    </xf>
    <xf numFmtId="0" fontId="1" fillId="0" borderId="0" xfId="5" applyBorder="1"/>
    <xf numFmtId="0" fontId="1" fillId="0" borderId="0" xfId="5" applyBorder="1" applyAlignment="1">
      <alignment horizontal="center"/>
    </xf>
    <xf numFmtId="0" fontId="10" fillId="6" borderId="0" xfId="5" applyFont="1" applyFill="1"/>
    <xf numFmtId="0" fontId="1" fillId="0" borderId="0" xfId="5" applyAlignment="1">
      <alignment horizontal="left"/>
    </xf>
    <xf numFmtId="0" fontId="1" fillId="0" borderId="0" xfId="5" applyAlignment="1">
      <alignment horizontal="center"/>
    </xf>
    <xf numFmtId="14" fontId="1" fillId="0" borderId="0" xfId="5" applyNumberFormat="1" applyAlignment="1">
      <alignment horizontal="left"/>
    </xf>
    <xf numFmtId="0" fontId="7" fillId="4" borderId="16" xfId="5" applyFont="1" applyFill="1" applyBorder="1" applyAlignment="1">
      <alignment horizontal="left"/>
    </xf>
    <xf numFmtId="0" fontId="1" fillId="4" borderId="14" xfId="5" applyFill="1" applyBorder="1" applyAlignment="1">
      <alignment horizontal="left"/>
    </xf>
    <xf numFmtId="0" fontId="12" fillId="4" borderId="14" xfId="5" applyFont="1" applyFill="1" applyBorder="1"/>
    <xf numFmtId="0" fontId="1" fillId="4" borderId="14" xfId="5" applyFill="1" applyBorder="1" applyAlignment="1">
      <alignment horizontal="center"/>
    </xf>
    <xf numFmtId="0" fontId="1" fillId="4" borderId="14" xfId="5" applyFill="1" applyBorder="1"/>
    <xf numFmtId="0" fontId="1" fillId="4" borderId="15" xfId="5" applyFill="1" applyBorder="1"/>
    <xf numFmtId="0" fontId="1" fillId="0" borderId="0" xfId="5" applyFont="1"/>
    <xf numFmtId="0" fontId="9" fillId="0" borderId="7" xfId="5" applyFont="1" applyBorder="1" applyAlignment="1">
      <alignment horizontal="left"/>
    </xf>
    <xf numFmtId="0" fontId="9" fillId="0" borderId="8" xfId="5" applyFont="1" applyBorder="1" applyAlignment="1">
      <alignment horizontal="left"/>
    </xf>
    <xf numFmtId="0" fontId="9" fillId="0" borderId="8" xfId="5" applyFont="1" applyBorder="1"/>
    <xf numFmtId="0" fontId="9" fillId="0" borderId="8" xfId="5" applyFont="1" applyBorder="1" applyAlignment="1">
      <alignment horizontal="center"/>
    </xf>
    <xf numFmtId="0" fontId="9" fillId="0" borderId="12" xfId="5" applyFont="1" applyBorder="1" applyAlignment="1">
      <alignment horizontal="center"/>
    </xf>
    <xf numFmtId="0" fontId="1" fillId="0" borderId="10" xfId="5" applyNumberFormat="1" applyFont="1" applyBorder="1" applyAlignment="1">
      <alignment horizontal="left" vertical="top" wrapText="1"/>
    </xf>
    <xf numFmtId="49" fontId="1" fillId="0" borderId="1" xfId="5" applyNumberFormat="1" applyBorder="1" applyAlignment="1">
      <alignment horizontal="center" vertical="top" wrapText="1"/>
    </xf>
    <xf numFmtId="0" fontId="1" fillId="0" borderId="1" xfId="5" applyBorder="1" applyAlignment="1" applyProtection="1">
      <alignment horizontal="center" vertical="top"/>
      <protection locked="0"/>
    </xf>
    <xf numFmtId="169" fontId="1" fillId="6" borderId="1" xfId="5" applyNumberFormat="1" applyFill="1" applyBorder="1" applyAlignment="1">
      <alignment horizontal="right"/>
    </xf>
    <xf numFmtId="169" fontId="1" fillId="0" borderId="2" xfId="5" applyNumberFormat="1" applyBorder="1" applyAlignment="1">
      <alignment vertical="top"/>
    </xf>
    <xf numFmtId="0" fontId="1" fillId="0" borderId="10" xfId="5" applyNumberFormat="1" applyFont="1" applyBorder="1" applyAlignment="1">
      <alignment horizontal="left" vertical="top"/>
    </xf>
    <xf numFmtId="49" fontId="1" fillId="0" borderId="19" xfId="5" applyNumberFormat="1" applyFont="1" applyBorder="1" applyAlignment="1">
      <alignment horizontal="center" vertical="top" wrapText="1"/>
    </xf>
    <xf numFmtId="0" fontId="1" fillId="0" borderId="1" xfId="5" applyFont="1" applyBorder="1" applyAlignment="1" applyProtection="1">
      <alignment horizontal="left" vertical="top"/>
      <protection locked="0"/>
    </xf>
    <xf numFmtId="0" fontId="1" fillId="0" borderId="21" xfId="5" applyNumberFormat="1" applyFont="1" applyBorder="1" applyAlignment="1">
      <alignment horizontal="left" vertical="top"/>
    </xf>
    <xf numFmtId="49" fontId="1" fillId="0" borderId="37" xfId="5" quotePrefix="1" applyNumberFormat="1" applyBorder="1" applyAlignment="1">
      <alignment horizontal="center" vertical="top" wrapText="1"/>
    </xf>
    <xf numFmtId="49" fontId="1" fillId="0" borderId="37" xfId="5" applyNumberFormat="1" applyFont="1" applyBorder="1" applyAlignment="1">
      <alignment horizontal="center" vertical="top" wrapText="1"/>
    </xf>
    <xf numFmtId="49" fontId="1" fillId="0" borderId="37" xfId="5" applyNumberFormat="1" applyBorder="1" applyAlignment="1">
      <alignment horizontal="center" vertical="top" wrapText="1"/>
    </xf>
    <xf numFmtId="0" fontId="1" fillId="0" borderId="11" xfId="5" applyNumberFormat="1" applyFont="1" applyBorder="1" applyAlignment="1">
      <alignment horizontal="left" vertical="top"/>
    </xf>
    <xf numFmtId="49" fontId="1" fillId="0" borderId="58" xfId="5" applyNumberFormat="1" applyBorder="1" applyAlignment="1">
      <alignment horizontal="center" vertical="top"/>
    </xf>
    <xf numFmtId="0" fontId="1" fillId="0" borderId="3" xfId="5" applyFont="1" applyBorder="1" applyAlignment="1" applyProtection="1">
      <alignment horizontal="left" vertical="top"/>
      <protection locked="0"/>
    </xf>
    <xf numFmtId="0" fontId="1" fillId="0" borderId="3" xfId="5" applyBorder="1" applyAlignment="1" applyProtection="1">
      <alignment horizontal="center" vertical="top"/>
      <protection locked="0"/>
    </xf>
    <xf numFmtId="169" fontId="1" fillId="6" borderId="3" xfId="5" applyNumberFormat="1" applyFill="1" applyBorder="1" applyAlignment="1">
      <alignment horizontal="right"/>
    </xf>
    <xf numFmtId="169" fontId="1" fillId="0" borderId="4" xfId="5" applyNumberFormat="1" applyBorder="1" applyAlignment="1">
      <alignment vertical="top"/>
    </xf>
    <xf numFmtId="0" fontId="1" fillId="0" borderId="0" xfId="5" applyNumberFormat="1" applyFont="1" applyBorder="1" applyAlignment="1">
      <alignment horizontal="left" vertical="top"/>
    </xf>
    <xf numFmtId="0" fontId="1" fillId="0" borderId="0" xfId="5" applyBorder="1" applyAlignment="1">
      <alignment horizontal="left" vertical="top"/>
    </xf>
    <xf numFmtId="0" fontId="1" fillId="0" borderId="0" xfId="5" applyBorder="1" applyAlignment="1" applyProtection="1">
      <alignment horizontal="center" vertical="top"/>
      <protection locked="0"/>
    </xf>
    <xf numFmtId="169" fontId="1" fillId="6" borderId="0" xfId="5" applyNumberFormat="1" applyFill="1" applyBorder="1" applyAlignment="1">
      <alignment horizontal="right"/>
    </xf>
    <xf numFmtId="169" fontId="1" fillId="0" borderId="0" xfId="5" applyNumberFormat="1" applyBorder="1" applyAlignment="1">
      <alignment vertical="top"/>
    </xf>
    <xf numFmtId="0" fontId="1" fillId="0" borderId="0" xfId="5" applyFont="1" applyBorder="1"/>
    <xf numFmtId="0" fontId="10" fillId="6" borderId="0" xfId="5" applyFont="1" applyFill="1" applyBorder="1"/>
    <xf numFmtId="0" fontId="18" fillId="0" borderId="0" xfId="5" applyFont="1" applyBorder="1"/>
    <xf numFmtId="0" fontId="3" fillId="0" borderId="0" xfId="5" applyNumberFormat="1" applyFont="1" applyBorder="1" applyAlignment="1">
      <alignment horizontal="left" vertical="top"/>
    </xf>
    <xf numFmtId="0" fontId="12" fillId="0" borderId="0" xfId="5" applyFont="1" applyBorder="1" applyAlignment="1" applyProtection="1">
      <alignment horizontal="center" vertical="top"/>
      <protection locked="0"/>
    </xf>
    <xf numFmtId="0" fontId="18" fillId="0" borderId="0" xfId="5" applyFont="1"/>
    <xf numFmtId="0" fontId="1" fillId="0" borderId="7" xfId="5" applyNumberFormat="1" applyFont="1" applyBorder="1" applyAlignment="1">
      <alignment horizontal="left" vertical="top"/>
    </xf>
    <xf numFmtId="0" fontId="1" fillId="0" borderId="8" xfId="5" applyFont="1" applyBorder="1" applyAlignment="1" applyProtection="1">
      <alignment horizontal="left" vertical="top"/>
      <protection locked="0"/>
    </xf>
    <xf numFmtId="0" fontId="1" fillId="0" borderId="8" xfId="5" applyBorder="1" applyAlignment="1" applyProtection="1">
      <alignment horizontal="center" vertical="top"/>
      <protection locked="0"/>
    </xf>
    <xf numFmtId="169" fontId="1" fillId="0" borderId="12" xfId="5" applyNumberFormat="1" applyBorder="1" applyAlignment="1">
      <alignment vertical="top"/>
    </xf>
    <xf numFmtId="49" fontId="1" fillId="0" borderId="1" xfId="5" applyNumberFormat="1" applyFont="1" applyBorder="1" applyAlignment="1">
      <alignment horizontal="center" vertical="center" wrapText="1"/>
    </xf>
    <xf numFmtId="0" fontId="17" fillId="0" borderId="0" xfId="5" applyFont="1"/>
    <xf numFmtId="0" fontId="10" fillId="5" borderId="0" xfId="5" applyFont="1" applyFill="1"/>
    <xf numFmtId="0" fontId="1" fillId="5" borderId="0" xfId="5" applyFill="1"/>
    <xf numFmtId="49" fontId="1" fillId="0" borderId="22" xfId="5" applyNumberFormat="1" applyBorder="1" applyAlignment="1">
      <alignment horizontal="center" vertical="center" wrapText="1"/>
    </xf>
    <xf numFmtId="0" fontId="1" fillId="0" borderId="22" xfId="5" applyFont="1" applyBorder="1" applyAlignment="1" applyProtection="1">
      <alignment horizontal="left" vertical="top"/>
      <protection locked="0"/>
    </xf>
    <xf numFmtId="0" fontId="1" fillId="0" borderId="22" xfId="5" applyBorder="1" applyAlignment="1" applyProtection="1">
      <alignment horizontal="center" vertical="top"/>
      <protection locked="0"/>
    </xf>
    <xf numFmtId="169" fontId="1" fillId="6" borderId="22" xfId="5" applyNumberFormat="1" applyFill="1" applyBorder="1" applyAlignment="1">
      <alignment horizontal="right" vertical="top"/>
    </xf>
    <xf numFmtId="49" fontId="1" fillId="0" borderId="3" xfId="5" applyNumberFormat="1" applyBorder="1" applyAlignment="1">
      <alignment horizontal="center" vertical="center" wrapText="1"/>
    </xf>
    <xf numFmtId="0" fontId="1" fillId="0" borderId="3" xfId="5" applyFont="1" applyBorder="1" applyAlignment="1">
      <alignment horizontal="left" vertical="top"/>
    </xf>
    <xf numFmtId="167" fontId="1" fillId="0" borderId="4" xfId="5" applyNumberFormat="1" applyBorder="1" applyAlignment="1">
      <alignment vertical="top"/>
    </xf>
    <xf numFmtId="0" fontId="3" fillId="0" borderId="17" xfId="5" applyFont="1" applyBorder="1" applyAlignment="1">
      <alignment horizontal="center" vertical="center"/>
    </xf>
    <xf numFmtId="169" fontId="3" fillId="0" borderId="18" xfId="5" applyNumberFormat="1" applyFont="1" applyBorder="1" applyAlignment="1">
      <alignment horizontal="right" vertical="top"/>
    </xf>
    <xf numFmtId="0" fontId="1" fillId="0" borderId="46" xfId="5" applyBorder="1" applyAlignment="1">
      <alignment horizontal="left" vertical="top"/>
    </xf>
    <xf numFmtId="0" fontId="1" fillId="0" borderId="46" xfId="5" applyFont="1" applyBorder="1" applyAlignment="1" applyProtection="1">
      <alignment wrapText="1"/>
      <protection locked="0"/>
    </xf>
    <xf numFmtId="0" fontId="1" fillId="0" borderId="46" xfId="5" applyBorder="1" applyAlignment="1" applyProtection="1">
      <alignment horizontal="center" vertical="top"/>
      <protection locked="0"/>
    </xf>
    <xf numFmtId="169" fontId="1" fillId="6" borderId="46" xfId="5" applyNumberFormat="1" applyFill="1" applyBorder="1" applyAlignment="1">
      <alignment horizontal="right"/>
    </xf>
    <xf numFmtId="169" fontId="1" fillId="0" borderId="47" xfId="5" applyNumberFormat="1" applyBorder="1" applyAlignment="1">
      <alignment vertical="top"/>
    </xf>
    <xf numFmtId="0" fontId="1" fillId="0" borderId="1" xfId="5" applyBorder="1" applyAlignment="1" applyProtection="1">
      <alignment wrapText="1"/>
      <protection locked="0"/>
    </xf>
    <xf numFmtId="0" fontId="1" fillId="0" borderId="53" xfId="5" applyNumberFormat="1" applyFont="1" applyBorder="1" applyAlignment="1">
      <alignment horizontal="left" vertical="top"/>
    </xf>
    <xf numFmtId="0" fontId="1" fillId="0" borderId="37" xfId="5" applyBorder="1" applyAlignment="1">
      <alignment horizontal="center" vertical="top" wrapText="1"/>
    </xf>
    <xf numFmtId="0" fontId="1" fillId="0" borderId="37" xfId="5" applyBorder="1" applyAlignment="1" applyProtection="1">
      <alignment horizontal="center" vertical="top"/>
      <protection locked="0"/>
    </xf>
    <xf numFmtId="167" fontId="1" fillId="6" borderId="37" xfId="5" applyNumberFormat="1" applyFill="1" applyBorder="1" applyAlignment="1">
      <alignment horizontal="right"/>
    </xf>
    <xf numFmtId="167" fontId="1" fillId="0" borderId="55" xfId="5" applyNumberFormat="1" applyBorder="1" applyAlignment="1">
      <alignment vertical="top"/>
    </xf>
    <xf numFmtId="0" fontId="1" fillId="0" borderId="28" xfId="5" applyBorder="1" applyAlignment="1">
      <alignment horizontal="center" vertical="top" wrapText="1"/>
    </xf>
    <xf numFmtId="0" fontId="1" fillId="0" borderId="28" xfId="5" applyBorder="1" applyAlignment="1" applyProtection="1">
      <alignment horizontal="center" vertical="top"/>
      <protection locked="0"/>
    </xf>
    <xf numFmtId="169" fontId="1" fillId="6" borderId="28" xfId="5" applyNumberFormat="1" applyFill="1" applyBorder="1" applyAlignment="1">
      <alignment horizontal="right"/>
    </xf>
    <xf numFmtId="169" fontId="1" fillId="0" borderId="42" xfId="5" applyNumberFormat="1" applyBorder="1" applyAlignment="1">
      <alignment vertical="top"/>
    </xf>
    <xf numFmtId="0" fontId="1" fillId="0" borderId="0" xfId="5" applyFont="1" applyAlignment="1">
      <alignment wrapText="1"/>
    </xf>
    <xf numFmtId="0" fontId="1" fillId="0" borderId="1" xfId="5" applyBorder="1" applyAlignment="1">
      <alignment horizontal="center" vertical="top" wrapText="1"/>
    </xf>
    <xf numFmtId="0" fontId="1" fillId="0" borderId="1" xfId="5" applyBorder="1" applyAlignment="1">
      <alignment horizontal="left" vertical="top" wrapText="1"/>
    </xf>
    <xf numFmtId="0" fontId="1" fillId="0" borderId="1" xfId="5" applyBorder="1" applyAlignment="1" applyProtection="1">
      <alignment horizontal="center" vertical="top" wrapText="1"/>
      <protection locked="0"/>
    </xf>
    <xf numFmtId="169" fontId="1" fillId="6" borderId="1" xfId="5" applyNumberFormat="1" applyFill="1" applyBorder="1" applyAlignment="1">
      <alignment horizontal="right" vertical="top" wrapText="1"/>
    </xf>
    <xf numFmtId="169" fontId="1" fillId="0" borderId="2" xfId="5" applyNumberFormat="1" applyBorder="1" applyAlignment="1">
      <alignment vertical="top" wrapText="1"/>
    </xf>
    <xf numFmtId="0" fontId="10" fillId="6" borderId="0" xfId="5" applyFont="1" applyFill="1" applyAlignment="1">
      <alignment wrapText="1"/>
    </xf>
    <xf numFmtId="0" fontId="1" fillId="5" borderId="0" xfId="5" applyFont="1" applyFill="1" applyAlignment="1">
      <alignment wrapText="1"/>
    </xf>
    <xf numFmtId="0" fontId="1" fillId="5" borderId="0" xfId="5" applyFill="1" applyAlignment="1">
      <alignment wrapText="1"/>
    </xf>
    <xf numFmtId="169" fontId="1" fillId="0" borderId="55" xfId="5" applyNumberFormat="1" applyBorder="1" applyAlignment="1">
      <alignment vertical="top"/>
    </xf>
    <xf numFmtId="0" fontId="1" fillId="0" borderId="11" xfId="5" applyBorder="1" applyAlignment="1">
      <alignment horizontal="left" vertical="top" wrapText="1"/>
    </xf>
    <xf numFmtId="0" fontId="1" fillId="0" borderId="3" xfId="5" applyBorder="1" applyAlignment="1">
      <alignment horizontal="left" vertical="top" wrapText="1"/>
    </xf>
    <xf numFmtId="167" fontId="1" fillId="6" borderId="3" xfId="5" applyNumberFormat="1" applyFill="1" applyBorder="1" applyAlignment="1">
      <alignment horizontal="right" vertical="top"/>
    </xf>
    <xf numFmtId="167" fontId="1" fillId="0" borderId="4" xfId="5" applyNumberFormat="1" applyBorder="1" applyAlignment="1">
      <alignment horizontal="right" vertical="top"/>
    </xf>
    <xf numFmtId="167" fontId="3" fillId="5" borderId="0" xfId="5" applyNumberFormat="1" applyFont="1" applyFill="1" applyBorder="1" applyAlignment="1">
      <alignment horizontal="center" vertical="center"/>
    </xf>
    <xf numFmtId="0" fontId="1" fillId="0" borderId="0" xfId="5" applyBorder="1" applyAlignment="1">
      <alignment wrapText="1"/>
    </xf>
    <xf numFmtId="0" fontId="3" fillId="0" borderId="13" xfId="5" applyFont="1" applyBorder="1" applyAlignment="1">
      <alignment horizontal="center" vertical="center"/>
    </xf>
    <xf numFmtId="0" fontId="1" fillId="5" borderId="0" xfId="5" applyFont="1" applyFill="1" applyAlignment="1">
      <alignment horizontal="center" vertical="center"/>
    </xf>
    <xf numFmtId="0" fontId="12" fillId="0" borderId="0" xfId="5" applyFont="1" applyBorder="1" applyAlignment="1">
      <alignment wrapText="1"/>
    </xf>
    <xf numFmtId="167" fontId="1" fillId="0" borderId="0" xfId="5" applyNumberFormat="1" applyBorder="1"/>
    <xf numFmtId="0" fontId="1" fillId="0" borderId="7" xfId="5" applyBorder="1" applyAlignment="1">
      <alignment horizontal="left" vertical="top"/>
    </xf>
    <xf numFmtId="0" fontId="1" fillId="0" borderId="8" xfId="5" applyBorder="1" applyAlignment="1" applyProtection="1">
      <alignment wrapText="1"/>
      <protection locked="0"/>
    </xf>
    <xf numFmtId="0" fontId="1" fillId="0" borderId="8" xfId="5" applyBorder="1" applyAlignment="1" applyProtection="1">
      <alignment horizontal="center"/>
      <protection locked="0"/>
    </xf>
    <xf numFmtId="169" fontId="1" fillId="6" borderId="8" xfId="5" applyNumberFormat="1" applyFill="1" applyBorder="1"/>
    <xf numFmtId="169" fontId="1" fillId="0" borderId="12" xfId="5" applyNumberFormat="1" applyBorder="1"/>
    <xf numFmtId="0" fontId="1" fillId="0" borderId="10" xfId="5" applyBorder="1" applyAlignment="1">
      <alignment horizontal="left" vertical="top"/>
    </xf>
    <xf numFmtId="0" fontId="1" fillId="0" borderId="19" xfId="5" applyFont="1" applyBorder="1" applyAlignment="1">
      <alignment horizontal="center" vertical="top"/>
    </xf>
    <xf numFmtId="0" fontId="1" fillId="0" borderId="19" xfId="5" applyBorder="1" applyAlignment="1" applyProtection="1">
      <alignment horizontal="left"/>
      <protection locked="0"/>
    </xf>
    <xf numFmtId="0" fontId="1" fillId="0" borderId="19" xfId="5" applyBorder="1" applyAlignment="1" applyProtection="1">
      <alignment horizontal="center"/>
      <protection locked="0"/>
    </xf>
    <xf numFmtId="169" fontId="1" fillId="6" borderId="19" xfId="5" applyNumberFormat="1" applyFill="1" applyBorder="1"/>
    <xf numFmtId="169" fontId="1" fillId="0" borderId="20" xfId="5" applyNumberFormat="1" applyBorder="1"/>
    <xf numFmtId="0" fontId="1" fillId="0" borderId="13" xfId="5" applyFont="1" applyBorder="1" applyAlignment="1">
      <alignment horizontal="left"/>
    </xf>
    <xf numFmtId="0" fontId="1" fillId="0" borderId="5" xfId="5" applyBorder="1" applyAlignment="1">
      <alignment horizontal="left"/>
    </xf>
    <xf numFmtId="0" fontId="1" fillId="0" borderId="5" xfId="5" applyFont="1" applyBorder="1" applyAlignment="1" applyProtection="1">
      <alignment wrapText="1"/>
      <protection locked="0"/>
    </xf>
    <xf numFmtId="0" fontId="1" fillId="0" borderId="5" xfId="5" applyBorder="1" applyAlignment="1" applyProtection="1">
      <alignment horizontal="center"/>
    </xf>
    <xf numFmtId="169" fontId="1" fillId="6" borderId="5" xfId="5" applyNumberFormat="1" applyFill="1" applyBorder="1"/>
    <xf numFmtId="169" fontId="1" fillId="0" borderId="6" xfId="5" applyNumberFormat="1" applyBorder="1"/>
    <xf numFmtId="169" fontId="3" fillId="0" borderId="18" xfId="5" applyNumberFormat="1" applyFont="1" applyBorder="1" applyAlignment="1">
      <alignment horizontal="right" vertical="center"/>
    </xf>
    <xf numFmtId="0" fontId="3" fillId="0" borderId="0" xfId="5" applyFont="1" applyBorder="1" applyAlignment="1">
      <alignment horizontal="center" vertical="center"/>
    </xf>
    <xf numFmtId="167" fontId="3" fillId="0" borderId="0" xfId="5" applyNumberFormat="1" applyFont="1" applyBorder="1" applyAlignment="1">
      <alignment horizontal="right" vertical="center"/>
    </xf>
    <xf numFmtId="0" fontId="1" fillId="0" borderId="7" xfId="5" applyBorder="1" applyAlignment="1" applyProtection="1">
      <alignment horizontal="left" vertical="top"/>
      <protection locked="0"/>
    </xf>
    <xf numFmtId="167" fontId="1" fillId="6" borderId="8" xfId="5" applyNumberFormat="1" applyFill="1" applyBorder="1" applyProtection="1">
      <protection locked="0"/>
    </xf>
    <xf numFmtId="167" fontId="1" fillId="0" borderId="12" xfId="5" applyNumberFormat="1" applyBorder="1"/>
    <xf numFmtId="0" fontId="1" fillId="0" borderId="54" xfId="5" applyBorder="1" applyAlignment="1" applyProtection="1">
      <alignment horizontal="left" vertical="top"/>
      <protection locked="0"/>
    </xf>
    <xf numFmtId="0" fontId="1" fillId="0" borderId="50" xfId="5" applyFont="1" applyBorder="1" applyAlignment="1" applyProtection="1">
      <alignment horizontal="left" vertical="top"/>
      <protection locked="0"/>
    </xf>
    <xf numFmtId="0" fontId="1" fillId="0" borderId="50" xfId="5" applyBorder="1" applyAlignment="1" applyProtection="1">
      <alignment wrapText="1"/>
      <protection locked="0"/>
    </xf>
    <xf numFmtId="0" fontId="1" fillId="0" borderId="50" xfId="5" applyBorder="1" applyAlignment="1" applyProtection="1">
      <alignment horizontal="center"/>
      <protection locked="0"/>
    </xf>
    <xf numFmtId="167" fontId="1" fillId="6" borderId="50" xfId="5" applyNumberFormat="1" applyFill="1" applyBorder="1" applyProtection="1">
      <protection locked="0"/>
    </xf>
    <xf numFmtId="167" fontId="1" fillId="0" borderId="20" xfId="5" applyNumberFormat="1" applyBorder="1"/>
    <xf numFmtId="0" fontId="1" fillId="0" borderId="10" xfId="5" applyBorder="1" applyAlignment="1" applyProtection="1">
      <alignment horizontal="left" vertical="top"/>
      <protection locked="0"/>
    </xf>
    <xf numFmtId="0" fontId="1" fillId="0" borderId="19" xfId="5" applyFont="1" applyBorder="1" applyAlignment="1" applyProtection="1">
      <alignment horizontal="left" vertical="top"/>
      <protection locked="0"/>
    </xf>
    <xf numFmtId="167" fontId="1" fillId="6" borderId="19" xfId="5" applyNumberFormat="1" applyFill="1" applyBorder="1" applyProtection="1">
      <protection locked="0"/>
    </xf>
    <xf numFmtId="0" fontId="1" fillId="0" borderId="13" xfId="5" applyFont="1" applyBorder="1" applyAlignment="1" applyProtection="1">
      <alignment horizontal="left"/>
      <protection locked="0"/>
    </xf>
    <xf numFmtId="0" fontId="1" fillId="0" borderId="5" xfId="5" applyBorder="1" applyAlignment="1" applyProtection="1">
      <alignment horizontal="left"/>
      <protection locked="0"/>
    </xf>
    <xf numFmtId="0" fontId="1" fillId="0" borderId="5" xfId="5" applyBorder="1" applyAlignment="1" applyProtection="1">
      <alignment horizontal="center"/>
      <protection locked="0"/>
    </xf>
    <xf numFmtId="167" fontId="1" fillId="6" borderId="5" xfId="5" applyNumberFormat="1" applyFill="1" applyBorder="1" applyProtection="1">
      <protection locked="0"/>
    </xf>
    <xf numFmtId="167" fontId="1" fillId="0" borderId="6" xfId="5" applyNumberFormat="1" applyBorder="1"/>
    <xf numFmtId="0" fontId="1" fillId="0" borderId="8" xfId="5" applyFont="1" applyBorder="1" applyAlignment="1">
      <alignment horizontal="left" vertical="top"/>
    </xf>
    <xf numFmtId="0" fontId="1" fillId="0" borderId="8" xfId="5" applyBorder="1" applyAlignment="1" applyProtection="1">
      <alignment horizontal="center"/>
    </xf>
    <xf numFmtId="0" fontId="1" fillId="0" borderId="1" xfId="5" applyFont="1" applyBorder="1" applyAlignment="1">
      <alignment horizontal="left" vertical="top"/>
    </xf>
    <xf numFmtId="0" fontId="1" fillId="0" borderId="1" xfId="5" applyFont="1" applyBorder="1" applyAlignment="1" applyProtection="1">
      <alignment wrapText="1"/>
    </xf>
    <xf numFmtId="0" fontId="1" fillId="0" borderId="1" xfId="5" applyBorder="1" applyAlignment="1" applyProtection="1">
      <alignment horizontal="center"/>
      <protection locked="0"/>
    </xf>
    <xf numFmtId="169" fontId="1" fillId="6" borderId="1" xfId="5" applyNumberFormat="1" applyFill="1" applyBorder="1"/>
    <xf numFmtId="169" fontId="1" fillId="0" borderId="2" xfId="5" applyNumberFormat="1" applyBorder="1"/>
    <xf numFmtId="0" fontId="1" fillId="0" borderId="21" xfId="5" applyBorder="1" applyAlignment="1">
      <alignment horizontal="left" vertical="top"/>
    </xf>
    <xf numFmtId="0" fontId="1" fillId="0" borderId="22" xfId="5" applyFont="1" applyBorder="1" applyAlignment="1">
      <alignment horizontal="left" vertical="top"/>
    </xf>
    <xf numFmtId="0" fontId="1" fillId="0" borderId="1" xfId="5" applyFont="1" applyBorder="1" applyAlignment="1" applyProtection="1">
      <alignment horizontal="left"/>
      <protection locked="0"/>
    </xf>
    <xf numFmtId="0" fontId="1" fillId="0" borderId="22" xfId="5" applyBorder="1" applyAlignment="1" applyProtection="1">
      <alignment horizontal="center"/>
      <protection locked="0"/>
    </xf>
    <xf numFmtId="169" fontId="1" fillId="6" borderId="1" xfId="5" applyNumberFormat="1" applyFill="1" applyBorder="1" applyProtection="1">
      <protection locked="0"/>
    </xf>
    <xf numFmtId="169" fontId="1" fillId="6" borderId="22" xfId="5" applyNumberFormat="1" applyFill="1" applyBorder="1" applyProtection="1">
      <protection locked="0"/>
    </xf>
    <xf numFmtId="0" fontId="1" fillId="0" borderId="11" xfId="5" applyBorder="1" applyAlignment="1">
      <alignment horizontal="left" vertical="top"/>
    </xf>
    <xf numFmtId="0" fontId="1" fillId="0" borderId="3" xfId="5" applyBorder="1" applyAlignment="1" applyProtection="1">
      <alignment wrapText="1"/>
      <protection locked="0"/>
    </xf>
    <xf numFmtId="0" fontId="1" fillId="0" borderId="3" xfId="5" applyBorder="1" applyAlignment="1" applyProtection="1">
      <alignment horizontal="center"/>
      <protection locked="0"/>
    </xf>
    <xf numFmtId="169" fontId="1" fillId="6" borderId="3" xfId="5" applyNumberFormat="1" applyFill="1" applyBorder="1" applyProtection="1">
      <protection locked="0"/>
    </xf>
    <xf numFmtId="169" fontId="1" fillId="0" borderId="4" xfId="5" applyNumberFormat="1" applyBorder="1"/>
    <xf numFmtId="0" fontId="23" fillId="0" borderId="0" xfId="5" applyFont="1" applyAlignment="1">
      <alignment horizontal="right"/>
    </xf>
    <xf numFmtId="0" fontId="3" fillId="3" borderId="17" xfId="5" applyFont="1" applyFill="1" applyBorder="1"/>
    <xf numFmtId="169" fontId="3" fillId="3" borderId="18" xfId="5" applyNumberFormat="1" applyFont="1" applyFill="1" applyBorder="1" applyProtection="1">
      <protection locked="0"/>
    </xf>
    <xf numFmtId="0" fontId="1" fillId="0" borderId="0" xfId="5" applyFont="1" applyAlignment="1">
      <alignment horizontal="left"/>
    </xf>
    <xf numFmtId="0" fontId="3" fillId="0" borderId="0" xfId="5" applyFont="1" applyBorder="1"/>
    <xf numFmtId="167" fontId="3" fillId="0" borderId="0" xfId="5" applyNumberFormat="1" applyFont="1" applyBorder="1"/>
    <xf numFmtId="169" fontId="3" fillId="3" borderId="18" xfId="5" applyNumberFormat="1" applyFont="1" applyFill="1" applyBorder="1"/>
    <xf numFmtId="0" fontId="12" fillId="0" borderId="0" xfId="5" applyFont="1"/>
    <xf numFmtId="0" fontId="10" fillId="6" borderId="0" xfId="5" applyFont="1" applyFill="1" applyAlignment="1">
      <alignment horizontal="center"/>
    </xf>
    <xf numFmtId="0" fontId="14" fillId="0" borderId="0" xfId="5" applyFont="1" applyAlignment="1">
      <alignment horizontal="center"/>
    </xf>
    <xf numFmtId="0" fontId="13" fillId="3" borderId="17" xfId="5" applyFont="1" applyFill="1" applyBorder="1" applyAlignment="1" applyProtection="1">
      <alignment horizontal="right"/>
      <protection locked="0"/>
    </xf>
    <xf numFmtId="9" fontId="1" fillId="3" borderId="18" xfId="5" applyNumberFormat="1" applyFill="1" applyBorder="1" applyAlignment="1" applyProtection="1">
      <alignment horizontal="center"/>
      <protection locked="0"/>
    </xf>
    <xf numFmtId="0" fontId="3" fillId="3" borderId="17" xfId="5" applyFont="1" applyFill="1" applyBorder="1" applyAlignment="1">
      <alignment horizontal="right"/>
    </xf>
    <xf numFmtId="0" fontId="8" fillId="0" borderId="0" xfId="5" applyFont="1" applyBorder="1" applyAlignment="1" applyProtection="1">
      <alignment horizontal="left" vertical="top" wrapText="1" indent="1"/>
      <protection locked="0"/>
    </xf>
    <xf numFmtId="0" fontId="8" fillId="0" borderId="0" xfId="5" applyFont="1" applyBorder="1" applyAlignment="1" applyProtection="1">
      <alignment horizontal="left" vertical="top" indent="1"/>
      <protection locked="0"/>
    </xf>
    <xf numFmtId="0" fontId="8" fillId="0" borderId="0" xfId="5" applyFont="1" applyBorder="1" applyAlignment="1" applyProtection="1">
      <alignment vertical="top"/>
      <protection locked="0"/>
    </xf>
    <xf numFmtId="9" fontId="8" fillId="0" borderId="0" xfId="6" applyFont="1" applyBorder="1" applyAlignment="1" applyProtection="1">
      <alignment horizontal="center" vertical="top"/>
    </xf>
    <xf numFmtId="0" fontId="7" fillId="2" borderId="16" xfId="5" applyFont="1" applyFill="1" applyBorder="1" applyAlignment="1">
      <alignment horizontal="left"/>
    </xf>
    <xf numFmtId="0" fontId="1" fillId="2" borderId="14" xfId="5" applyFill="1" applyBorder="1" applyAlignment="1">
      <alignment horizontal="left"/>
    </xf>
    <xf numFmtId="0" fontId="1" fillId="2" borderId="15" xfId="5" applyFill="1" applyBorder="1"/>
    <xf numFmtId="0" fontId="3" fillId="0" borderId="7" xfId="5" applyFont="1" applyBorder="1"/>
    <xf numFmtId="0" fontId="3" fillId="0" borderId="27" xfId="5" applyFont="1" applyBorder="1" applyAlignment="1">
      <alignment horizontal="center"/>
    </xf>
    <xf numFmtId="0" fontId="1" fillId="0" borderId="7" xfId="5" applyBorder="1"/>
    <xf numFmtId="0" fontId="1" fillId="3" borderId="8" xfId="5" applyFont="1" applyFill="1" applyBorder="1" applyAlignment="1" applyProtection="1">
      <alignment horizontal="center"/>
      <protection locked="0"/>
    </xf>
    <xf numFmtId="0" fontId="1" fillId="0" borderId="10" xfId="5" applyBorder="1"/>
    <xf numFmtId="0" fontId="1" fillId="3" borderId="1" xfId="5" applyFont="1" applyFill="1" applyBorder="1" applyAlignment="1" applyProtection="1">
      <alignment horizontal="center"/>
      <protection locked="0"/>
    </xf>
    <xf numFmtId="0" fontId="1" fillId="0" borderId="11" xfId="5" applyBorder="1"/>
    <xf numFmtId="0" fontId="1" fillId="3" borderId="3" xfId="5" applyFill="1" applyBorder="1" applyAlignment="1" applyProtection="1">
      <alignment horizontal="center"/>
      <protection locked="0"/>
    </xf>
    <xf numFmtId="0" fontId="1" fillId="0" borderId="0" xfId="5" applyFont="1" applyBorder="1" applyAlignment="1">
      <alignment horizontal="center"/>
    </xf>
    <xf numFmtId="0" fontId="1" fillId="0" borderId="0" xfId="5" applyBorder="1" applyAlignment="1" applyProtection="1">
      <alignment horizontal="left" vertical="top" indent="1"/>
      <protection locked="0"/>
    </xf>
    <xf numFmtId="0" fontId="3" fillId="9" borderId="17" xfId="5" applyFont="1" applyFill="1" applyBorder="1" applyAlignment="1">
      <alignment horizontal="left"/>
    </xf>
    <xf numFmtId="167" fontId="3" fillId="9" borderId="18" xfId="1" applyNumberFormat="1" applyFont="1" applyFill="1" applyBorder="1" applyProtection="1">
      <protection locked="0"/>
    </xf>
    <xf numFmtId="0" fontId="1" fillId="0" borderId="0" xfId="5" applyFont="1" applyBorder="1" applyAlignment="1">
      <alignment horizontal="right"/>
    </xf>
    <xf numFmtId="0" fontId="1" fillId="0" borderId="30" xfId="5" applyBorder="1"/>
    <xf numFmtId="0" fontId="1" fillId="0" borderId="31" xfId="5" applyBorder="1" applyAlignment="1">
      <alignment horizontal="left"/>
    </xf>
    <xf numFmtId="0" fontId="1" fillId="0" borderId="31" xfId="5" applyBorder="1"/>
    <xf numFmtId="0" fontId="1" fillId="0" borderId="31" xfId="5" applyBorder="1" applyAlignment="1">
      <alignment horizontal="center"/>
    </xf>
    <xf numFmtId="0" fontId="10" fillId="6" borderId="32" xfId="5" applyFont="1" applyFill="1" applyBorder="1"/>
    <xf numFmtId="0" fontId="1" fillId="0" borderId="33" xfId="5" applyFont="1" applyBorder="1"/>
    <xf numFmtId="0" fontId="6" fillId="2" borderId="0" xfId="5" applyFont="1" applyFill="1" applyBorder="1" applyAlignment="1">
      <alignment horizontal="left"/>
    </xf>
    <xf numFmtId="0" fontId="6" fillId="2" borderId="0" xfId="5" applyFont="1" applyFill="1" applyBorder="1"/>
    <xf numFmtId="0" fontId="6" fillId="2" borderId="0" xfId="5" applyFont="1" applyFill="1" applyBorder="1" applyAlignment="1">
      <alignment horizontal="center"/>
    </xf>
    <xf numFmtId="0" fontId="10" fillId="6" borderId="34" xfId="5" applyFont="1" applyFill="1" applyBorder="1"/>
    <xf numFmtId="0" fontId="6" fillId="0" borderId="0" xfId="5" applyFont="1" applyBorder="1" applyAlignment="1">
      <alignment horizontal="left"/>
    </xf>
    <xf numFmtId="0" fontId="1" fillId="0" borderId="0" xfId="5" applyFont="1" applyBorder="1" applyAlignment="1">
      <alignment horizontal="left"/>
    </xf>
    <xf numFmtId="0" fontId="6" fillId="0" borderId="0" xfId="5" applyFont="1" applyBorder="1"/>
    <xf numFmtId="0" fontId="6" fillId="0" borderId="0" xfId="5" applyFont="1" applyBorder="1" applyAlignment="1">
      <alignment horizontal="center"/>
    </xf>
    <xf numFmtId="0" fontId="1" fillId="0" borderId="1" xfId="5" applyFont="1" applyBorder="1" applyAlignment="1">
      <alignment horizontal="left"/>
    </xf>
    <xf numFmtId="49" fontId="1" fillId="0" borderId="1" xfId="5" applyNumberFormat="1" applyBorder="1" applyAlignment="1">
      <alignment horizontal="center"/>
    </xf>
    <xf numFmtId="0" fontId="1" fillId="0" borderId="1" xfId="5" applyBorder="1" applyAlignment="1">
      <alignment horizontal="center"/>
    </xf>
    <xf numFmtId="49" fontId="1" fillId="0" borderId="1" xfId="5" applyNumberFormat="1" applyFont="1" applyBorder="1" applyAlignment="1">
      <alignment horizontal="center"/>
    </xf>
    <xf numFmtId="49" fontId="1" fillId="0" borderId="1" xfId="5" applyNumberFormat="1" applyFont="1" applyFill="1" applyBorder="1" applyAlignment="1">
      <alignment horizontal="center"/>
    </xf>
    <xf numFmtId="49" fontId="1" fillId="0" borderId="0" xfId="5" applyNumberFormat="1" applyFill="1" applyBorder="1" applyAlignment="1">
      <alignment horizontal="center"/>
    </xf>
    <xf numFmtId="0" fontId="1" fillId="0" borderId="0" xfId="5" applyFill="1" applyBorder="1" applyAlignment="1">
      <alignment horizontal="center"/>
    </xf>
    <xf numFmtId="0" fontId="1" fillId="5" borderId="1" xfId="5" applyFont="1" applyFill="1" applyBorder="1" applyAlignment="1">
      <alignment horizontal="left"/>
    </xf>
    <xf numFmtId="49" fontId="1" fillId="0" borderId="0" xfId="5" applyNumberFormat="1" applyFont="1" applyBorder="1" applyAlignment="1">
      <alignment horizontal="center"/>
    </xf>
    <xf numFmtId="49" fontId="1" fillId="0" borderId="0" xfId="5" applyNumberFormat="1" applyFont="1" applyBorder="1"/>
    <xf numFmtId="49" fontId="1" fillId="0" borderId="0" xfId="5" applyNumberFormat="1" applyBorder="1" applyAlignment="1">
      <alignment horizontal="center"/>
    </xf>
    <xf numFmtId="0" fontId="1" fillId="0" borderId="0" xfId="5" applyNumberFormat="1" applyBorder="1"/>
    <xf numFmtId="49" fontId="1" fillId="0" borderId="1" xfId="5" applyNumberFormat="1" applyFill="1" applyBorder="1" applyAlignment="1">
      <alignment horizontal="left"/>
    </xf>
    <xf numFmtId="0" fontId="1" fillId="0" borderId="1" xfId="5" applyFill="1" applyBorder="1" applyAlignment="1">
      <alignment horizontal="center"/>
    </xf>
    <xf numFmtId="49" fontId="1" fillId="0" borderId="1" xfId="5" applyNumberFormat="1" applyFill="1" applyBorder="1" applyAlignment="1">
      <alignment horizontal="center"/>
    </xf>
    <xf numFmtId="0" fontId="10" fillId="0" borderId="1" xfId="5" applyFont="1" applyBorder="1" applyAlignment="1">
      <alignment horizontal="left"/>
    </xf>
    <xf numFmtId="49" fontId="10" fillId="0" borderId="1" xfId="5" applyNumberFormat="1" applyFont="1" applyFill="1" applyBorder="1" applyAlignment="1">
      <alignment horizontal="center"/>
    </xf>
    <xf numFmtId="168" fontId="1" fillId="5" borderId="0" xfId="5" applyNumberFormat="1" applyFont="1" applyFill="1"/>
    <xf numFmtId="0" fontId="10" fillId="0" borderId="1" xfId="5" applyFont="1" applyFill="1" applyBorder="1" applyAlignment="1">
      <alignment horizontal="center"/>
    </xf>
    <xf numFmtId="49" fontId="1" fillId="0" borderId="0" xfId="5" applyNumberFormat="1" applyBorder="1" applyAlignment="1">
      <alignment horizontal="left"/>
    </xf>
    <xf numFmtId="168" fontId="1" fillId="0" borderId="1" xfId="1" applyNumberFormat="1" applyFont="1" applyFill="1" applyBorder="1" applyAlignment="1" applyProtection="1">
      <alignment horizontal="right"/>
      <protection locked="0"/>
    </xf>
    <xf numFmtId="0" fontId="1" fillId="0" borderId="1" xfId="5" applyFont="1" applyFill="1" applyBorder="1" applyAlignment="1">
      <alignment horizontal="center"/>
    </xf>
    <xf numFmtId="0" fontId="1" fillId="0" borderId="1" xfId="5" applyFont="1" applyBorder="1" applyAlignment="1">
      <alignment wrapText="1"/>
    </xf>
    <xf numFmtId="49" fontId="1" fillId="0" borderId="1" xfId="5" applyNumberFormat="1" applyFont="1" applyBorder="1" applyAlignment="1">
      <alignment horizontal="center" vertical="top"/>
    </xf>
    <xf numFmtId="0" fontId="1" fillId="0" borderId="1" xfId="5" applyFont="1" applyBorder="1" applyAlignment="1">
      <alignment horizontal="center" vertical="top"/>
    </xf>
    <xf numFmtId="49" fontId="1" fillId="0" borderId="1" xfId="5" quotePrefix="1" applyNumberFormat="1" applyFont="1" applyBorder="1" applyAlignment="1">
      <alignment horizontal="center"/>
    </xf>
    <xf numFmtId="0" fontId="1" fillId="0" borderId="1" xfId="5" applyFont="1" applyBorder="1" applyAlignment="1">
      <alignment horizontal="center"/>
    </xf>
    <xf numFmtId="0" fontId="1" fillId="0" borderId="33" xfId="5" applyBorder="1"/>
    <xf numFmtId="0" fontId="1" fillId="5" borderId="0" xfId="5" applyFill="1" applyAlignment="1">
      <alignment horizontal="left"/>
    </xf>
    <xf numFmtId="0" fontId="1" fillId="0" borderId="1" xfId="5" applyBorder="1"/>
    <xf numFmtId="0" fontId="1" fillId="0" borderId="22" xfId="5" applyFont="1" applyBorder="1" applyAlignment="1">
      <alignment horizontal="center"/>
    </xf>
    <xf numFmtId="0" fontId="1" fillId="0" borderId="22" xfId="5" applyBorder="1" applyAlignment="1">
      <alignment horizontal="center"/>
    </xf>
    <xf numFmtId="168" fontId="1" fillId="0" borderId="1" xfId="1" applyNumberFormat="1" applyFont="1" applyBorder="1" applyAlignment="1">
      <alignment horizontal="right"/>
    </xf>
    <xf numFmtId="0" fontId="1" fillId="0" borderId="1" xfId="5" applyBorder="1" applyAlignment="1">
      <alignment horizontal="left"/>
    </xf>
    <xf numFmtId="1" fontId="1" fillId="0" borderId="1" xfId="5" applyNumberFormat="1" applyFill="1" applyBorder="1" applyAlignment="1">
      <alignment horizontal="center"/>
    </xf>
    <xf numFmtId="0" fontId="1" fillId="0" borderId="0" xfId="5" applyBorder="1" applyProtection="1">
      <protection locked="0"/>
    </xf>
    <xf numFmtId="0" fontId="1" fillId="0" borderId="35" xfId="5" applyBorder="1"/>
    <xf numFmtId="0" fontId="1" fillId="0" borderId="9" xfId="5" applyBorder="1" applyAlignment="1">
      <alignment horizontal="left"/>
    </xf>
    <xf numFmtId="0" fontId="1" fillId="0" borderId="9" xfId="5" applyBorder="1"/>
    <xf numFmtId="0" fontId="1" fillId="0" borderId="9" xfId="5" applyBorder="1" applyAlignment="1">
      <alignment horizontal="center"/>
    </xf>
    <xf numFmtId="0" fontId="10" fillId="6" borderId="6" xfId="5" applyFont="1" applyFill="1" applyBorder="1"/>
    <xf numFmtId="0" fontId="1" fillId="5" borderId="0" xfId="5" applyFill="1" applyAlignment="1">
      <alignment horizontal="center"/>
    </xf>
    <xf numFmtId="0" fontId="0" fillId="0" borderId="56" xfId="0" applyBorder="1" applyAlignment="1" applyProtection="1">
      <alignment horizontal="center"/>
    </xf>
    <xf numFmtId="0" fontId="0" fillId="0" borderId="59" xfId="0" applyBorder="1" applyAlignment="1" applyProtection="1">
      <alignment horizontal="left" vertical="top"/>
    </xf>
    <xf numFmtId="0" fontId="5" fillId="0" borderId="56" xfId="0" applyFont="1" applyBorder="1" applyAlignment="1" applyProtection="1">
      <alignment horizontal="left" vertical="top"/>
    </xf>
    <xf numFmtId="169" fontId="0" fillId="0" borderId="2" xfId="0" applyNumberFormat="1" applyBorder="1" applyProtection="1"/>
    <xf numFmtId="0" fontId="54" fillId="6" borderId="0" xfId="0" applyFont="1" applyFill="1" applyAlignment="1" applyProtection="1">
      <alignment horizontal="right"/>
    </xf>
    <xf numFmtId="171" fontId="38" fillId="6" borderId="0" xfId="0" applyNumberFormat="1" applyFont="1" applyFill="1" applyAlignment="1" applyProtection="1">
      <alignment horizontal="center"/>
    </xf>
    <xf numFmtId="0" fontId="53" fillId="5" borderId="0" xfId="0" applyFont="1" applyFill="1" applyAlignment="1">
      <alignment horizontal="center"/>
    </xf>
    <xf numFmtId="0" fontId="54" fillId="6" borderId="0" xfId="0" applyFont="1" applyFill="1" applyAlignment="1" applyProtection="1">
      <alignment horizontal="right" indent="1"/>
    </xf>
    <xf numFmtId="0" fontId="11" fillId="6" borderId="0" xfId="0" applyFont="1" applyFill="1" applyBorder="1" applyAlignment="1">
      <alignment horizontal="left" indent="3"/>
    </xf>
    <xf numFmtId="0" fontId="0" fillId="0" borderId="31" xfId="0" applyBorder="1" applyAlignment="1">
      <alignment horizontal="left" vertical="top"/>
    </xf>
    <xf numFmtId="0" fontId="1" fillId="0" borderId="31" xfId="0" applyFont="1" applyBorder="1" applyAlignment="1">
      <alignment wrapText="1"/>
    </xf>
    <xf numFmtId="0" fontId="0" fillId="0" borderId="31" xfId="0" applyBorder="1" applyAlignment="1" applyProtection="1">
      <alignment horizontal="center" vertical="top"/>
      <protection locked="0"/>
    </xf>
    <xf numFmtId="169" fontId="0" fillId="6" borderId="31" xfId="0" applyNumberFormat="1" applyFill="1" applyBorder="1" applyAlignment="1">
      <alignment horizontal="right"/>
    </xf>
    <xf numFmtId="169" fontId="0" fillId="0" borderId="32" xfId="0" applyNumberFormat="1" applyBorder="1" applyAlignment="1">
      <alignment vertical="top"/>
    </xf>
    <xf numFmtId="0" fontId="0" fillId="0" borderId="33" xfId="0" applyBorder="1" applyAlignment="1">
      <alignment horizontal="left" vertical="top"/>
    </xf>
    <xf numFmtId="0" fontId="5" fillId="0" borderId="0" xfId="0" applyFont="1" applyBorder="1" applyAlignment="1">
      <alignment horizontal="left" vertical="top"/>
    </xf>
    <xf numFmtId="0" fontId="0" fillId="0" borderId="0" xfId="0" applyBorder="1" applyAlignment="1" applyProtection="1">
      <alignment horizontal="center"/>
      <protection locked="0"/>
    </xf>
    <xf numFmtId="167" fontId="0" fillId="6" borderId="0" xfId="0" applyNumberFormat="1" applyFill="1" applyBorder="1"/>
    <xf numFmtId="167" fontId="0" fillId="0" borderId="34" xfId="0" applyNumberFormat="1" applyBorder="1"/>
    <xf numFmtId="0" fontId="3" fillId="0" borderId="1" xfId="0" applyFont="1" applyBorder="1" applyAlignment="1" applyProtection="1">
      <alignment horizontal="left" vertical="top" wrapText="1"/>
    </xf>
    <xf numFmtId="0" fontId="0" fillId="0" borderId="1" xfId="0" applyBorder="1" applyAlignment="1" applyProtection="1">
      <alignment horizontal="left" vertical="top" wrapText="1"/>
    </xf>
    <xf numFmtId="0" fontId="5" fillId="0" borderId="3" xfId="0" applyFont="1" applyBorder="1" applyAlignment="1" applyProtection="1">
      <alignment horizontal="left" vertical="top" wrapText="1"/>
    </xf>
    <xf numFmtId="0" fontId="0" fillId="0" borderId="1" xfId="0" applyBorder="1" applyAlignment="1" applyProtection="1">
      <alignment horizontal="center" vertical="top"/>
    </xf>
    <xf numFmtId="3" fontId="3" fillId="0" borderId="0" xfId="0" applyNumberFormat="1" applyFont="1"/>
    <xf numFmtId="168" fontId="2" fillId="0" borderId="1" xfId="1" applyNumberFormat="1" applyFont="1" applyBorder="1" applyAlignment="1" applyProtection="1">
      <alignment horizontal="right"/>
      <protection locked="0"/>
    </xf>
    <xf numFmtId="0" fontId="2" fillId="0" borderId="1" xfId="0" applyFont="1" applyBorder="1" applyAlignment="1">
      <alignment horizontal="center" wrapText="1"/>
    </xf>
    <xf numFmtId="0" fontId="1" fillId="0" borderId="1" xfId="0" applyFont="1" applyBorder="1" applyAlignment="1">
      <alignment horizontal="left" vertical="top" wrapText="1"/>
    </xf>
    <xf numFmtId="0" fontId="11" fillId="0" borderId="9" xfId="0" applyFont="1" applyBorder="1"/>
    <xf numFmtId="10" fontId="1" fillId="0" borderId="0" xfId="3" applyNumberFormat="1" applyFont="1" applyBorder="1" applyAlignment="1">
      <alignment wrapText="1"/>
    </xf>
    <xf numFmtId="0" fontId="18" fillId="0" borderId="0" xfId="5" applyFont="1" applyBorder="1" applyAlignment="1">
      <alignment horizontal="center"/>
    </xf>
    <xf numFmtId="0" fontId="48" fillId="0" borderId="0" xfId="5" applyFont="1" applyBorder="1" applyAlignment="1">
      <alignment horizontal="left" vertical="top"/>
    </xf>
    <xf numFmtId="169" fontId="48" fillId="0" borderId="0" xfId="5" applyNumberFormat="1" applyFont="1" applyBorder="1" applyAlignment="1">
      <alignment horizontal="right" wrapText="1"/>
    </xf>
    <xf numFmtId="169" fontId="48" fillId="0" borderId="0" xfId="5" applyNumberFormat="1" applyFont="1" applyBorder="1" applyAlignment="1">
      <alignment horizontal="right" vertical="top"/>
    </xf>
    <xf numFmtId="169" fontId="48" fillId="0" borderId="0" xfId="5" applyNumberFormat="1" applyFont="1" applyAlignment="1">
      <alignment horizontal="right"/>
    </xf>
    <xf numFmtId="169" fontId="18" fillId="0" borderId="0" xfId="5" applyNumberFormat="1" applyFont="1" applyAlignment="1">
      <alignment horizontal="right"/>
    </xf>
    <xf numFmtId="0" fontId="54" fillId="0" borderId="0" xfId="5" applyFont="1" applyAlignment="1">
      <alignment horizontal="left"/>
    </xf>
    <xf numFmtId="0" fontId="18" fillId="0" borderId="0" xfId="5" applyFont="1" applyAlignment="1">
      <alignment horizontal="left"/>
    </xf>
    <xf numFmtId="169" fontId="48" fillId="0" borderId="0" xfId="3" applyNumberFormat="1" applyFont="1" applyAlignment="1">
      <alignment horizontal="right"/>
    </xf>
    <xf numFmtId="0" fontId="18" fillId="0" borderId="0" xfId="5" applyFont="1" applyAlignment="1">
      <alignment horizontal="right"/>
    </xf>
    <xf numFmtId="49" fontId="11" fillId="0" borderId="9" xfId="0" applyNumberFormat="1" applyFont="1" applyFill="1" applyBorder="1" applyAlignment="1"/>
    <xf numFmtId="49" fontId="1" fillId="0" borderId="9" xfId="0" applyNumberFormat="1" applyFont="1" applyFill="1" applyBorder="1" applyAlignment="1">
      <alignment horizontal="center" wrapText="1"/>
    </xf>
    <xf numFmtId="49" fontId="1" fillId="0" borderId="9" xfId="0" applyNumberFormat="1" applyFont="1" applyFill="1" applyBorder="1" applyAlignment="1">
      <alignment wrapText="1"/>
    </xf>
    <xf numFmtId="49" fontId="1" fillId="0" borderId="9" xfId="0" applyNumberFormat="1" applyFont="1" applyFill="1" applyBorder="1" applyAlignment="1">
      <alignment horizontal="center" vertical="center" wrapText="1"/>
    </xf>
    <xf numFmtId="49" fontId="1" fillId="0" borderId="0" xfId="0" applyNumberFormat="1" applyFont="1" applyFill="1" applyAlignment="1">
      <alignment wrapText="1"/>
    </xf>
    <xf numFmtId="49" fontId="1" fillId="0" borderId="0" xfId="0" applyNumberFormat="1" applyFont="1" applyFill="1" applyAlignment="1">
      <alignment horizontal="center" wrapText="1"/>
    </xf>
    <xf numFmtId="49" fontId="1" fillId="0" borderId="0" xfId="0" applyNumberFormat="1" applyFont="1" applyFill="1" applyAlignment="1">
      <alignment horizontal="center" vertical="center" wrapText="1"/>
    </xf>
    <xf numFmtId="49" fontId="3" fillId="0" borderId="60" xfId="0" applyNumberFormat="1" applyFont="1" applyFill="1" applyBorder="1" applyAlignment="1">
      <alignment horizontal="center" wrapText="1"/>
    </xf>
    <xf numFmtId="49" fontId="52" fillId="0" borderId="30" xfId="0" applyNumberFormat="1" applyFont="1" applyFill="1" applyBorder="1" applyAlignment="1">
      <alignment vertical="center" wrapText="1"/>
    </xf>
    <xf numFmtId="49" fontId="52" fillId="0" borderId="14" xfId="0" applyNumberFormat="1" applyFont="1" applyFill="1" applyBorder="1" applyAlignment="1">
      <alignment vertical="center" wrapText="1"/>
    </xf>
    <xf numFmtId="49" fontId="52" fillId="0" borderId="14" xfId="0" applyNumberFormat="1" applyFont="1" applyFill="1" applyBorder="1" applyAlignment="1">
      <alignment vertical="center"/>
    </xf>
    <xf numFmtId="49" fontId="52" fillId="0" borderId="14" xfId="0" applyNumberFormat="1" applyFont="1" applyFill="1" applyBorder="1" applyAlignment="1">
      <alignment horizontal="center" vertical="center" wrapText="1"/>
    </xf>
    <xf numFmtId="49" fontId="52" fillId="0" borderId="31" xfId="0" applyNumberFormat="1" applyFont="1" applyFill="1" applyBorder="1" applyAlignment="1">
      <alignment horizontal="center" vertical="center" wrapText="1"/>
    </xf>
    <xf numFmtId="49" fontId="52" fillId="0" borderId="32" xfId="0" applyNumberFormat="1" applyFont="1" applyFill="1" applyBorder="1" applyAlignment="1">
      <alignment horizontal="center" vertical="center" wrapText="1"/>
    </xf>
    <xf numFmtId="49" fontId="52" fillId="0" borderId="0" xfId="0" applyNumberFormat="1" applyFont="1" applyFill="1" applyBorder="1" applyAlignment="1">
      <alignment horizontal="center" vertical="center" wrapText="1"/>
    </xf>
    <xf numFmtId="49" fontId="16" fillId="0" borderId="30" xfId="0" applyNumberFormat="1" applyFont="1" applyFill="1" applyBorder="1" applyAlignment="1">
      <alignment vertical="center" wrapText="1"/>
    </xf>
    <xf numFmtId="49" fontId="2" fillId="0" borderId="31" xfId="0" applyNumberFormat="1" applyFont="1" applyFill="1" applyBorder="1" applyAlignment="1">
      <alignment vertical="center" wrapText="1"/>
    </xf>
    <xf numFmtId="49" fontId="2" fillId="0" borderId="31" xfId="0" applyNumberFormat="1" applyFont="1" applyFill="1" applyBorder="1" applyAlignment="1">
      <alignment horizontal="center" vertical="center" wrapText="1"/>
    </xf>
    <xf numFmtId="0" fontId="2" fillId="0" borderId="31" xfId="0" applyNumberFormat="1" applyFont="1" applyFill="1" applyBorder="1" applyAlignment="1">
      <alignment horizontal="center" vertical="center" wrapText="1"/>
    </xf>
    <xf numFmtId="0" fontId="2" fillId="0" borderId="32" xfId="0" applyNumberFormat="1" applyFont="1" applyFill="1" applyBorder="1" applyAlignment="1">
      <alignment horizontal="center" vertical="center" wrapText="1"/>
    </xf>
    <xf numFmtId="49" fontId="0" fillId="0" borderId="0" xfId="0" applyNumberFormat="1"/>
    <xf numFmtId="0" fontId="1" fillId="0" borderId="0" xfId="0" applyNumberFormat="1" applyFont="1" applyFill="1" applyAlignment="1">
      <alignment wrapText="1"/>
    </xf>
    <xf numFmtId="49" fontId="57" fillId="0" borderId="35" xfId="0" applyNumberFormat="1" applyFont="1" applyFill="1" applyBorder="1" applyAlignment="1">
      <alignment vertical="center" wrapText="1"/>
    </xf>
    <xf numFmtId="49" fontId="2" fillId="0" borderId="9" xfId="0" applyNumberFormat="1" applyFont="1" applyFill="1" applyBorder="1" applyAlignment="1">
      <alignment vertical="center" wrapText="1"/>
    </xf>
    <xf numFmtId="49" fontId="2" fillId="0" borderId="9" xfId="0" applyNumberFormat="1" applyFont="1" applyFill="1" applyBorder="1" applyAlignment="1">
      <alignment horizontal="center" vertical="center" wrapText="1"/>
    </xf>
    <xf numFmtId="0" fontId="2" fillId="0" borderId="6" xfId="0" applyNumberFormat="1" applyFont="1" applyFill="1" applyBorder="1" applyAlignment="1">
      <alignment horizontal="center" vertical="center" wrapText="1"/>
    </xf>
    <xf numFmtId="49" fontId="2" fillId="0" borderId="31" xfId="0" applyNumberFormat="1" applyFont="1" applyFill="1" applyBorder="1" applyAlignment="1">
      <alignment horizontal="left" vertical="center" wrapText="1"/>
    </xf>
    <xf numFmtId="49" fontId="57" fillId="0" borderId="33" xfId="0" applyNumberFormat="1" applyFont="1" applyFill="1" applyBorder="1" applyAlignment="1">
      <alignment vertical="center" wrapText="1"/>
    </xf>
    <xf numFmtId="49" fontId="2" fillId="0" borderId="0" xfId="0" applyNumberFormat="1" applyFont="1" applyFill="1" applyBorder="1" applyAlignment="1">
      <alignment vertical="center" wrapText="1"/>
    </xf>
    <xf numFmtId="49" fontId="2" fillId="0" borderId="0" xfId="0" applyNumberFormat="1" applyFont="1" applyFill="1" applyBorder="1" applyAlignment="1">
      <alignment horizontal="center" vertical="center" wrapText="1"/>
    </xf>
    <xf numFmtId="0" fontId="2" fillId="0" borderId="34" xfId="0" applyNumberFormat="1" applyFont="1" applyFill="1" applyBorder="1" applyAlignment="1">
      <alignment horizontal="center" vertical="center" wrapText="1"/>
    </xf>
    <xf numFmtId="49" fontId="2" fillId="0" borderId="35" xfId="0" applyNumberFormat="1" applyFont="1" applyFill="1" applyBorder="1" applyAlignment="1">
      <alignment vertical="center" wrapText="1"/>
    </xf>
    <xf numFmtId="49" fontId="16" fillId="0" borderId="35" xfId="0" applyNumberFormat="1" applyFont="1" applyFill="1" applyBorder="1" applyAlignment="1">
      <alignment vertical="center" wrapText="1"/>
    </xf>
    <xf numFmtId="49" fontId="2" fillId="0" borderId="31" xfId="0" applyNumberFormat="1" applyFont="1" applyFill="1" applyBorder="1" applyAlignment="1">
      <alignment horizontal="center" vertical="top" wrapText="1"/>
    </xf>
    <xf numFmtId="49" fontId="16" fillId="0" borderId="33" xfId="0" applyNumberFormat="1" applyFont="1" applyFill="1" applyBorder="1" applyAlignment="1">
      <alignment vertical="center" wrapText="1"/>
    </xf>
    <xf numFmtId="49" fontId="1" fillId="0" borderId="0" xfId="0" applyNumberFormat="1" applyFont="1" applyFill="1" applyBorder="1" applyAlignment="1">
      <alignment horizontal="center" wrapText="1"/>
    </xf>
    <xf numFmtId="0" fontId="2" fillId="0" borderId="0" xfId="0" applyNumberFormat="1" applyFont="1" applyFill="1" applyBorder="1" applyAlignment="1">
      <alignment horizontal="center" vertical="center" wrapText="1"/>
    </xf>
    <xf numFmtId="49" fontId="1" fillId="0" borderId="0" xfId="0" applyNumberFormat="1" applyFont="1" applyFill="1" applyBorder="1" applyAlignment="1">
      <alignment wrapText="1"/>
    </xf>
    <xf numFmtId="49" fontId="57" fillId="0" borderId="33" xfId="7" applyNumberFormat="1" applyFont="1" applyFill="1" applyBorder="1" applyAlignment="1" applyProtection="1">
      <alignment vertical="center" wrapText="1"/>
    </xf>
    <xf numFmtId="49" fontId="2" fillId="0" borderId="33" xfId="0" applyNumberFormat="1" applyFont="1" applyFill="1" applyBorder="1" applyAlignment="1">
      <alignment vertical="center" wrapText="1"/>
    </xf>
    <xf numFmtId="49" fontId="2" fillId="0" borderId="0" xfId="0" applyNumberFormat="1" applyFont="1" applyFill="1" applyBorder="1" applyAlignment="1">
      <alignment horizontal="center" vertical="top" wrapText="1"/>
    </xf>
    <xf numFmtId="0" fontId="15" fillId="0" borderId="0" xfId="0" applyFont="1" applyFill="1" applyBorder="1" applyAlignment="1">
      <alignment vertical="center" wrapText="1"/>
    </xf>
    <xf numFmtId="49" fontId="16" fillId="0" borderId="30" xfId="0" applyNumberFormat="1" applyFont="1" applyFill="1" applyBorder="1" applyAlignment="1">
      <alignment vertical="top" wrapText="1"/>
    </xf>
    <xf numFmtId="0" fontId="2" fillId="0" borderId="31" xfId="0" applyFont="1" applyFill="1" applyBorder="1" applyAlignment="1">
      <alignment horizontal="center" vertical="top" wrapText="1"/>
    </xf>
    <xf numFmtId="0" fontId="2" fillId="0" borderId="31" xfId="0" applyFont="1" applyFill="1" applyBorder="1" applyAlignment="1">
      <alignment vertical="center" wrapText="1"/>
    </xf>
    <xf numFmtId="49" fontId="59" fillId="0" borderId="33" xfId="0" applyNumberFormat="1" applyFont="1" applyFill="1" applyBorder="1" applyAlignment="1">
      <alignment vertical="center" wrapText="1"/>
    </xf>
    <xf numFmtId="49" fontId="59" fillId="0" borderId="35" xfId="0" applyNumberFormat="1" applyFont="1" applyFill="1" applyBorder="1" applyAlignment="1">
      <alignment vertical="center" wrapText="1"/>
    </xf>
    <xf numFmtId="0" fontId="2" fillId="0" borderId="9" xfId="0" applyFont="1" applyFill="1" applyBorder="1" applyAlignment="1">
      <alignment horizontal="center" vertical="center" wrapText="1"/>
    </xf>
    <xf numFmtId="0" fontId="2" fillId="0" borderId="9" xfId="0" applyFont="1" applyFill="1" applyBorder="1" applyAlignment="1">
      <alignment horizontal="center" vertical="top" wrapText="1"/>
    </xf>
    <xf numFmtId="0" fontId="2" fillId="0" borderId="9" xfId="0" applyFont="1" applyFill="1" applyBorder="1" applyAlignment="1">
      <alignment vertical="center" wrapText="1"/>
    </xf>
    <xf numFmtId="49" fontId="1" fillId="0" borderId="0" xfId="0" applyNumberFormat="1" applyFont="1" applyFill="1" applyAlignment="1">
      <alignment vertical="center" wrapText="1"/>
    </xf>
    <xf numFmtId="49" fontId="1" fillId="0" borderId="0" xfId="0" applyNumberFormat="1" applyFont="1" applyFill="1" applyBorder="1" applyAlignment="1">
      <alignment horizontal="center" vertical="center" wrapText="1"/>
    </xf>
    <xf numFmtId="0" fontId="1" fillId="0" borderId="0" xfId="0" applyNumberFormat="1" applyFont="1" applyFill="1" applyAlignment="1">
      <alignment horizontal="center" wrapText="1"/>
    </xf>
    <xf numFmtId="0" fontId="60" fillId="0" borderId="0" xfId="0" applyFont="1"/>
    <xf numFmtId="49" fontId="16" fillId="0" borderId="31" xfId="0" applyNumberFormat="1" applyFont="1" applyFill="1" applyBorder="1" applyAlignment="1">
      <alignment vertical="center" wrapText="1"/>
    </xf>
    <xf numFmtId="49" fontId="57" fillId="0" borderId="0" xfId="0" applyNumberFormat="1" applyFont="1" applyFill="1" applyBorder="1" applyAlignment="1">
      <alignment vertical="center" wrapText="1"/>
    </xf>
    <xf numFmtId="0" fontId="1" fillId="0" borderId="0" xfId="0" applyNumberFormat="1" applyFont="1" applyFill="1" applyAlignment="1">
      <alignment horizontal="center" vertical="center" wrapText="1"/>
    </xf>
    <xf numFmtId="49" fontId="16" fillId="0" borderId="16" xfId="0" applyNumberFormat="1" applyFont="1" applyFill="1" applyBorder="1" applyAlignment="1">
      <alignment vertical="center" wrapText="1"/>
    </xf>
    <xf numFmtId="49" fontId="2" fillId="0" borderId="14" xfId="0" applyNumberFormat="1" applyFont="1" applyFill="1" applyBorder="1" applyAlignment="1">
      <alignment vertical="center" wrapText="1"/>
    </xf>
    <xf numFmtId="49" fontId="2" fillId="0" borderId="14" xfId="0" applyNumberFormat="1" applyFont="1" applyFill="1" applyBorder="1" applyAlignment="1">
      <alignment horizontal="center" vertical="center" wrapText="1"/>
    </xf>
    <xf numFmtId="0" fontId="2" fillId="0" borderId="15" xfId="0" applyNumberFormat="1" applyFont="1" applyFill="1" applyBorder="1" applyAlignment="1">
      <alignment horizontal="center" vertical="center" wrapText="1"/>
    </xf>
    <xf numFmtId="49" fontId="1" fillId="0" borderId="0" xfId="0" applyNumberFormat="1" applyFont="1" applyFill="1" applyBorder="1" applyAlignment="1">
      <alignment vertical="center" wrapText="1"/>
    </xf>
    <xf numFmtId="0" fontId="52" fillId="0" borderId="45" xfId="5" applyNumberFormat="1" applyFont="1" applyBorder="1" applyAlignment="1">
      <alignment horizontal="left" vertical="top"/>
    </xf>
    <xf numFmtId="0" fontId="52" fillId="0" borderId="41" xfId="5" applyNumberFormat="1" applyFont="1" applyBorder="1" applyAlignment="1">
      <alignment horizontal="left" vertical="top"/>
    </xf>
    <xf numFmtId="168" fontId="3" fillId="13" borderId="1" xfId="1" applyNumberFormat="1" applyFont="1" applyFill="1" applyBorder="1" applyAlignment="1" applyProtection="1">
      <alignment horizontal="left" vertical="center"/>
    </xf>
    <xf numFmtId="168" fontId="1" fillId="0" borderId="0" xfId="1" applyNumberFormat="1" applyFont="1" applyBorder="1" applyAlignment="1">
      <alignment horizontal="right"/>
    </xf>
    <xf numFmtId="0" fontId="2" fillId="0" borderId="31" xfId="0" applyFont="1" applyFill="1" applyBorder="1" applyAlignment="1">
      <alignment horizontal="center" vertical="center" wrapText="1"/>
    </xf>
    <xf numFmtId="0" fontId="5" fillId="0" borderId="1" xfId="0" applyFont="1" applyBorder="1" applyAlignment="1">
      <alignment horizontal="center"/>
    </xf>
    <xf numFmtId="14" fontId="42" fillId="0" borderId="0" xfId="0" applyNumberFormat="1" applyFont="1" applyAlignment="1">
      <alignment horizontal="left"/>
    </xf>
    <xf numFmtId="0" fontId="1" fillId="0" borderId="24" xfId="0" applyFont="1" applyBorder="1" applyAlignment="1" applyProtection="1">
      <alignment wrapText="1"/>
      <protection locked="0"/>
    </xf>
    <xf numFmtId="169" fontId="1" fillId="6" borderId="8" xfId="5" applyNumberFormat="1" applyFill="1" applyBorder="1" applyAlignment="1">
      <alignment horizontal="right" vertical="top"/>
    </xf>
    <xf numFmtId="169" fontId="1" fillId="6" borderId="1" xfId="5" applyNumberFormat="1" applyFill="1" applyBorder="1" applyAlignment="1">
      <alignment horizontal="right" vertical="top"/>
    </xf>
    <xf numFmtId="0" fontId="1" fillId="0" borderId="22" xfId="5" applyBorder="1" applyAlignment="1">
      <alignment horizontal="left" vertical="top" wrapText="1"/>
    </xf>
    <xf numFmtId="169" fontId="1" fillId="6" borderId="22" xfId="5" applyNumberFormat="1" applyFill="1" applyBorder="1" applyAlignment="1">
      <alignment horizontal="right"/>
    </xf>
    <xf numFmtId="0" fontId="1" fillId="0" borderId="1" xfId="5" applyFont="1" applyBorder="1" applyAlignment="1" applyProtection="1">
      <alignment horizontal="left" vertical="top"/>
    </xf>
    <xf numFmtId="168" fontId="0" fillId="13" borderId="1" xfId="1" applyNumberFormat="1" applyFont="1" applyFill="1" applyBorder="1" applyProtection="1"/>
    <xf numFmtId="9" fontId="0" fillId="13" borderId="1" xfId="3" applyFont="1" applyFill="1" applyBorder="1" applyProtection="1"/>
    <xf numFmtId="0" fontId="1" fillId="13" borderId="1" xfId="0" applyFont="1" applyFill="1" applyBorder="1" applyAlignment="1" applyProtection="1">
      <alignment horizontal="right"/>
    </xf>
    <xf numFmtId="168" fontId="1" fillId="13" borderId="1" xfId="1" applyNumberFormat="1" applyFont="1" applyFill="1" applyBorder="1" applyProtection="1"/>
    <xf numFmtId="0" fontId="1" fillId="0" borderId="1" xfId="5" applyFont="1" applyBorder="1" applyAlignment="1" applyProtection="1">
      <alignment vertical="top" wrapText="1"/>
      <protection locked="0"/>
    </xf>
    <xf numFmtId="3" fontId="2" fillId="0" borderId="1" xfId="0" applyNumberFormat="1" applyFont="1" applyBorder="1" applyAlignment="1">
      <alignment horizontal="center"/>
    </xf>
    <xf numFmtId="0" fontId="5" fillId="0" borderId="1" xfId="0" applyFont="1" applyBorder="1" applyAlignment="1">
      <alignment horizontal="center"/>
    </xf>
    <xf numFmtId="0" fontId="3" fillId="7" borderId="0" xfId="0" applyFont="1" applyFill="1" applyAlignment="1">
      <alignment horizontal="center"/>
    </xf>
    <xf numFmtId="0" fontId="1" fillId="5" borderId="0" xfId="0" applyFont="1" applyFill="1" applyAlignment="1">
      <alignment horizontal="center"/>
    </xf>
    <xf numFmtId="0" fontId="1" fillId="0" borderId="1" xfId="5" quotePrefix="1" applyBorder="1" applyAlignment="1">
      <alignment horizontal="center" vertical="top" wrapText="1"/>
    </xf>
    <xf numFmtId="49" fontId="1" fillId="0" borderId="1" xfId="5" quotePrefix="1" applyNumberFormat="1" applyFont="1" applyFill="1" applyBorder="1" applyAlignment="1">
      <alignment horizontal="center"/>
    </xf>
    <xf numFmtId="49" fontId="1" fillId="0" borderId="1" xfId="5" quotePrefix="1" applyNumberFormat="1" applyFill="1" applyBorder="1" applyAlignment="1">
      <alignment horizontal="center"/>
    </xf>
    <xf numFmtId="165" fontId="0" fillId="0" borderId="0" xfId="0" applyNumberFormat="1"/>
    <xf numFmtId="9" fontId="10" fillId="5" borderId="0" xfId="6" applyFont="1" applyFill="1" applyAlignment="1">
      <alignment horizontal="center"/>
    </xf>
    <xf numFmtId="0" fontId="10" fillId="5" borderId="0" xfId="5" applyFont="1" applyFill="1" applyAlignment="1">
      <alignment horizontal="center"/>
    </xf>
    <xf numFmtId="9" fontId="1" fillId="5" borderId="0" xfId="6" applyFont="1" applyFill="1"/>
    <xf numFmtId="169" fontId="1" fillId="5" borderId="0" xfId="5" applyNumberFormat="1" applyFont="1" applyFill="1"/>
    <xf numFmtId="9" fontId="1" fillId="5" borderId="0" xfId="5" applyNumberFormat="1" applyFont="1" applyFill="1"/>
    <xf numFmtId="0" fontId="1" fillId="5" borderId="0" xfId="5" applyFont="1" applyFill="1" applyAlignment="1">
      <alignment horizontal="center"/>
    </xf>
    <xf numFmtId="9" fontId="1" fillId="5" borderId="0" xfId="5" applyNumberFormat="1" applyFont="1" applyFill="1" applyAlignment="1">
      <alignment wrapText="1"/>
    </xf>
    <xf numFmtId="169" fontId="1" fillId="5" borderId="0" xfId="5" applyNumberFormat="1" applyFont="1" applyFill="1" applyAlignment="1">
      <alignment wrapText="1"/>
    </xf>
    <xf numFmtId="0" fontId="1" fillId="5" borderId="0" xfId="5" applyFont="1" applyFill="1" applyAlignment="1"/>
    <xf numFmtId="0" fontId="1" fillId="5" borderId="0" xfId="5" applyFont="1" applyFill="1" applyAlignment="1">
      <alignment horizontal="left"/>
    </xf>
    <xf numFmtId="170" fontId="1" fillId="5" borderId="0" xfId="2" applyNumberFormat="1" applyFont="1" applyFill="1" applyAlignment="1">
      <alignment horizontal="center"/>
    </xf>
    <xf numFmtId="14" fontId="1" fillId="5" borderId="0" xfId="5" applyNumberFormat="1" applyFont="1" applyFill="1"/>
    <xf numFmtId="0" fontId="1" fillId="5" borderId="0" xfId="0" applyFont="1" applyFill="1" applyAlignment="1">
      <alignment horizontal="left" indent="2"/>
    </xf>
    <xf numFmtId="9" fontId="1" fillId="5" borderId="0" xfId="0" applyNumberFormat="1" applyFont="1" applyFill="1"/>
    <xf numFmtId="0" fontId="0" fillId="0" borderId="1" xfId="0" applyBorder="1" applyAlignment="1" applyProtection="1">
      <alignment horizontal="center"/>
    </xf>
    <xf numFmtId="167" fontId="1" fillId="6" borderId="22" xfId="0" applyNumberFormat="1" applyFont="1" applyFill="1" applyBorder="1" applyAlignment="1">
      <alignment horizontal="right"/>
    </xf>
    <xf numFmtId="0" fontId="5" fillId="0" borderId="1" xfId="0" applyFont="1" applyBorder="1" applyAlignment="1" applyProtection="1">
      <alignment horizontal="left" vertical="top"/>
    </xf>
    <xf numFmtId="0" fontId="10" fillId="5" borderId="0" xfId="0" applyFont="1" applyFill="1"/>
    <xf numFmtId="0" fontId="12" fillId="4" borderId="14" xfId="5" applyFont="1" applyFill="1" applyBorder="1" applyAlignment="1">
      <alignment vertical="center"/>
    </xf>
    <xf numFmtId="167" fontId="1" fillId="6" borderId="37" xfId="5" applyNumberFormat="1" applyFill="1" applyBorder="1" applyAlignment="1">
      <alignment horizontal="right" vertical="top"/>
    </xf>
    <xf numFmtId="169" fontId="1" fillId="6" borderId="28" xfId="5" applyNumberFormat="1" applyFill="1" applyBorder="1" applyAlignment="1">
      <alignment horizontal="right" vertical="top"/>
    </xf>
    <xf numFmtId="9" fontId="53" fillId="5" borderId="0" xfId="0" applyNumberFormat="1" applyFont="1" applyFill="1"/>
    <xf numFmtId="0" fontId="53" fillId="5" borderId="0" xfId="0" applyFont="1" applyFill="1" applyAlignment="1">
      <alignment horizontal="center" vertical="center"/>
    </xf>
    <xf numFmtId="9" fontId="53" fillId="5" borderId="0" xfId="3" applyFont="1" applyFill="1" applyAlignment="1">
      <alignment horizontal="center"/>
    </xf>
    <xf numFmtId="168" fontId="53" fillId="5" borderId="0" xfId="0" applyNumberFormat="1" applyFont="1" applyFill="1"/>
    <xf numFmtId="9" fontId="53" fillId="5" borderId="0" xfId="0" applyNumberFormat="1" applyFont="1" applyFill="1" applyAlignment="1">
      <alignment horizontal="center"/>
    </xf>
    <xf numFmtId="1" fontId="53" fillId="5" borderId="0" xfId="0" applyNumberFormat="1" applyFont="1" applyFill="1"/>
    <xf numFmtId="165" fontId="53" fillId="5" borderId="0" xfId="0" applyNumberFormat="1" applyFont="1" applyFill="1"/>
    <xf numFmtId="0" fontId="53" fillId="5" borderId="1" xfId="0" applyFont="1" applyFill="1" applyBorder="1" applyAlignment="1">
      <alignment horizontal="center"/>
    </xf>
    <xf numFmtId="0" fontId="53" fillId="5" borderId="1" xfId="0" applyFont="1" applyFill="1" applyBorder="1"/>
    <xf numFmtId="166" fontId="53" fillId="5" borderId="0" xfId="2" applyFont="1" applyFill="1"/>
    <xf numFmtId="173" fontId="53" fillId="5" borderId="0" xfId="0" applyNumberFormat="1" applyFont="1" applyFill="1" applyAlignment="1">
      <alignment horizontal="center"/>
    </xf>
    <xf numFmtId="0" fontId="53" fillId="5" borderId="0" xfId="0" applyFont="1" applyFill="1" applyAlignment="1">
      <alignment horizontal="left" indent="2"/>
    </xf>
    <xf numFmtId="0" fontId="61" fillId="5" borderId="0" xfId="0" applyFont="1" applyFill="1" applyAlignment="1">
      <alignment horizontal="center"/>
    </xf>
    <xf numFmtId="0" fontId="12" fillId="4" borderId="14" xfId="0" applyFont="1" applyFill="1" applyBorder="1" applyAlignment="1">
      <alignment horizontal="left"/>
    </xf>
    <xf numFmtId="14" fontId="62" fillId="0" borderId="0" xfId="0" applyNumberFormat="1" applyFont="1" applyAlignment="1" applyProtection="1">
      <alignment horizontal="left"/>
    </xf>
    <xf numFmtId="0" fontId="30" fillId="0" borderId="0" xfId="0" applyFont="1"/>
    <xf numFmtId="0" fontId="1" fillId="0" borderId="10" xfId="5" applyBorder="1" applyAlignment="1">
      <alignment horizontal="left" vertical="top" wrapText="1"/>
    </xf>
    <xf numFmtId="0" fontId="1" fillId="5" borderId="0" xfId="0" applyFont="1" applyFill="1" applyAlignment="1">
      <alignment horizontal="center"/>
    </xf>
    <xf numFmtId="0" fontId="1" fillId="0" borderId="28" xfId="0" applyFont="1" applyBorder="1" applyAlignment="1">
      <alignment horizontal="left"/>
    </xf>
    <xf numFmtId="0" fontId="9" fillId="0" borderId="66" xfId="0" applyFont="1" applyBorder="1" applyAlignment="1">
      <alignment horizontal="left"/>
    </xf>
    <xf numFmtId="0" fontId="24" fillId="0" borderId="28" xfId="0" applyFont="1" applyBorder="1" applyAlignment="1">
      <alignment horizontal="left"/>
    </xf>
    <xf numFmtId="0" fontId="5" fillId="0" borderId="19" xfId="0" applyNumberFormat="1" applyFont="1" applyBorder="1" applyAlignment="1">
      <alignment horizontal="left" vertical="top"/>
    </xf>
    <xf numFmtId="0" fontId="5" fillId="0" borderId="67" xfId="0" applyNumberFormat="1" applyFont="1" applyBorder="1" applyAlignment="1">
      <alignment horizontal="left" vertical="top"/>
    </xf>
    <xf numFmtId="0" fontId="24" fillId="0" borderId="54" xfId="0" applyFont="1" applyBorder="1" applyAlignment="1">
      <alignment horizontal="left"/>
    </xf>
    <xf numFmtId="0" fontId="0" fillId="0" borderId="66" xfId="0" applyBorder="1" applyAlignment="1">
      <alignment horizontal="left" vertical="top"/>
    </xf>
    <xf numFmtId="0" fontId="0" fillId="0" borderId="19" xfId="0" applyBorder="1" applyAlignment="1" applyProtection="1">
      <alignment horizontal="left" vertical="top"/>
    </xf>
    <xf numFmtId="0" fontId="0" fillId="0" borderId="49" xfId="0" applyBorder="1" applyAlignment="1" applyProtection="1">
      <alignment horizontal="left" vertical="top"/>
    </xf>
    <xf numFmtId="0" fontId="0" fillId="0" borderId="39" xfId="0" applyBorder="1" applyAlignment="1" applyProtection="1">
      <alignment horizontal="left" vertical="top"/>
      <protection locked="0"/>
    </xf>
    <xf numFmtId="0" fontId="0" fillId="0" borderId="19" xfId="0" applyBorder="1" applyAlignment="1">
      <alignment horizontal="left" vertical="top"/>
    </xf>
    <xf numFmtId="0" fontId="0" fillId="0" borderId="39" xfId="0" applyBorder="1" applyAlignment="1">
      <alignment horizontal="left" vertical="top"/>
    </xf>
    <xf numFmtId="0" fontId="0" fillId="0" borderId="67" xfId="0" applyBorder="1" applyAlignment="1" applyProtection="1">
      <alignment horizontal="left" vertical="top"/>
      <protection locked="0"/>
    </xf>
    <xf numFmtId="0" fontId="5" fillId="0" borderId="68" xfId="0" applyNumberFormat="1" applyFont="1" applyBorder="1" applyAlignment="1">
      <alignment horizontal="left" vertical="top"/>
    </xf>
    <xf numFmtId="0" fontId="0" fillId="0" borderId="67" xfId="0" applyBorder="1" applyAlignment="1">
      <alignment horizontal="left" vertical="top"/>
    </xf>
    <xf numFmtId="0" fontId="15" fillId="0" borderId="31" xfId="0" applyNumberFormat="1" applyFont="1" applyBorder="1" applyAlignment="1">
      <alignment horizontal="left" vertical="top"/>
    </xf>
    <xf numFmtId="0" fontId="0" fillId="0" borderId="37" xfId="0" applyBorder="1" applyAlignment="1">
      <alignment horizontal="left" vertical="top"/>
    </xf>
    <xf numFmtId="0" fontId="15" fillId="0" borderId="0" xfId="0" applyNumberFormat="1" applyFont="1" applyBorder="1" applyAlignment="1">
      <alignment horizontal="left" vertical="top"/>
    </xf>
    <xf numFmtId="0" fontId="15" fillId="0" borderId="28" xfId="0" applyNumberFormat="1" applyFont="1" applyBorder="1" applyAlignment="1">
      <alignment horizontal="left" vertical="top"/>
    </xf>
    <xf numFmtId="0" fontId="5" fillId="0" borderId="5" xfId="0" applyFont="1" applyBorder="1" applyAlignment="1">
      <alignment horizontal="left"/>
    </xf>
    <xf numFmtId="0" fontId="0" fillId="0" borderId="66" xfId="0" applyBorder="1" applyAlignment="1" applyProtection="1">
      <alignment horizontal="left" vertical="top"/>
      <protection locked="0"/>
    </xf>
    <xf numFmtId="0" fontId="0" fillId="0" borderId="50" xfId="0" applyBorder="1" applyAlignment="1" applyProtection="1">
      <alignment horizontal="left" vertical="top"/>
      <protection locked="0"/>
    </xf>
    <xf numFmtId="0" fontId="1" fillId="0" borderId="5" xfId="0" applyFont="1" applyBorder="1" applyAlignment="1" applyProtection="1">
      <alignment horizontal="left"/>
      <protection locked="0"/>
    </xf>
    <xf numFmtId="0" fontId="0" fillId="0" borderId="7" xfId="0" applyBorder="1" applyAlignment="1" applyProtection="1">
      <alignment horizontal="left" vertical="top" wrapText="1"/>
      <protection locked="0"/>
    </xf>
    <xf numFmtId="0" fontId="0" fillId="0" borderId="54"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1" fillId="0" borderId="13" xfId="0" applyFont="1" applyBorder="1" applyAlignment="1" applyProtection="1">
      <alignment horizontal="left" wrapText="1"/>
      <protection locked="0"/>
    </xf>
    <xf numFmtId="0" fontId="1" fillId="0" borderId="1" xfId="0" applyFont="1" applyBorder="1" applyAlignment="1" applyProtection="1">
      <alignment horizontal="left" vertical="top" wrapText="1"/>
      <protection locked="0"/>
    </xf>
    <xf numFmtId="0" fontId="2" fillId="0" borderId="1" xfId="0" applyFont="1" applyBorder="1" applyAlignment="1">
      <alignment horizontal="center" vertical="top" wrapText="1"/>
    </xf>
    <xf numFmtId="165" fontId="2" fillId="0" borderId="1" xfId="1" applyNumberFormat="1" applyFont="1" applyBorder="1" applyAlignment="1" applyProtection="1">
      <alignment horizontal="left" vertical="top"/>
      <protection locked="0"/>
    </xf>
    <xf numFmtId="169" fontId="0" fillId="6" borderId="1" xfId="0" applyNumberFormat="1" applyFill="1" applyBorder="1" applyAlignment="1">
      <alignment horizontal="right" vertical="top"/>
    </xf>
    <xf numFmtId="0" fontId="0" fillId="0" borderId="1" xfId="0" quotePrefix="1" applyBorder="1" applyAlignment="1">
      <alignment horizontal="left" vertical="top"/>
    </xf>
    <xf numFmtId="0" fontId="1" fillId="0" borderId="19" xfId="0" applyNumberFormat="1" applyFont="1" applyBorder="1" applyAlignment="1">
      <alignment horizontal="left" vertical="top"/>
    </xf>
    <xf numFmtId="0" fontId="8" fillId="0" borderId="0" xfId="5" applyFont="1" applyBorder="1" applyAlignment="1" applyProtection="1">
      <alignment vertical="top"/>
    </xf>
    <xf numFmtId="168" fontId="30" fillId="0" borderId="0" xfId="1" applyNumberFormat="1" applyFont="1" applyBorder="1" applyAlignment="1" applyProtection="1">
      <alignment horizontal="right"/>
    </xf>
    <xf numFmtId="0" fontId="1" fillId="0" borderId="21" xfId="5" applyBorder="1" applyAlignment="1" applyProtection="1">
      <alignment horizontal="left" vertical="top"/>
      <protection locked="0"/>
    </xf>
    <xf numFmtId="0" fontId="65" fillId="0" borderId="0" xfId="5" applyFont="1" applyBorder="1" applyAlignment="1" applyProtection="1">
      <alignment vertical="top"/>
    </xf>
    <xf numFmtId="10" fontId="1" fillId="0" borderId="0" xfId="3" applyNumberFormat="1" applyFont="1" applyBorder="1" applyAlignment="1" applyProtection="1">
      <alignment horizontal="right"/>
    </xf>
    <xf numFmtId="0" fontId="1" fillId="0" borderId="10" xfId="5" applyBorder="1" applyAlignment="1" applyProtection="1">
      <alignment horizontal="left" vertical="top"/>
    </xf>
    <xf numFmtId="0" fontId="1" fillId="0" borderId="19" xfId="5" applyFont="1" applyBorder="1" applyAlignment="1" applyProtection="1">
      <alignment horizontal="center" vertical="top"/>
    </xf>
    <xf numFmtId="0" fontId="1" fillId="0" borderId="19" xfId="5" applyBorder="1" applyAlignment="1" applyProtection="1">
      <alignment horizontal="left"/>
    </xf>
    <xf numFmtId="165" fontId="0" fillId="6" borderId="34" xfId="0" applyNumberFormat="1" applyFill="1" applyBorder="1"/>
    <xf numFmtId="0" fontId="0" fillId="6" borderId="0" xfId="0" applyFill="1" applyProtection="1"/>
    <xf numFmtId="0" fontId="0" fillId="8" borderId="0" xfId="0" applyFill="1" applyProtection="1"/>
    <xf numFmtId="0" fontId="3" fillId="6" borderId="0" xfId="0" applyFont="1" applyFill="1" applyProtection="1"/>
    <xf numFmtId="0" fontId="52" fillId="6" borderId="0" xfId="0" applyFont="1" applyFill="1" applyAlignment="1" applyProtection="1">
      <alignment horizontal="center"/>
    </xf>
    <xf numFmtId="0" fontId="3" fillId="6" borderId="0" xfId="0" applyFont="1" applyFill="1" applyAlignment="1" applyProtection="1">
      <alignment vertical="center"/>
    </xf>
    <xf numFmtId="0" fontId="0" fillId="6" borderId="0" xfId="0" applyFill="1" applyAlignment="1" applyProtection="1">
      <alignment vertical="center"/>
    </xf>
    <xf numFmtId="14" fontId="8" fillId="6" borderId="0" xfId="0" applyNumberFormat="1" applyFont="1" applyFill="1" applyAlignment="1" applyProtection="1">
      <alignment horizontal="left"/>
    </xf>
    <xf numFmtId="14" fontId="8" fillId="6" borderId="0" xfId="0" applyNumberFormat="1" applyFont="1" applyFill="1" applyAlignment="1" applyProtection="1">
      <alignment horizontal="center"/>
    </xf>
    <xf numFmtId="0" fontId="8" fillId="6" borderId="0" xfId="0" applyFont="1" applyFill="1" applyAlignment="1" applyProtection="1">
      <alignment horizontal="left"/>
    </xf>
    <xf numFmtId="0" fontId="8" fillId="6" borderId="0" xfId="0" applyFont="1" applyFill="1" applyAlignment="1" applyProtection="1">
      <alignment horizontal="center"/>
    </xf>
    <xf numFmtId="164" fontId="8" fillId="6" borderId="0" xfId="0" applyNumberFormat="1" applyFont="1" applyFill="1" applyAlignment="1" applyProtection="1">
      <alignment horizontal="left"/>
    </xf>
    <xf numFmtId="164" fontId="8" fillId="6" borderId="0" xfId="0" applyNumberFormat="1" applyFont="1" applyFill="1" applyAlignment="1" applyProtection="1">
      <alignment horizontal="center"/>
    </xf>
    <xf numFmtId="0" fontId="0" fillId="6" borderId="0" xfId="0" applyFill="1" applyAlignment="1" applyProtection="1">
      <alignment horizontal="center"/>
    </xf>
    <xf numFmtId="0" fontId="1" fillId="5" borderId="0" xfId="0" applyFont="1" applyFill="1" applyAlignment="1">
      <alignment horizontal="center"/>
    </xf>
    <xf numFmtId="0" fontId="53" fillId="5" borderId="0" xfId="0" applyFont="1" applyFill="1" applyAlignment="1">
      <alignment horizontal="center"/>
    </xf>
    <xf numFmtId="0" fontId="1" fillId="0" borderId="0" xfId="0" applyFont="1" applyBorder="1" applyAlignment="1" applyProtection="1">
      <alignment horizontal="center" vertical="top" wrapText="1"/>
      <protection locked="0"/>
    </xf>
    <xf numFmtId="0" fontId="10" fillId="0" borderId="0" xfId="0" applyFont="1" applyAlignment="1">
      <alignment horizontal="left"/>
    </xf>
    <xf numFmtId="168" fontId="53" fillId="5" borderId="0" xfId="0" applyNumberFormat="1" applyFont="1" applyFill="1" applyAlignment="1">
      <alignment horizontal="center"/>
    </xf>
    <xf numFmtId="0" fontId="3" fillId="0" borderId="0" xfId="0" applyFont="1" applyAlignment="1" applyProtection="1"/>
    <xf numFmtId="0" fontId="0" fillId="0" borderId="24" xfId="0" applyBorder="1" applyAlignment="1" applyProtection="1">
      <alignment horizontal="center"/>
    </xf>
    <xf numFmtId="169" fontId="0" fillId="6" borderId="24" xfId="0" applyNumberFormat="1" applyFill="1" applyBorder="1" applyAlignment="1">
      <alignment horizontal="right"/>
    </xf>
    <xf numFmtId="169" fontId="0" fillId="0" borderId="25" xfId="0" applyNumberFormat="1" applyBorder="1"/>
    <xf numFmtId="174" fontId="1" fillId="5" borderId="0" xfId="5" applyNumberFormat="1" applyFont="1" applyFill="1"/>
    <xf numFmtId="175" fontId="1" fillId="5" borderId="0" xfId="5" applyNumberFormat="1" applyFill="1" applyAlignment="1">
      <alignment horizontal="center"/>
    </xf>
    <xf numFmtId="0" fontId="3" fillId="5" borderId="0" xfId="5" applyFont="1" applyFill="1"/>
    <xf numFmtId="0" fontId="1" fillId="0" borderId="0" xfId="0" applyFont="1" applyBorder="1" applyAlignment="1" applyProtection="1">
      <alignment horizontal="left"/>
    </xf>
    <xf numFmtId="10" fontId="66" fillId="0" borderId="0" xfId="3" applyNumberFormat="1" applyFont="1" applyBorder="1" applyAlignment="1" applyProtection="1">
      <alignment horizontal="right" indent="1"/>
    </xf>
    <xf numFmtId="0" fontId="66" fillId="0" borderId="0" xfId="5" applyFont="1" applyBorder="1" applyAlignment="1">
      <alignment horizontal="left"/>
    </xf>
    <xf numFmtId="168" fontId="0" fillId="0" borderId="0" xfId="1" applyNumberFormat="1" applyFont="1" applyBorder="1" applyAlignment="1" applyProtection="1">
      <alignment horizontal="left" vertical="top" indent="1"/>
    </xf>
    <xf numFmtId="0" fontId="66" fillId="0" borderId="0" xfId="0" applyFont="1" applyBorder="1" applyAlignment="1" applyProtection="1">
      <alignment horizontal="right" vertical="top" indent="1"/>
    </xf>
    <xf numFmtId="14" fontId="1" fillId="0" borderId="0" xfId="5" applyNumberFormat="1" applyBorder="1" applyAlignment="1" applyProtection="1">
      <alignment horizontal="right" vertical="top" indent="1"/>
    </xf>
    <xf numFmtId="10" fontId="1" fillId="0" borderId="0" xfId="3" applyNumberFormat="1" applyFont="1" applyBorder="1" applyAlignment="1" applyProtection="1">
      <alignment horizontal="right" vertical="top"/>
    </xf>
    <xf numFmtId="168" fontId="1" fillId="0" borderId="0" xfId="1" applyNumberFormat="1" applyFont="1" applyBorder="1" applyAlignment="1" applyProtection="1">
      <alignment horizontal="right"/>
    </xf>
    <xf numFmtId="0" fontId="53" fillId="0" borderId="0" xfId="0" applyFont="1" applyBorder="1" applyAlignment="1">
      <alignment horizontal="left"/>
    </xf>
    <xf numFmtId="0" fontId="0" fillId="0" borderId="0" xfId="0" applyNumberFormat="1" applyBorder="1" applyAlignment="1" applyProtection="1">
      <alignment horizontal="left" vertical="top" indent="1"/>
    </xf>
    <xf numFmtId="0" fontId="8" fillId="0" borderId="28" xfId="5" applyFont="1" applyBorder="1" applyAlignment="1" applyProtection="1">
      <alignment vertical="top"/>
      <protection locked="0"/>
    </xf>
    <xf numFmtId="168" fontId="1" fillId="0" borderId="28" xfId="1" applyNumberFormat="1" applyFont="1" applyBorder="1" applyAlignment="1">
      <alignment horizontal="right"/>
    </xf>
    <xf numFmtId="0" fontId="1" fillId="0" borderId="28" xfId="5" applyFont="1" applyBorder="1" applyAlignment="1">
      <alignment horizontal="center"/>
    </xf>
    <xf numFmtId="0" fontId="1" fillId="0" borderId="0" xfId="5" applyFont="1" applyBorder="1" applyAlignment="1">
      <alignment horizontal="left" indent="2"/>
    </xf>
    <xf numFmtId="171" fontId="13" fillId="0" borderId="28" xfId="0" applyNumberFormat="1" applyFont="1" applyBorder="1" applyAlignment="1" applyProtection="1">
      <alignment horizontal="left" vertical="top" indent="1"/>
    </xf>
    <xf numFmtId="169" fontId="1" fillId="0" borderId="28" xfId="0" applyNumberFormat="1" applyFont="1" applyBorder="1" applyAlignment="1" applyProtection="1">
      <alignment horizontal="left" vertical="top" indent="1"/>
    </xf>
    <xf numFmtId="0" fontId="18" fillId="0" borderId="28" xfId="0" applyFont="1" applyBorder="1" applyAlignment="1" applyProtection="1">
      <alignment horizontal="left" vertical="top" indent="1"/>
    </xf>
    <xf numFmtId="0" fontId="5" fillId="0" borderId="28" xfId="0" applyFont="1" applyBorder="1" applyAlignment="1">
      <alignment horizontal="center"/>
    </xf>
    <xf numFmtId="0" fontId="1" fillId="6" borderId="0" xfId="0" applyFont="1" applyFill="1" applyProtection="1"/>
    <xf numFmtId="0" fontId="3" fillId="6" borderId="28" xfId="0" applyFont="1" applyFill="1" applyBorder="1" applyProtection="1"/>
    <xf numFmtId="0" fontId="0" fillId="11" borderId="1" xfId="0" applyFill="1" applyBorder="1" applyProtection="1">
      <protection locked="0"/>
    </xf>
    <xf numFmtId="0" fontId="1" fillId="11" borderId="1" xfId="0" applyFont="1" applyFill="1" applyBorder="1" applyProtection="1">
      <protection locked="0"/>
    </xf>
    <xf numFmtId="0" fontId="1" fillId="11" borderId="1" xfId="0" applyFont="1" applyFill="1" applyBorder="1" applyAlignment="1" applyProtection="1">
      <alignment horizontal="center"/>
      <protection locked="0"/>
    </xf>
    <xf numFmtId="169" fontId="0" fillId="6" borderId="24" xfId="0" applyNumberFormat="1" applyFill="1" applyBorder="1" applyAlignment="1" applyProtection="1">
      <alignment horizontal="right"/>
      <protection locked="0"/>
    </xf>
    <xf numFmtId="0" fontId="1" fillId="5" borderId="0" xfId="5" applyFont="1" applyFill="1" applyAlignment="1">
      <alignment horizontal="center"/>
    </xf>
    <xf numFmtId="0" fontId="53" fillId="5" borderId="0" xfId="0" applyFont="1" applyFill="1" applyAlignment="1">
      <alignment horizontal="center"/>
    </xf>
    <xf numFmtId="0" fontId="1" fillId="0" borderId="22" xfId="5" applyFont="1" applyBorder="1" applyAlignment="1" applyProtection="1">
      <alignment horizontal="left" vertical="top"/>
    </xf>
    <xf numFmtId="169" fontId="1" fillId="0" borderId="23" xfId="5" applyNumberFormat="1" applyBorder="1" applyAlignment="1">
      <alignment vertical="top"/>
    </xf>
    <xf numFmtId="0" fontId="9" fillId="0" borderId="53" xfId="5" applyFont="1" applyBorder="1" applyAlignment="1">
      <alignment horizontal="left"/>
    </xf>
    <xf numFmtId="0" fontId="9" fillId="0" borderId="37" xfId="5" applyFont="1" applyBorder="1" applyAlignment="1">
      <alignment horizontal="left"/>
    </xf>
    <xf numFmtId="0" fontId="9" fillId="0" borderId="37" xfId="5" applyFont="1" applyBorder="1"/>
    <xf numFmtId="0" fontId="9" fillId="0" borderId="37" xfId="5" applyFont="1" applyBorder="1" applyAlignment="1">
      <alignment horizontal="center"/>
    </xf>
    <xf numFmtId="0" fontId="9" fillId="0" borderId="55" xfId="5" applyFont="1" applyBorder="1" applyAlignment="1">
      <alignment horizontal="center"/>
    </xf>
    <xf numFmtId="49" fontId="1" fillId="0" borderId="1" xfId="5" applyNumberFormat="1" applyFont="1" applyBorder="1" applyAlignment="1">
      <alignment horizontal="center" vertical="top" wrapText="1"/>
    </xf>
    <xf numFmtId="0" fontId="1" fillId="0" borderId="19" xfId="5" applyBorder="1" applyAlignment="1" applyProtection="1">
      <alignment horizontal="center" vertical="center"/>
      <protection locked="0"/>
    </xf>
    <xf numFmtId="169" fontId="1" fillId="6" borderId="19" xfId="5" applyNumberFormat="1" applyFill="1" applyBorder="1" applyAlignment="1">
      <alignment horizontal="right"/>
    </xf>
    <xf numFmtId="0" fontId="67" fillId="5" borderId="0" xfId="5" applyFont="1" applyFill="1" applyAlignment="1">
      <alignment horizontal="center"/>
    </xf>
    <xf numFmtId="167" fontId="1" fillId="6" borderId="1" xfId="5" applyNumberFormat="1" applyFill="1" applyBorder="1" applyAlignment="1">
      <alignment horizontal="right" vertical="top"/>
    </xf>
    <xf numFmtId="167" fontId="1" fillId="0" borderId="2" xfId="5" applyNumberFormat="1" applyBorder="1" applyAlignment="1">
      <alignment vertical="top"/>
    </xf>
    <xf numFmtId="165" fontId="10" fillId="0" borderId="1" xfId="1" applyNumberFormat="1" applyFont="1" applyFill="1" applyBorder="1" applyAlignment="1" applyProtection="1">
      <alignment horizontal="right"/>
      <protection locked="0"/>
    </xf>
    <xf numFmtId="165" fontId="1" fillId="0" borderId="0" xfId="5" applyNumberFormat="1" applyBorder="1" applyAlignment="1">
      <alignment horizontal="left"/>
    </xf>
    <xf numFmtId="165" fontId="1" fillId="0" borderId="1" xfId="1" applyNumberFormat="1" applyFont="1" applyFill="1" applyBorder="1" applyAlignment="1" applyProtection="1">
      <alignment horizontal="right"/>
      <protection locked="0"/>
    </xf>
    <xf numFmtId="165" fontId="1" fillId="0" borderId="0" xfId="5" applyNumberFormat="1" applyBorder="1"/>
    <xf numFmtId="165" fontId="0" fillId="0" borderId="0" xfId="6" applyNumberFormat="1" applyFont="1" applyBorder="1" applyAlignment="1" applyProtection="1">
      <alignment horizontal="right"/>
      <protection locked="0"/>
    </xf>
    <xf numFmtId="165" fontId="1" fillId="0" borderId="1" xfId="1" applyNumberFormat="1" applyFont="1" applyBorder="1" applyAlignment="1" applyProtection="1">
      <alignment horizontal="right"/>
      <protection locked="0"/>
    </xf>
    <xf numFmtId="0" fontId="2" fillId="0" borderId="1" xfId="0" quotePrefix="1" applyFont="1" applyBorder="1" applyAlignment="1">
      <alignment horizontal="center"/>
    </xf>
    <xf numFmtId="0" fontId="1" fillId="6" borderId="0" xfId="0" applyFont="1" applyFill="1" applyAlignment="1" applyProtection="1">
      <alignment vertical="center"/>
    </xf>
    <xf numFmtId="3" fontId="1" fillId="6" borderId="0" xfId="0" applyNumberFormat="1" applyFont="1" applyFill="1" applyAlignment="1" applyProtection="1">
      <alignment horizontal="center" vertical="center"/>
    </xf>
    <xf numFmtId="0" fontId="1" fillId="6" borderId="28" xfId="0" applyFont="1" applyFill="1" applyBorder="1" applyProtection="1"/>
    <xf numFmtId="0" fontId="1" fillId="6" borderId="28" xfId="0" applyFont="1" applyFill="1" applyBorder="1" applyAlignment="1" applyProtection="1">
      <alignment vertical="center"/>
    </xf>
    <xf numFmtId="164" fontId="8" fillId="6" borderId="28" xfId="0" applyNumberFormat="1" applyFont="1" applyFill="1" applyBorder="1" applyAlignment="1" applyProtection="1">
      <alignment horizontal="left"/>
    </xf>
    <xf numFmtId="0" fontId="15" fillId="6" borderId="28" xfId="0" applyFont="1" applyFill="1" applyBorder="1" applyAlignment="1" applyProtection="1">
      <alignment vertical="center"/>
    </xf>
    <xf numFmtId="0" fontId="15" fillId="6" borderId="0" xfId="0" applyFont="1" applyFill="1" applyBorder="1" applyAlignment="1" applyProtection="1">
      <alignment vertical="center"/>
    </xf>
    <xf numFmtId="0" fontId="69" fillId="6" borderId="0" xfId="0" applyFont="1" applyFill="1" applyAlignment="1" applyProtection="1">
      <alignment horizontal="center" vertical="center"/>
    </xf>
    <xf numFmtId="0" fontId="7" fillId="6" borderId="28" xfId="0" applyFont="1" applyFill="1" applyBorder="1" applyAlignment="1" applyProtection="1">
      <alignment horizontal="left" vertical="center"/>
    </xf>
    <xf numFmtId="0" fontId="0" fillId="6" borderId="28" xfId="0" applyFill="1" applyBorder="1" applyProtection="1"/>
    <xf numFmtId="0" fontId="72" fillId="6" borderId="28" xfId="0" applyFont="1" applyFill="1" applyBorder="1" applyAlignment="1" applyProtection="1">
      <alignment horizontal="left" vertical="center"/>
    </xf>
    <xf numFmtId="170" fontId="8" fillId="6" borderId="0" xfId="2" applyNumberFormat="1" applyFont="1" applyFill="1" applyAlignment="1" applyProtection="1">
      <alignment horizontal="left"/>
    </xf>
    <xf numFmtId="3" fontId="1" fillId="0" borderId="0" xfId="0" applyNumberFormat="1" applyFont="1" applyFill="1" applyAlignment="1" applyProtection="1">
      <alignment horizontal="center" vertical="center"/>
    </xf>
    <xf numFmtId="3" fontId="3" fillId="6" borderId="0" xfId="0" applyNumberFormat="1" applyFont="1" applyFill="1" applyAlignment="1" applyProtection="1">
      <alignment horizontal="center" vertical="center"/>
    </xf>
    <xf numFmtId="0" fontId="1" fillId="6" borderId="0" xfId="0" applyFont="1" applyFill="1" applyAlignment="1" applyProtection="1">
      <alignment vertical="center"/>
      <protection locked="0"/>
    </xf>
    <xf numFmtId="3" fontId="1" fillId="6" borderId="0" xfId="0" applyNumberFormat="1" applyFont="1" applyFill="1" applyAlignment="1" applyProtection="1">
      <alignment horizontal="center" vertical="center"/>
      <protection locked="0"/>
    </xf>
    <xf numFmtId="3" fontId="1" fillId="6" borderId="28" xfId="0" applyNumberFormat="1" applyFont="1" applyFill="1" applyBorder="1" applyAlignment="1" applyProtection="1">
      <alignment horizontal="center" vertical="center"/>
    </xf>
    <xf numFmtId="0" fontId="0" fillId="0" borderId="69" xfId="0" applyBorder="1"/>
    <xf numFmtId="0" fontId="0" fillId="0" borderId="70" xfId="0" applyBorder="1"/>
    <xf numFmtId="0" fontId="0" fillId="0" borderId="71" xfId="0" applyBorder="1"/>
    <xf numFmtId="0" fontId="0" fillId="0" borderId="72" xfId="0" applyBorder="1"/>
    <xf numFmtId="0" fontId="0" fillId="0" borderId="73" xfId="0" applyBorder="1"/>
    <xf numFmtId="0" fontId="0" fillId="0" borderId="74" xfId="0" applyBorder="1"/>
    <xf numFmtId="0" fontId="0" fillId="0" borderId="75" xfId="0" applyBorder="1"/>
    <xf numFmtId="0" fontId="0" fillId="0" borderId="76" xfId="0" applyBorder="1"/>
    <xf numFmtId="0" fontId="1" fillId="6" borderId="0" xfId="0" applyFont="1" applyFill="1" applyAlignment="1" applyProtection="1">
      <alignment horizontal="left" vertical="center" indent="3"/>
    </xf>
    <xf numFmtId="0" fontId="5" fillId="0" borderId="1" xfId="0" applyFont="1" applyBorder="1" applyAlignment="1">
      <alignment horizontal="center"/>
    </xf>
    <xf numFmtId="0" fontId="10" fillId="5" borderId="0" xfId="0" applyFont="1" applyFill="1" applyAlignment="1">
      <alignment horizontal="left"/>
    </xf>
    <xf numFmtId="0" fontId="1" fillId="0" borderId="19" xfId="5" quotePrefix="1" applyFont="1" applyBorder="1" applyAlignment="1">
      <alignment horizontal="center" vertical="top"/>
    </xf>
    <xf numFmtId="0" fontId="74" fillId="6" borderId="0" xfId="0" applyFont="1" applyFill="1" applyAlignment="1" applyProtection="1">
      <alignment vertical="center"/>
    </xf>
    <xf numFmtId="0" fontId="0" fillId="0" borderId="49" xfId="0" applyBorder="1" applyAlignment="1">
      <alignment horizontal="left" vertical="top"/>
    </xf>
    <xf numFmtId="0" fontId="5" fillId="0" borderId="56" xfId="0" applyFont="1" applyBorder="1" applyAlignment="1">
      <alignment horizontal="left" vertical="top"/>
    </xf>
    <xf numFmtId="0" fontId="0" fillId="0" borderId="50" xfId="0" applyBorder="1" applyAlignment="1">
      <alignment horizontal="left" vertical="top"/>
    </xf>
    <xf numFmtId="0" fontId="5" fillId="0" borderId="24" xfId="0" applyFont="1" applyBorder="1" applyAlignment="1">
      <alignment horizontal="left" vertical="top"/>
    </xf>
    <xf numFmtId="168" fontId="2" fillId="14" borderId="1" xfId="1" applyNumberFormat="1" applyFont="1" applyFill="1" applyBorder="1" applyAlignment="1" applyProtection="1">
      <alignment horizontal="right"/>
      <protection locked="0"/>
    </xf>
    <xf numFmtId="0" fontId="10" fillId="0" borderId="0" xfId="0" applyFont="1"/>
    <xf numFmtId="165" fontId="10" fillId="0" borderId="0" xfId="0" applyNumberFormat="1" applyFont="1"/>
    <xf numFmtId="165" fontId="10" fillId="5" borderId="0" xfId="0" applyNumberFormat="1" applyFont="1" applyFill="1"/>
    <xf numFmtId="168" fontId="1" fillId="6" borderId="34" xfId="0" applyNumberFormat="1" applyFont="1" applyFill="1" applyBorder="1"/>
    <xf numFmtId="0" fontId="1" fillId="0" borderId="19" xfId="0" applyFont="1" applyFill="1" applyBorder="1" applyAlignment="1" applyProtection="1">
      <alignment horizontal="left" vertical="top"/>
      <protection locked="0"/>
    </xf>
    <xf numFmtId="0" fontId="1" fillId="0" borderId="37" xfId="0" applyFont="1" applyBorder="1" applyAlignment="1">
      <alignment horizontal="left" vertical="top"/>
    </xf>
    <xf numFmtId="0" fontId="1" fillId="0" borderId="19" xfId="0" applyFont="1" applyBorder="1" applyAlignment="1">
      <alignment horizontal="left" vertical="top" wrapText="1"/>
    </xf>
    <xf numFmtId="165" fontId="2" fillId="0" borderId="1" xfId="1" applyNumberFormat="1" applyFont="1" applyBorder="1" applyAlignment="1" applyProtection="1">
      <alignment horizontal="left" vertical="top" wrapText="1"/>
      <protection locked="0"/>
    </xf>
    <xf numFmtId="0" fontId="22" fillId="12" borderId="29" xfId="0" applyFont="1" applyFill="1" applyBorder="1" applyAlignment="1" applyProtection="1">
      <alignment horizontal="left" vertical="top"/>
      <protection locked="0"/>
    </xf>
    <xf numFmtId="0" fontId="22" fillId="12" borderId="19" xfId="0" applyFont="1" applyFill="1" applyBorder="1" applyAlignment="1" applyProtection="1">
      <alignment horizontal="left" vertical="top"/>
      <protection locked="0"/>
    </xf>
    <xf numFmtId="9" fontId="8" fillId="7" borderId="36" xfId="6" applyFont="1" applyFill="1" applyBorder="1" applyAlignment="1" applyProtection="1">
      <alignment horizontal="center" vertical="center"/>
      <protection locked="0"/>
    </xf>
    <xf numFmtId="0" fontId="8" fillId="11" borderId="1" xfId="0" applyFont="1" applyFill="1" applyBorder="1" applyAlignment="1" applyProtection="1">
      <alignment vertical="center"/>
      <protection locked="0"/>
    </xf>
    <xf numFmtId="0" fontId="1" fillId="0" borderId="1" xfId="0" applyFont="1" applyBorder="1" applyAlignment="1" applyProtection="1">
      <alignment horizontal="left" wrapText="1"/>
      <protection locked="0"/>
    </xf>
    <xf numFmtId="0" fontId="30" fillId="0" borderId="1" xfId="0" quotePrefix="1" applyFont="1" applyBorder="1" applyAlignment="1">
      <alignment horizontal="center"/>
    </xf>
    <xf numFmtId="0" fontId="30" fillId="0" borderId="1" xfId="0" applyFont="1" applyFill="1" applyBorder="1" applyAlignment="1">
      <alignment horizontal="center"/>
    </xf>
    <xf numFmtId="0" fontId="5" fillId="0" borderId="39" xfId="0" applyNumberFormat="1" applyFont="1" applyBorder="1" applyAlignment="1">
      <alignment horizontal="left" vertical="top"/>
    </xf>
    <xf numFmtId="0" fontId="1" fillId="0" borderId="22" xfId="0" applyFont="1" applyBorder="1" applyAlignment="1" applyProtection="1">
      <alignment wrapText="1"/>
      <protection locked="0"/>
    </xf>
    <xf numFmtId="0" fontId="5" fillId="0" borderId="1" xfId="0" applyNumberFormat="1" applyFont="1" applyBorder="1" applyAlignment="1">
      <alignment horizontal="left" vertical="top"/>
    </xf>
    <xf numFmtId="0" fontId="1" fillId="16" borderId="1" xfId="0" applyFont="1" applyFill="1" applyBorder="1" applyAlignment="1">
      <alignment wrapText="1"/>
    </xf>
    <xf numFmtId="0" fontId="2" fillId="16" borderId="1" xfId="0" applyFont="1" applyFill="1" applyBorder="1" applyAlignment="1">
      <alignment horizontal="center"/>
    </xf>
    <xf numFmtId="165" fontId="2" fillId="16" borderId="1" xfId="1" applyNumberFormat="1" applyFont="1" applyFill="1" applyBorder="1" applyAlignment="1">
      <alignment horizontal="right"/>
    </xf>
    <xf numFmtId="0" fontId="0" fillId="6" borderId="0" xfId="0" applyFill="1" applyBorder="1" applyAlignment="1" applyProtection="1">
      <alignment horizontal="center" wrapText="1"/>
      <protection locked="0"/>
    </xf>
    <xf numFmtId="0" fontId="1" fillId="6" borderId="0" xfId="0" applyFont="1" applyFill="1" applyAlignment="1" applyProtection="1">
      <alignment horizontal="right"/>
    </xf>
    <xf numFmtId="3" fontId="30" fillId="11" borderId="1" xfId="0" applyNumberFormat="1" applyFont="1" applyFill="1" applyBorder="1" applyAlignment="1" applyProtection="1">
      <alignment horizontal="center" vertical="center" wrapText="1"/>
      <protection locked="0"/>
    </xf>
    <xf numFmtId="0" fontId="3" fillId="6" borderId="77" xfId="0" applyFont="1" applyFill="1" applyBorder="1" applyAlignment="1" applyProtection="1">
      <alignment horizontal="right"/>
    </xf>
    <xf numFmtId="0" fontId="0" fillId="6" borderId="77" xfId="0" applyFill="1" applyBorder="1" applyProtection="1"/>
    <xf numFmtId="0" fontId="3" fillId="6" borderId="78" xfId="0" applyFont="1" applyFill="1" applyBorder="1" applyAlignment="1" applyProtection="1">
      <alignment horizontal="right"/>
    </xf>
    <xf numFmtId="0" fontId="0" fillId="6" borderId="78" xfId="0" applyFill="1" applyBorder="1" applyProtection="1"/>
    <xf numFmtId="0" fontId="8" fillId="6" borderId="0" xfId="0" applyFont="1" applyFill="1" applyAlignment="1" applyProtection="1">
      <alignment horizontal="right"/>
    </xf>
    <xf numFmtId="0" fontId="8" fillId="6" borderId="0" xfId="0" applyFont="1" applyFill="1" applyAlignment="1" applyProtection="1">
      <alignment horizontal="right" vertical="center"/>
    </xf>
    <xf numFmtId="3" fontId="22" fillId="10" borderId="77" xfId="0" applyNumberFormat="1" applyFont="1" applyFill="1" applyBorder="1" applyAlignment="1" applyProtection="1">
      <alignment horizontal="center" vertical="center" wrapText="1"/>
    </xf>
    <xf numFmtId="3" fontId="22" fillId="10" borderId="78" xfId="0" applyNumberFormat="1" applyFont="1" applyFill="1" applyBorder="1" applyAlignment="1" applyProtection="1">
      <alignment horizontal="center" vertical="center" wrapText="1"/>
    </xf>
    <xf numFmtId="0" fontId="8" fillId="6" borderId="0" xfId="0" applyFont="1" applyFill="1" applyBorder="1" applyAlignment="1" applyProtection="1">
      <alignment horizontal="left" vertical="center"/>
    </xf>
    <xf numFmtId="0" fontId="8" fillId="6" borderId="77" xfId="0" applyFont="1" applyFill="1" applyBorder="1" applyAlignment="1" applyProtection="1">
      <alignment horizontal="left" vertical="center"/>
    </xf>
    <xf numFmtId="0" fontId="0" fillId="6" borderId="77" xfId="0" applyFill="1" applyBorder="1" applyAlignment="1" applyProtection="1">
      <alignment horizontal="center" wrapText="1"/>
      <protection locked="0"/>
    </xf>
    <xf numFmtId="0" fontId="0" fillId="10" borderId="77" xfId="0" applyFill="1" applyBorder="1" applyAlignment="1" applyProtection="1">
      <alignment horizontal="center" vertical="center" wrapText="1"/>
      <protection locked="0"/>
    </xf>
    <xf numFmtId="0" fontId="8" fillId="6" borderId="0" xfId="0" applyFont="1" applyFill="1" applyBorder="1" applyAlignment="1" applyProtection="1">
      <alignment horizontal="center" wrapText="1"/>
      <protection locked="0"/>
    </xf>
    <xf numFmtId="0" fontId="3" fillId="6" borderId="77" xfId="0" applyFont="1" applyFill="1" applyBorder="1" applyAlignment="1" applyProtection="1">
      <alignment horizontal="left"/>
    </xf>
    <xf numFmtId="0" fontId="1" fillId="6" borderId="77" xfId="0" applyFont="1" applyFill="1" applyBorder="1" applyProtection="1"/>
    <xf numFmtId="0" fontId="72" fillId="6" borderId="0" xfId="0" applyFont="1" applyFill="1" applyBorder="1" applyAlignment="1" applyProtection="1">
      <alignment horizontal="left" vertical="center"/>
    </xf>
    <xf numFmtId="0" fontId="7" fillId="6" borderId="0" xfId="0" applyFont="1" applyFill="1" applyBorder="1" applyAlignment="1" applyProtection="1">
      <alignment horizontal="left" vertical="center"/>
    </xf>
    <xf numFmtId="0" fontId="3" fillId="6" borderId="0" xfId="0" applyFont="1" applyFill="1" applyBorder="1" applyAlignment="1" applyProtection="1">
      <alignment horizontal="right"/>
    </xf>
    <xf numFmtId="0" fontId="0" fillId="6" borderId="0" xfId="0" applyFill="1" applyBorder="1" applyProtection="1"/>
    <xf numFmtId="0" fontId="3" fillId="0" borderId="0" xfId="0" applyFont="1" applyAlignment="1">
      <alignment horizontal="center"/>
    </xf>
    <xf numFmtId="0" fontId="72" fillId="7" borderId="9" xfId="0" applyFont="1" applyFill="1" applyBorder="1" applyProtection="1">
      <protection locked="0"/>
    </xf>
    <xf numFmtId="0" fontId="3" fillId="0" borderId="1" xfId="0" applyFont="1" applyBorder="1" applyAlignment="1">
      <alignment horizontal="left"/>
    </xf>
    <xf numFmtId="168" fontId="2" fillId="0" borderId="1" xfId="1" applyNumberFormat="1" applyFont="1" applyBorder="1" applyAlignment="1">
      <alignment horizontal="center" vertical="top"/>
    </xf>
    <xf numFmtId="0" fontId="0" fillId="0" borderId="1" xfId="0" applyBorder="1" applyAlignment="1" applyProtection="1">
      <alignment horizontal="center" vertical="center"/>
      <protection locked="0"/>
    </xf>
    <xf numFmtId="0" fontId="0" fillId="0" borderId="37" xfId="0" applyBorder="1" applyAlignment="1" applyProtection="1">
      <alignment horizontal="left"/>
      <protection locked="0"/>
    </xf>
    <xf numFmtId="0" fontId="3" fillId="0" borderId="1" xfId="0" applyFont="1" applyFill="1" applyBorder="1" applyAlignment="1" applyProtection="1">
      <alignment horizontal="left" vertical="top"/>
      <protection locked="0"/>
    </xf>
    <xf numFmtId="0" fontId="0" fillId="0" borderId="1" xfId="0" applyBorder="1" applyAlignment="1" applyProtection="1">
      <alignment horizontal="left"/>
      <protection locked="0"/>
    </xf>
    <xf numFmtId="0" fontId="3" fillId="0" borderId="0" xfId="0" applyFont="1" applyBorder="1" applyAlignment="1">
      <alignment horizontal="left"/>
    </xf>
    <xf numFmtId="0" fontId="78" fillId="0" borderId="0" xfId="0" applyFont="1" applyFill="1" applyBorder="1" applyAlignment="1">
      <alignment horizontal="center"/>
    </xf>
    <xf numFmtId="0" fontId="30" fillId="20" borderId="1" xfId="0" applyFont="1" applyFill="1" applyBorder="1" applyAlignment="1">
      <alignment horizontal="center"/>
    </xf>
    <xf numFmtId="0" fontId="30" fillId="21" borderId="1" xfId="0" applyFont="1" applyFill="1" applyBorder="1" applyAlignment="1">
      <alignment horizontal="center"/>
    </xf>
    <xf numFmtId="0" fontId="30" fillId="17" borderId="1" xfId="0" applyFont="1" applyFill="1" applyBorder="1" applyAlignment="1">
      <alignment horizontal="center"/>
    </xf>
    <xf numFmtId="0" fontId="2" fillId="0" borderId="0" xfId="0" applyFont="1" applyFill="1" applyBorder="1" applyAlignment="1">
      <alignment horizontal="center"/>
    </xf>
    <xf numFmtId="0" fontId="30" fillId="18" borderId="1" xfId="0" applyFont="1" applyFill="1" applyBorder="1" applyAlignment="1">
      <alignment horizontal="center"/>
    </xf>
    <xf numFmtId="0" fontId="30" fillId="19" borderId="1" xfId="0" applyFont="1" applyFill="1" applyBorder="1" applyAlignment="1">
      <alignment horizontal="center"/>
    </xf>
    <xf numFmtId="0" fontId="79" fillId="22" borderId="1" xfId="0" applyFont="1" applyFill="1" applyBorder="1" applyAlignment="1">
      <alignment horizontal="center"/>
    </xf>
    <xf numFmtId="0" fontId="0" fillId="0" borderId="63" xfId="0" applyBorder="1"/>
    <xf numFmtId="0" fontId="78" fillId="0" borderId="65" xfId="0" applyFont="1" applyBorder="1" applyAlignment="1">
      <alignment horizontal="center"/>
    </xf>
    <xf numFmtId="0" fontId="78" fillId="0" borderId="79" xfId="0" applyFont="1" applyBorder="1" applyAlignment="1">
      <alignment horizontal="center"/>
    </xf>
    <xf numFmtId="0" fontId="78" fillId="0" borderId="64" xfId="0" applyFont="1" applyBorder="1" applyAlignment="1">
      <alignment horizontal="center"/>
    </xf>
    <xf numFmtId="0" fontId="15" fillId="0" borderId="28" xfId="0" applyFont="1" applyBorder="1"/>
    <xf numFmtId="0" fontId="0" fillId="0" borderId="28" xfId="0" applyBorder="1"/>
    <xf numFmtId="0" fontId="30" fillId="17" borderId="54" xfId="0" applyFont="1" applyFill="1" applyBorder="1" applyAlignment="1">
      <alignment horizontal="center"/>
    </xf>
    <xf numFmtId="0" fontId="30" fillId="18" borderId="24" xfId="0" applyFont="1" applyFill="1" applyBorder="1" applyAlignment="1">
      <alignment horizontal="center"/>
    </xf>
    <xf numFmtId="0" fontId="30" fillId="19" borderId="24" xfId="0" applyFont="1" applyFill="1" applyBorder="1" applyAlignment="1">
      <alignment horizontal="center"/>
    </xf>
    <xf numFmtId="0" fontId="30" fillId="19" borderId="25" xfId="0" applyFont="1" applyFill="1" applyBorder="1" applyAlignment="1">
      <alignment horizontal="center"/>
    </xf>
    <xf numFmtId="0" fontId="30" fillId="20" borderId="50" xfId="0" applyFont="1" applyFill="1" applyBorder="1" applyAlignment="1">
      <alignment horizontal="center"/>
    </xf>
    <xf numFmtId="0" fontId="30" fillId="21" borderId="24" xfId="0" applyFont="1" applyFill="1" applyBorder="1" applyAlignment="1">
      <alignment horizontal="center"/>
    </xf>
    <xf numFmtId="0" fontId="30" fillId="21" borderId="25" xfId="0" applyFont="1" applyFill="1" applyBorder="1" applyAlignment="1">
      <alignment horizontal="center"/>
    </xf>
    <xf numFmtId="0" fontId="30" fillId="17" borderId="10" xfId="0" applyFont="1" applyFill="1" applyBorder="1" applyAlignment="1">
      <alignment horizontal="center"/>
    </xf>
    <xf numFmtId="0" fontId="30" fillId="19" borderId="2" xfId="0" applyFont="1" applyFill="1" applyBorder="1" applyAlignment="1">
      <alignment horizontal="center"/>
    </xf>
    <xf numFmtId="0" fontId="30" fillId="20" borderId="19" xfId="0" applyFont="1" applyFill="1" applyBorder="1" applyAlignment="1">
      <alignment horizontal="center"/>
    </xf>
    <xf numFmtId="0" fontId="30" fillId="21" borderId="2" xfId="0" applyFont="1" applyFill="1" applyBorder="1" applyAlignment="1">
      <alignment horizontal="center"/>
    </xf>
    <xf numFmtId="0" fontId="30" fillId="18" borderId="2" xfId="0" applyFont="1" applyFill="1" applyBorder="1" applyAlignment="1">
      <alignment horizontal="center"/>
    </xf>
    <xf numFmtId="0" fontId="30" fillId="20" borderId="2" xfId="0" applyFont="1" applyFill="1" applyBorder="1" applyAlignment="1">
      <alignment horizontal="center"/>
    </xf>
    <xf numFmtId="0" fontId="79" fillId="22" borderId="2" xfId="0" applyFont="1" applyFill="1" applyBorder="1" applyAlignment="1">
      <alignment horizontal="center"/>
    </xf>
    <xf numFmtId="0" fontId="30" fillId="17" borderId="2" xfId="0" applyFont="1" applyFill="1" applyBorder="1" applyAlignment="1">
      <alignment horizontal="center"/>
    </xf>
    <xf numFmtId="0" fontId="30" fillId="21" borderId="10" xfId="0" applyFont="1" applyFill="1" applyBorder="1" applyAlignment="1">
      <alignment horizontal="center"/>
    </xf>
    <xf numFmtId="0" fontId="30" fillId="20" borderId="10" xfId="0" applyFont="1" applyFill="1" applyBorder="1" applyAlignment="1">
      <alignment horizontal="center"/>
    </xf>
    <xf numFmtId="0" fontId="30" fillId="17" borderId="11" xfId="0" applyFont="1" applyFill="1" applyBorder="1" applyAlignment="1">
      <alignment horizontal="center"/>
    </xf>
    <xf numFmtId="0" fontId="30" fillId="18" borderId="3" xfId="0" applyFont="1" applyFill="1" applyBorder="1" applyAlignment="1">
      <alignment horizontal="center"/>
    </xf>
    <xf numFmtId="0" fontId="30" fillId="19" borderId="3" xfId="0" applyFont="1" applyFill="1" applyBorder="1" applyAlignment="1">
      <alignment horizontal="center"/>
    </xf>
    <xf numFmtId="0" fontId="30" fillId="19" borderId="4" xfId="0" applyFont="1" applyFill="1" applyBorder="1" applyAlignment="1">
      <alignment horizontal="center"/>
    </xf>
    <xf numFmtId="0" fontId="30" fillId="20" borderId="67" xfId="0" applyFont="1" applyFill="1" applyBorder="1" applyAlignment="1">
      <alignment horizontal="center"/>
    </xf>
    <xf numFmtId="0" fontId="30" fillId="21" borderId="3" xfId="0" applyFont="1" applyFill="1" applyBorder="1" applyAlignment="1">
      <alignment horizontal="center"/>
    </xf>
    <xf numFmtId="0" fontId="30" fillId="21" borderId="4" xfId="0" applyFont="1" applyFill="1" applyBorder="1" applyAlignment="1">
      <alignment horizontal="center"/>
    </xf>
    <xf numFmtId="0" fontId="80" fillId="0" borderId="11" xfId="0" applyFont="1" applyBorder="1" applyAlignment="1">
      <alignment horizontal="center"/>
    </xf>
    <xf numFmtId="0" fontId="80" fillId="0" borderId="3" xfId="0" applyFont="1" applyBorder="1" applyAlignment="1">
      <alignment horizontal="center"/>
    </xf>
    <xf numFmtId="0" fontId="80" fillId="0" borderId="4" xfId="0" applyFont="1" applyBorder="1" applyAlignment="1">
      <alignment horizontal="center"/>
    </xf>
    <xf numFmtId="0" fontId="80" fillId="0" borderId="67" xfId="0" applyFont="1" applyBorder="1" applyAlignment="1">
      <alignment horizontal="center"/>
    </xf>
    <xf numFmtId="0" fontId="0" fillId="11" borderId="1" xfId="0" applyFill="1" applyBorder="1"/>
    <xf numFmtId="0" fontId="0" fillId="6" borderId="1" xfId="0" applyFill="1" applyBorder="1" applyAlignment="1">
      <alignment horizontal="left"/>
    </xf>
    <xf numFmtId="0" fontId="1" fillId="6" borderId="1" xfId="0" applyFont="1" applyFill="1" applyBorder="1" applyAlignment="1">
      <alignment horizontal="left"/>
    </xf>
    <xf numFmtId="0" fontId="0" fillId="11" borderId="1" xfId="0" applyFill="1" applyBorder="1" applyAlignment="1">
      <alignment horizontal="center"/>
    </xf>
    <xf numFmtId="0" fontId="0" fillId="15" borderId="0" xfId="0" applyFill="1"/>
    <xf numFmtId="0" fontId="1" fillId="6" borderId="0" xfId="0" applyFont="1" applyFill="1" applyAlignment="1">
      <alignment horizontal="center"/>
    </xf>
    <xf numFmtId="0" fontId="1" fillId="23" borderId="1" xfId="0" applyFont="1" applyFill="1" applyBorder="1" applyAlignment="1">
      <alignment horizontal="left"/>
    </xf>
    <xf numFmtId="0" fontId="30" fillId="23" borderId="1" xfId="0" quotePrefix="1" applyFont="1" applyFill="1" applyBorder="1" applyAlignment="1">
      <alignment horizontal="center"/>
    </xf>
    <xf numFmtId="168" fontId="2" fillId="23" borderId="1" xfId="1" applyNumberFormat="1" applyFont="1" applyFill="1" applyBorder="1" applyAlignment="1" applyProtection="1">
      <alignment horizontal="right"/>
      <protection locked="0"/>
    </xf>
    <xf numFmtId="0" fontId="0" fillId="15" borderId="1" xfId="0" applyFill="1" applyBorder="1"/>
    <xf numFmtId="0" fontId="3" fillId="6" borderId="78" xfId="0" applyFont="1" applyFill="1" applyBorder="1" applyAlignment="1" applyProtection="1">
      <alignment horizontal="left"/>
    </xf>
    <xf numFmtId="0" fontId="1" fillId="6" borderId="49" xfId="0" applyFont="1" applyFill="1" applyBorder="1" applyProtection="1"/>
    <xf numFmtId="0" fontId="0" fillId="0" borderId="22" xfId="0" applyBorder="1" applyAlignment="1" applyProtection="1">
      <alignment horizontal="left"/>
      <protection locked="0"/>
    </xf>
    <xf numFmtId="0" fontId="0" fillId="11" borderId="8" xfId="0" applyFill="1" applyBorder="1" applyAlignment="1" applyProtection="1">
      <alignment horizontal="center"/>
      <protection locked="0"/>
    </xf>
    <xf numFmtId="0" fontId="0" fillId="11" borderId="50" xfId="0" applyFill="1" applyBorder="1" applyAlignment="1" applyProtection="1">
      <alignment horizontal="center"/>
      <protection locked="0"/>
    </xf>
    <xf numFmtId="0" fontId="0" fillId="11" borderId="19" xfId="0" applyFill="1" applyBorder="1" applyAlignment="1" applyProtection="1">
      <alignment horizontal="center"/>
      <protection locked="0"/>
    </xf>
    <xf numFmtId="0" fontId="0" fillId="11" borderId="5" xfId="0" applyFill="1" applyBorder="1" applyAlignment="1" applyProtection="1">
      <alignment horizontal="center"/>
      <protection locked="0"/>
    </xf>
    <xf numFmtId="167" fontId="0" fillId="11" borderId="8" xfId="0" applyNumberFormat="1" applyFill="1" applyBorder="1" applyProtection="1">
      <protection locked="0"/>
    </xf>
    <xf numFmtId="167" fontId="0" fillId="11" borderId="50" xfId="0" applyNumberFormat="1" applyFill="1" applyBorder="1" applyProtection="1">
      <protection locked="0"/>
    </xf>
    <xf numFmtId="167" fontId="0" fillId="11" borderId="19" xfId="0" applyNumberFormat="1" applyFill="1" applyBorder="1" applyProtection="1">
      <protection locked="0"/>
    </xf>
    <xf numFmtId="167" fontId="0" fillId="11" borderId="5" xfId="0" applyNumberFormat="1" applyFill="1" applyBorder="1" applyProtection="1">
      <protection locked="0"/>
    </xf>
    <xf numFmtId="0" fontId="1" fillId="11" borderId="50" xfId="0" applyFont="1" applyFill="1" applyBorder="1" applyAlignment="1" applyProtection="1">
      <alignment horizontal="left" vertical="top"/>
      <protection locked="0"/>
    </xf>
    <xf numFmtId="0" fontId="0" fillId="11" borderId="50" xfId="0" applyFill="1" applyBorder="1" applyAlignment="1" applyProtection="1">
      <alignment wrapText="1"/>
      <protection locked="0"/>
    </xf>
    <xf numFmtId="0" fontId="0" fillId="11" borderId="19" xfId="0" applyFill="1" applyBorder="1" applyAlignment="1" applyProtection="1">
      <alignment horizontal="left"/>
      <protection locked="0"/>
    </xf>
    <xf numFmtId="0" fontId="1" fillId="11" borderId="5" xfId="0" applyFont="1" applyFill="1" applyBorder="1" applyAlignment="1" applyProtection="1">
      <alignment wrapText="1"/>
      <protection locked="0"/>
    </xf>
    <xf numFmtId="169" fontId="0" fillId="11" borderId="24" xfId="0" applyNumberFormat="1" applyFill="1" applyBorder="1" applyAlignment="1" applyProtection="1">
      <alignment horizontal="right"/>
      <protection locked="0"/>
    </xf>
    <xf numFmtId="0" fontId="0" fillId="11" borderId="1" xfId="0" applyFill="1" applyBorder="1" applyAlignment="1" applyProtection="1">
      <alignment horizontal="center"/>
      <protection locked="0"/>
    </xf>
    <xf numFmtId="0" fontId="0" fillId="11" borderId="24" xfId="0" applyFill="1" applyBorder="1" applyAlignment="1" applyProtection="1">
      <alignment horizontal="center"/>
      <protection locked="0"/>
    </xf>
    <xf numFmtId="0" fontId="0" fillId="11" borderId="22" xfId="0" applyFill="1" applyBorder="1" applyAlignment="1" applyProtection="1">
      <alignment horizontal="center"/>
      <protection locked="0"/>
    </xf>
    <xf numFmtId="169" fontId="0" fillId="6" borderId="1" xfId="0" applyNumberFormat="1" applyFill="1" applyBorder="1" applyProtection="1"/>
    <xf numFmtId="169" fontId="0" fillId="11" borderId="22" xfId="0" applyNumberFormat="1" applyFill="1" applyBorder="1" applyProtection="1">
      <protection locked="0"/>
    </xf>
    <xf numFmtId="169" fontId="0" fillId="11" borderId="1" xfId="0" applyNumberFormat="1" applyFill="1" applyBorder="1"/>
    <xf numFmtId="0" fontId="0" fillId="11" borderId="1" xfId="0" applyFill="1" applyBorder="1" applyAlignment="1" applyProtection="1">
      <alignment horizontal="center" vertical="top"/>
      <protection locked="0"/>
    </xf>
    <xf numFmtId="0" fontId="0" fillId="11" borderId="8" xfId="0" applyFill="1" applyBorder="1" applyAlignment="1" applyProtection="1">
      <alignment horizontal="center" vertical="top"/>
      <protection locked="0"/>
    </xf>
    <xf numFmtId="0" fontId="1" fillId="11" borderId="1" xfId="0" applyFont="1" applyFill="1" applyBorder="1" applyAlignment="1" applyProtection="1">
      <alignment horizontal="center" vertical="top"/>
      <protection locked="0"/>
    </xf>
    <xf numFmtId="0" fontId="0" fillId="11" borderId="1" xfId="0" applyNumberFormat="1" applyFill="1" applyBorder="1" applyAlignment="1" applyProtection="1">
      <alignment horizontal="center" vertical="top"/>
      <protection locked="0"/>
    </xf>
    <xf numFmtId="0" fontId="0" fillId="0" borderId="56" xfId="0" applyBorder="1" applyAlignment="1">
      <alignment horizontal="left" vertical="top" wrapText="1"/>
    </xf>
    <xf numFmtId="0" fontId="0" fillId="11" borderId="24" xfId="0" applyFill="1" applyBorder="1" applyAlignment="1" applyProtection="1">
      <alignment horizontal="center" vertical="top"/>
      <protection locked="0"/>
    </xf>
    <xf numFmtId="167" fontId="0" fillId="6" borderId="24" xfId="0" applyNumberFormat="1" applyFill="1" applyBorder="1" applyAlignment="1">
      <alignment horizontal="right"/>
    </xf>
    <xf numFmtId="167" fontId="0" fillId="0" borderId="25" xfId="0" applyNumberFormat="1" applyBorder="1" applyAlignment="1">
      <alignment vertical="top"/>
    </xf>
    <xf numFmtId="0" fontId="0" fillId="0" borderId="8" xfId="0" applyBorder="1" applyAlignment="1">
      <alignment horizontal="left" vertical="top" wrapText="1"/>
    </xf>
    <xf numFmtId="0" fontId="0" fillId="11" borderId="1" xfId="0" applyFill="1" applyBorder="1" applyAlignment="1" applyProtection="1">
      <alignment horizontal="center" vertical="center"/>
      <protection locked="0"/>
    </xf>
    <xf numFmtId="0" fontId="44" fillId="0" borderId="0" xfId="0" applyFont="1" applyAlignment="1">
      <alignment horizontal="left"/>
    </xf>
    <xf numFmtId="0" fontId="10" fillId="0" borderId="0" xfId="0" applyFont="1" applyAlignment="1">
      <alignment horizontal="center"/>
    </xf>
    <xf numFmtId="0" fontId="14" fillId="4" borderId="16" xfId="0" applyFont="1" applyFill="1" applyBorder="1" applyAlignment="1">
      <alignment horizontal="left"/>
    </xf>
    <xf numFmtId="0" fontId="10" fillId="4" borderId="14" xfId="0" applyFont="1" applyFill="1" applyBorder="1" applyAlignment="1">
      <alignment horizontal="left"/>
    </xf>
    <xf numFmtId="0" fontId="10" fillId="4" borderId="14" xfId="0" applyFont="1" applyFill="1" applyBorder="1"/>
    <xf numFmtId="0" fontId="10" fillId="4" borderId="14" xfId="0" applyFont="1" applyFill="1" applyBorder="1" applyAlignment="1">
      <alignment horizontal="center"/>
    </xf>
    <xf numFmtId="0" fontId="10" fillId="4" borderId="15" xfId="0" applyFont="1" applyFill="1" applyBorder="1"/>
    <xf numFmtId="0" fontId="10" fillId="0" borderId="0" xfId="0" applyFont="1" applyBorder="1"/>
    <xf numFmtId="0" fontId="10" fillId="0" borderId="0" xfId="0" applyFont="1" applyBorder="1" applyAlignment="1">
      <alignment horizontal="center"/>
    </xf>
    <xf numFmtId="0" fontId="10" fillId="0" borderId="0" xfId="0" applyFont="1" applyBorder="1" applyAlignment="1" applyProtection="1">
      <alignment horizontal="center" vertical="top" wrapText="1"/>
      <protection locked="0"/>
    </xf>
    <xf numFmtId="0" fontId="1" fillId="0" borderId="0" xfId="0" applyFont="1" applyBorder="1" applyAlignment="1" applyProtection="1">
      <alignment horizontal="left" vertical="top" indent="1"/>
    </xf>
    <xf numFmtId="0" fontId="1" fillId="0" borderId="0" xfId="0" applyFont="1" applyBorder="1" applyAlignment="1" applyProtection="1">
      <alignment horizontal="center"/>
    </xf>
    <xf numFmtId="0" fontId="1" fillId="0" borderId="0" xfId="0" applyFont="1" applyBorder="1" applyAlignment="1">
      <alignment horizontal="right"/>
    </xf>
    <xf numFmtId="171" fontId="1" fillId="0" borderId="0" xfId="0" applyNumberFormat="1" applyFont="1" applyBorder="1" applyAlignment="1" applyProtection="1">
      <alignment horizontal="left" vertical="top" indent="1"/>
    </xf>
    <xf numFmtId="171" fontId="13" fillId="0" borderId="0" xfId="0" applyNumberFormat="1" applyFont="1" applyFill="1" applyBorder="1" applyAlignment="1" applyProtection="1">
      <alignment horizontal="left" vertical="top" indent="1"/>
    </xf>
    <xf numFmtId="169" fontId="1" fillId="0" borderId="0" xfId="0" applyNumberFormat="1" applyFont="1" applyFill="1" applyBorder="1" applyAlignment="1" applyProtection="1">
      <alignment horizontal="left" vertical="top" indent="1"/>
    </xf>
    <xf numFmtId="171" fontId="15" fillId="0" borderId="9" xfId="0" applyNumberFormat="1" applyFont="1" applyBorder="1" applyAlignment="1" applyProtection="1">
      <alignment vertical="top"/>
    </xf>
    <xf numFmtId="171" fontId="13" fillId="0" borderId="9" xfId="0" applyNumberFormat="1" applyFont="1" applyBorder="1" applyAlignment="1" applyProtection="1">
      <alignment horizontal="left" vertical="top" indent="1"/>
    </xf>
    <xf numFmtId="169" fontId="1" fillId="0" borderId="9" xfId="0" applyNumberFormat="1" applyFont="1" applyBorder="1" applyAlignment="1" applyProtection="1">
      <alignment horizontal="left" vertical="top" indent="1"/>
    </xf>
    <xf numFmtId="0" fontId="1" fillId="0" borderId="9" xfId="0" applyFont="1" applyBorder="1" applyAlignment="1" applyProtection="1">
      <alignment horizontal="left" vertical="top" indent="1"/>
    </xf>
    <xf numFmtId="0" fontId="1" fillId="0" borderId="9" xfId="0" applyFont="1" applyBorder="1" applyAlignment="1">
      <alignment horizontal="center"/>
    </xf>
    <xf numFmtId="171" fontId="1" fillId="0" borderId="0" xfId="0" applyNumberFormat="1" applyFont="1" applyBorder="1" applyAlignment="1" applyProtection="1">
      <alignment horizontal="left" vertical="top" indent="1"/>
      <protection locked="0"/>
    </xf>
    <xf numFmtId="171" fontId="81" fillId="0" borderId="0" xfId="0" applyNumberFormat="1" applyFont="1" applyBorder="1" applyAlignment="1" applyProtection="1">
      <alignment horizontal="center" vertical="top"/>
      <protection locked="0"/>
    </xf>
    <xf numFmtId="0" fontId="1" fillId="0" borderId="0" xfId="0" applyFont="1" applyBorder="1" applyAlignment="1" applyProtection="1">
      <alignment horizontal="left" vertical="top" indent="1"/>
      <protection locked="0"/>
    </xf>
    <xf numFmtId="0" fontId="1" fillId="0" borderId="0" xfId="0" applyFont="1" applyBorder="1" applyAlignment="1" applyProtection="1">
      <alignment horizontal="center" vertical="top"/>
      <protection locked="0"/>
    </xf>
    <xf numFmtId="0" fontId="65" fillId="0" borderId="0" xfId="5" applyFont="1" applyBorder="1" applyAlignment="1" applyProtection="1">
      <alignment vertical="top"/>
      <protection locked="0"/>
    </xf>
    <xf numFmtId="0" fontId="6" fillId="0" borderId="0" xfId="0" applyFont="1" applyBorder="1" applyAlignment="1" applyProtection="1">
      <alignment horizontal="right" vertical="top" indent="1"/>
      <protection locked="0"/>
    </xf>
    <xf numFmtId="169" fontId="1" fillId="0" borderId="0" xfId="0" applyNumberFormat="1" applyFont="1" applyBorder="1" applyAlignment="1" applyProtection="1">
      <alignment horizontal="center" vertical="top"/>
      <protection locked="0"/>
    </xf>
    <xf numFmtId="171" fontId="3" fillId="0" borderId="80" xfId="0" applyNumberFormat="1" applyFont="1" applyBorder="1" applyAlignment="1" applyProtection="1">
      <alignment horizontal="left" vertical="top" indent="1"/>
      <protection locked="0"/>
    </xf>
    <xf numFmtId="169" fontId="3" fillId="0" borderId="80" xfId="0" applyNumberFormat="1" applyFont="1" applyBorder="1" applyAlignment="1" applyProtection="1">
      <alignment horizontal="center" vertical="top"/>
      <protection locked="0"/>
    </xf>
    <xf numFmtId="0" fontId="1" fillId="0" borderId="1" xfId="0" applyFont="1" applyFill="1" applyBorder="1" applyAlignment="1" applyProtection="1">
      <alignment horizontal="center" vertical="top"/>
      <protection locked="0"/>
    </xf>
    <xf numFmtId="0" fontId="2" fillId="6" borderId="0" xfId="0" applyFont="1" applyFill="1"/>
    <xf numFmtId="0" fontId="2" fillId="6" borderId="0" xfId="0" applyFont="1" applyFill="1" applyAlignment="1">
      <alignment horizontal="center"/>
    </xf>
    <xf numFmtId="0" fontId="7" fillId="0" borderId="28" xfId="0" applyFont="1" applyBorder="1"/>
    <xf numFmtId="0" fontId="0" fillId="0" borderId="1" xfId="0" applyFill="1" applyBorder="1"/>
    <xf numFmtId="0" fontId="0" fillId="0" borderId="2" xfId="0" applyBorder="1"/>
    <xf numFmtId="0" fontId="30" fillId="0" borderId="10" xfId="0" applyFont="1" applyFill="1" applyBorder="1" applyAlignment="1">
      <alignment horizontal="center"/>
    </xf>
    <xf numFmtId="0" fontId="0" fillId="0" borderId="2" xfId="0" applyFill="1" applyBorder="1"/>
    <xf numFmtId="0" fontId="30" fillId="0" borderId="11" xfId="0" applyFont="1" applyFill="1" applyBorder="1" applyAlignment="1">
      <alignment horizontal="center"/>
    </xf>
    <xf numFmtId="0" fontId="30" fillId="0" borderId="3" xfId="0" applyFont="1" applyFill="1" applyBorder="1" applyAlignment="1">
      <alignment horizontal="center"/>
    </xf>
    <xf numFmtId="0" fontId="0" fillId="0" borderId="3" xfId="0" applyFill="1" applyBorder="1"/>
    <xf numFmtId="0" fontId="0" fillId="0" borderId="4" xfId="0" applyFill="1" applyBorder="1"/>
    <xf numFmtId="0" fontId="0" fillId="0" borderId="3" xfId="0" applyBorder="1"/>
    <xf numFmtId="0" fontId="0" fillId="0" borderId="4" xfId="0" applyBorder="1"/>
    <xf numFmtId="0" fontId="5" fillId="0" borderId="19" xfId="0" applyNumberFormat="1" applyFont="1" applyBorder="1" applyAlignment="1">
      <alignment horizontal="left" vertical="top" wrapText="1"/>
    </xf>
    <xf numFmtId="0" fontId="1" fillId="0" borderId="1" xfId="0" applyFont="1" applyBorder="1" applyAlignment="1" applyProtection="1">
      <alignment vertical="top" wrapText="1"/>
      <protection locked="0"/>
    </xf>
    <xf numFmtId="0" fontId="0" fillId="0" borderId="29" xfId="0" applyBorder="1" applyAlignment="1">
      <alignment horizontal="left" vertical="top" wrapText="1"/>
    </xf>
    <xf numFmtId="0" fontId="5" fillId="0" borderId="68" xfId="0" applyNumberFormat="1" applyFont="1" applyBorder="1" applyAlignment="1">
      <alignment horizontal="left" vertical="top" wrapText="1"/>
    </xf>
    <xf numFmtId="0" fontId="1" fillId="0" borderId="19" xfId="0" applyNumberFormat="1" applyFont="1" applyBorder="1" applyAlignment="1">
      <alignment horizontal="left" vertical="top" wrapText="1"/>
    </xf>
    <xf numFmtId="0" fontId="0" fillId="0" borderId="1" xfId="0" quotePrefix="1" applyBorder="1" applyAlignment="1">
      <alignment horizontal="left" vertical="top" wrapText="1"/>
    </xf>
    <xf numFmtId="0" fontId="1" fillId="0" borderId="8" xfId="0" applyFont="1" applyBorder="1" applyAlignment="1">
      <alignment horizontal="left" vertical="top"/>
    </xf>
    <xf numFmtId="0" fontId="1" fillId="0" borderId="1" xfId="0" applyFont="1" applyBorder="1" applyAlignment="1">
      <alignment vertical="top" wrapText="1"/>
    </xf>
    <xf numFmtId="169" fontId="0" fillId="6" borderId="8" xfId="0" applyNumberFormat="1" applyFill="1" applyBorder="1" applyAlignment="1">
      <alignment horizontal="right" vertical="top"/>
    </xf>
    <xf numFmtId="0" fontId="0" fillId="0" borderId="0" xfId="0" applyAlignment="1">
      <alignment horizontal="left" indent="1"/>
    </xf>
    <xf numFmtId="0" fontId="82" fillId="0" borderId="0" xfId="0" applyFont="1" applyAlignment="1">
      <alignment horizontal="left" indent="1"/>
    </xf>
    <xf numFmtId="14" fontId="82" fillId="0" borderId="0" xfId="0" applyNumberFormat="1" applyFont="1" applyAlignment="1">
      <alignment horizontal="left" indent="1"/>
    </xf>
    <xf numFmtId="0" fontId="7" fillId="7" borderId="0" xfId="0" applyFont="1" applyFill="1" applyBorder="1" applyAlignment="1" applyProtection="1">
      <alignment horizontal="left" indent="1"/>
      <protection locked="0"/>
    </xf>
    <xf numFmtId="0" fontId="3" fillId="7" borderId="0" xfId="0" applyFont="1" applyFill="1" applyBorder="1" applyProtection="1">
      <protection locked="0"/>
    </xf>
    <xf numFmtId="0" fontId="3" fillId="0" borderId="0" xfId="0" applyFont="1" applyFill="1" applyBorder="1" applyProtection="1"/>
    <xf numFmtId="0" fontId="3" fillId="0" borderId="0" xfId="0" applyFont="1" applyAlignment="1">
      <alignment horizontal="center" vertical="center"/>
    </xf>
    <xf numFmtId="0" fontId="3" fillId="0" borderId="0" xfId="0" applyFont="1" applyFill="1" applyBorder="1" applyAlignment="1" applyProtection="1">
      <alignment horizontal="right"/>
    </xf>
    <xf numFmtId="0" fontId="1" fillId="0" borderId="0" xfId="0" applyFont="1" applyFill="1" applyBorder="1" applyAlignment="1" applyProtection="1">
      <alignment horizontal="right"/>
    </xf>
    <xf numFmtId="1" fontId="0" fillId="13" borderId="1" xfId="0" applyNumberFormat="1" applyFill="1" applyBorder="1" applyAlignment="1" applyProtection="1">
      <alignment horizontal="center" vertical="center"/>
    </xf>
    <xf numFmtId="1" fontId="0" fillId="0" borderId="0" xfId="0" applyNumberFormat="1" applyAlignment="1">
      <alignment horizontal="center" vertical="center"/>
    </xf>
    <xf numFmtId="1" fontId="0" fillId="11" borderId="1" xfId="0" applyNumberFormat="1" applyFill="1" applyBorder="1" applyAlignment="1" applyProtection="1">
      <alignment horizontal="center" vertical="center"/>
      <protection locked="0"/>
    </xf>
    <xf numFmtId="169" fontId="0" fillId="6" borderId="24" xfId="0" applyNumberFormat="1" applyFill="1" applyBorder="1" applyProtection="1">
      <protection locked="0"/>
    </xf>
    <xf numFmtId="0" fontId="52" fillId="0" borderId="81" xfId="0" applyFont="1" applyBorder="1" applyAlignment="1" applyProtection="1">
      <alignment horizontal="left" vertical="top"/>
      <protection locked="0"/>
    </xf>
    <xf numFmtId="0" fontId="52" fillId="0" borderId="81" xfId="0" applyFont="1" applyBorder="1" applyAlignment="1" applyProtection="1">
      <alignment horizontal="center" vertical="top"/>
      <protection locked="0"/>
    </xf>
    <xf numFmtId="0" fontId="52" fillId="0" borderId="81" xfId="0" applyFont="1" applyFill="1" applyBorder="1" applyAlignment="1" applyProtection="1">
      <alignment wrapText="1"/>
      <protection locked="0"/>
    </xf>
    <xf numFmtId="0" fontId="52" fillId="0" borderId="81" xfId="0" applyFont="1" applyFill="1" applyBorder="1" applyAlignment="1" applyProtection="1">
      <alignment horizontal="center"/>
      <protection locked="0"/>
    </xf>
    <xf numFmtId="167" fontId="52" fillId="0" borderId="81" xfId="0" applyNumberFormat="1" applyFont="1" applyFill="1" applyBorder="1" applyAlignment="1" applyProtection="1">
      <alignment horizontal="center"/>
      <protection locked="0"/>
    </xf>
    <xf numFmtId="167" fontId="52" fillId="0" borderId="82" xfId="0" applyNumberFormat="1" applyFont="1" applyFill="1" applyBorder="1" applyAlignment="1">
      <alignment horizontal="right"/>
    </xf>
    <xf numFmtId="0" fontId="1" fillId="11" borderId="8" xfId="0" applyFont="1" applyFill="1" applyBorder="1" applyAlignment="1" applyProtection="1">
      <alignment wrapText="1"/>
      <protection locked="0"/>
    </xf>
    <xf numFmtId="0" fontId="0" fillId="11" borderId="66" xfId="0" applyFill="1" applyBorder="1" applyAlignment="1" applyProtection="1">
      <alignment horizontal="left" vertical="top"/>
      <protection locked="0"/>
    </xf>
    <xf numFmtId="0" fontId="0" fillId="11" borderId="50" xfId="0" applyFill="1" applyBorder="1" applyAlignment="1" applyProtection="1">
      <alignment horizontal="left" vertical="top"/>
      <protection locked="0"/>
    </xf>
    <xf numFmtId="0" fontId="0" fillId="11" borderId="19" xfId="0" applyFill="1" applyBorder="1" applyAlignment="1" applyProtection="1">
      <alignment horizontal="left" vertical="top"/>
      <protection locked="0"/>
    </xf>
    <xf numFmtId="0" fontId="1" fillId="11" borderId="5" xfId="0" applyFont="1" applyFill="1" applyBorder="1" applyAlignment="1" applyProtection="1">
      <alignment horizontal="left"/>
      <protection locked="0"/>
    </xf>
    <xf numFmtId="0" fontId="42" fillId="0" borderId="83" xfId="0" applyFont="1" applyBorder="1" applyAlignment="1" applyProtection="1">
      <alignment horizontal="right" vertical="top"/>
      <protection locked="0"/>
    </xf>
    <xf numFmtId="0" fontId="0" fillId="0" borderId="0" xfId="0" applyAlignment="1">
      <alignment vertical="center" wrapText="1"/>
    </xf>
    <xf numFmtId="0" fontId="2" fillId="6" borderId="0" xfId="0" applyFont="1" applyFill="1" applyAlignment="1">
      <alignment horizontal="right"/>
    </xf>
    <xf numFmtId="169" fontId="2" fillId="6" borderId="0" xfId="0" applyNumberFormat="1" applyFont="1" applyFill="1"/>
    <xf numFmtId="0" fontId="84" fillId="7" borderId="28" xfId="0" applyFont="1" applyFill="1" applyBorder="1" applyProtection="1">
      <protection locked="0"/>
    </xf>
    <xf numFmtId="0" fontId="7" fillId="7" borderId="28" xfId="0" applyFont="1" applyFill="1" applyBorder="1" applyProtection="1">
      <protection locked="0"/>
    </xf>
    <xf numFmtId="0" fontId="2" fillId="23" borderId="1" xfId="0" applyFont="1" applyFill="1" applyBorder="1" applyAlignment="1">
      <alignment horizontal="center"/>
    </xf>
    <xf numFmtId="0" fontId="2" fillId="0" borderId="1" xfId="0" quotePrefix="1" applyFont="1" applyFill="1" applyBorder="1" applyAlignment="1">
      <alignment horizontal="center" wrapText="1"/>
    </xf>
    <xf numFmtId="0" fontId="5" fillId="0" borderId="8" xfId="0" applyNumberFormat="1" applyFont="1" applyBorder="1" applyAlignment="1">
      <alignment horizontal="left" vertical="top" wrapText="1"/>
    </xf>
    <xf numFmtId="0" fontId="5" fillId="0" borderId="49" xfId="0" applyNumberFormat="1" applyFont="1" applyBorder="1" applyAlignment="1">
      <alignment horizontal="left" vertical="top" wrapText="1"/>
    </xf>
    <xf numFmtId="0" fontId="0" fillId="0" borderId="44" xfId="0" applyBorder="1" applyAlignment="1">
      <alignment horizontal="left" vertical="top"/>
    </xf>
    <xf numFmtId="0" fontId="3" fillId="7" borderId="1" xfId="0" applyFont="1" applyFill="1" applyBorder="1" applyAlignment="1" applyProtection="1">
      <alignment horizontal="center" vertical="center"/>
      <protection locked="0"/>
    </xf>
    <xf numFmtId="0" fontId="53" fillId="5" borderId="0" xfId="0" quotePrefix="1" applyFont="1" applyFill="1"/>
    <xf numFmtId="0" fontId="0" fillId="6" borderId="48" xfId="0" applyFill="1" applyBorder="1" applyProtection="1">
      <protection locked="0"/>
    </xf>
    <xf numFmtId="0" fontId="0" fillId="6" borderId="40" xfId="0" applyFill="1" applyBorder="1" applyProtection="1">
      <protection locked="0"/>
    </xf>
    <xf numFmtId="0" fontId="0" fillId="6" borderId="49" xfId="0" applyFill="1" applyBorder="1" applyProtection="1">
      <protection locked="0"/>
    </xf>
    <xf numFmtId="0" fontId="0" fillId="6" borderId="50" xfId="0" applyFill="1" applyBorder="1" applyProtection="1">
      <protection locked="0"/>
    </xf>
    <xf numFmtId="0" fontId="3" fillId="6" borderId="19" xfId="0" applyFont="1" applyFill="1" applyBorder="1" applyProtection="1">
      <protection locked="0"/>
    </xf>
    <xf numFmtId="0" fontId="3" fillId="6" borderId="36" xfId="0" applyFont="1" applyFill="1" applyBorder="1" applyAlignment="1" applyProtection="1">
      <alignment vertical="center"/>
      <protection locked="0"/>
    </xf>
    <xf numFmtId="0" fontId="3" fillId="6" borderId="29" xfId="0" applyFont="1" applyFill="1" applyBorder="1" applyAlignment="1" applyProtection="1">
      <alignment vertical="center"/>
      <protection locked="0"/>
    </xf>
    <xf numFmtId="0" fontId="3" fillId="6" borderId="19" xfId="0" applyFont="1" applyFill="1" applyBorder="1" applyAlignment="1" applyProtection="1">
      <alignment vertical="center"/>
      <protection locked="0"/>
    </xf>
    <xf numFmtId="168" fontId="44" fillId="0" borderId="0" xfId="0" applyNumberFormat="1" applyFont="1"/>
    <xf numFmtId="170" fontId="0" fillId="5" borderId="0" xfId="2" applyNumberFormat="1" applyFont="1" applyFill="1"/>
    <xf numFmtId="165" fontId="2" fillId="0" borderId="1" xfId="1" applyNumberFormat="1" applyFont="1" applyFill="1" applyBorder="1" applyAlignment="1" applyProtection="1">
      <alignment horizontal="right" vertical="center"/>
      <protection locked="0"/>
    </xf>
    <xf numFmtId="0" fontId="1" fillId="0" borderId="1" xfId="0" applyFont="1" applyBorder="1" applyAlignment="1">
      <alignment horizontal="center" vertical="center" wrapText="1"/>
    </xf>
    <xf numFmtId="0" fontId="0" fillId="0" borderId="1" xfId="0" applyBorder="1" applyAlignment="1">
      <alignment horizontal="left" vertical="center" wrapText="1"/>
    </xf>
    <xf numFmtId="0" fontId="1" fillId="0" borderId="1" xfId="0" applyFont="1" applyFill="1" applyBorder="1" applyAlignment="1" applyProtection="1">
      <alignment horizontal="center"/>
    </xf>
    <xf numFmtId="0" fontId="1" fillId="0" borderId="1" xfId="0" applyFont="1" applyBorder="1" applyAlignment="1">
      <alignment horizontal="left" vertical="center" wrapText="1"/>
    </xf>
    <xf numFmtId="0" fontId="1" fillId="0" borderId="0" xfId="0" applyFont="1" applyBorder="1" applyAlignment="1">
      <alignment horizontal="left" vertical="center" wrapText="1"/>
    </xf>
    <xf numFmtId="0" fontId="1" fillId="0" borderId="1" xfId="0" quotePrefix="1" applyFont="1" applyFill="1" applyBorder="1" applyAlignment="1" applyProtection="1">
      <alignment horizontal="center"/>
    </xf>
    <xf numFmtId="0" fontId="52" fillId="0" borderId="1" xfId="0" applyFont="1" applyFill="1" applyBorder="1" applyAlignment="1" applyProtection="1">
      <alignment horizontal="left"/>
    </xf>
    <xf numFmtId="0" fontId="52" fillId="0" borderId="1" xfId="0" applyFont="1" applyBorder="1" applyAlignment="1">
      <alignment horizontal="center" vertical="center" wrapText="1"/>
    </xf>
    <xf numFmtId="0" fontId="5" fillId="0" borderId="21" xfId="0" applyNumberFormat="1" applyFont="1" applyBorder="1" applyAlignment="1">
      <alignment vertical="top"/>
    </xf>
    <xf numFmtId="0" fontId="5" fillId="0" borderId="59" xfId="0" applyNumberFormat="1" applyFont="1" applyBorder="1" applyAlignment="1">
      <alignment vertical="top"/>
    </xf>
    <xf numFmtId="0" fontId="5" fillId="0" borderId="13" xfId="0" applyNumberFormat="1" applyFont="1" applyBorder="1" applyAlignment="1">
      <alignment vertical="top"/>
    </xf>
    <xf numFmtId="0" fontId="5" fillId="0" borderId="54" xfId="0" applyNumberFormat="1" applyFont="1" applyBorder="1" applyAlignment="1">
      <alignment vertical="top"/>
    </xf>
    <xf numFmtId="169" fontId="3" fillId="0" borderId="52" xfId="0" applyNumberFormat="1" applyFont="1" applyBorder="1" applyAlignment="1">
      <alignment horizontal="right" vertical="center"/>
    </xf>
    <xf numFmtId="0" fontId="52" fillId="0" borderId="84" xfId="0" applyFont="1" applyBorder="1" applyAlignment="1" applyProtection="1">
      <alignment horizontal="left" vertical="top"/>
      <protection locked="0"/>
    </xf>
    <xf numFmtId="0" fontId="1" fillId="11" borderId="5" xfId="0" applyFont="1" applyFill="1" applyBorder="1" applyAlignment="1" applyProtection="1">
      <alignment horizontal="left" vertical="top"/>
      <protection locked="0"/>
    </xf>
    <xf numFmtId="0" fontId="0" fillId="0" borderId="21" xfId="0" applyBorder="1" applyAlignment="1">
      <alignment vertical="top"/>
    </xf>
    <xf numFmtId="0" fontId="0" fillId="0" borderId="59" xfId="0" applyBorder="1" applyAlignment="1">
      <alignment vertical="top"/>
    </xf>
    <xf numFmtId="0" fontId="0" fillId="0" borderId="54" xfId="0" applyBorder="1" applyAlignment="1">
      <alignment vertical="top"/>
    </xf>
    <xf numFmtId="0" fontId="0" fillId="0" borderId="43" xfId="0" applyBorder="1" applyAlignment="1">
      <alignment vertical="top"/>
    </xf>
    <xf numFmtId="0" fontId="0" fillId="0" borderId="13" xfId="0" applyBorder="1" applyAlignment="1">
      <alignment vertical="top"/>
    </xf>
    <xf numFmtId="0" fontId="5" fillId="0" borderId="43" xfId="0" applyNumberFormat="1" applyFont="1" applyBorder="1" applyAlignment="1">
      <alignment vertical="top"/>
    </xf>
    <xf numFmtId="0" fontId="0" fillId="0" borderId="54" xfId="0" applyBorder="1" applyAlignment="1">
      <alignment horizontal="left" vertical="top"/>
    </xf>
    <xf numFmtId="0" fontId="0" fillId="0" borderId="59" xfId="0" applyBorder="1" applyAlignment="1">
      <alignment horizontal="left" vertical="top"/>
    </xf>
    <xf numFmtId="9" fontId="0" fillId="6" borderId="0" xfId="3" applyFont="1" applyFill="1"/>
    <xf numFmtId="168" fontId="0" fillId="6" borderId="0" xfId="0" applyNumberFormat="1" applyFill="1"/>
    <xf numFmtId="168" fontId="1" fillId="0" borderId="0" xfId="1" applyNumberFormat="1" applyFont="1" applyBorder="1" applyAlignment="1" applyProtection="1">
      <alignment horizontal="left" vertical="top" indent="1"/>
    </xf>
    <xf numFmtId="168" fontId="0" fillId="0" borderId="0" xfId="0" applyNumberFormat="1"/>
    <xf numFmtId="0" fontId="15" fillId="0" borderId="0" xfId="0" applyFont="1" applyFill="1" applyBorder="1" applyProtection="1"/>
    <xf numFmtId="0" fontId="1" fillId="13" borderId="1" xfId="1" applyNumberFormat="1" applyFont="1" applyFill="1" applyBorder="1" applyAlignment="1" applyProtection="1">
      <alignment horizontal="center" vertical="center"/>
    </xf>
    <xf numFmtId="0" fontId="3" fillId="14" borderId="1" xfId="0" applyFont="1" applyFill="1" applyBorder="1" applyAlignment="1" applyProtection="1">
      <alignment horizontal="left"/>
    </xf>
    <xf numFmtId="166" fontId="0" fillId="0" borderId="0" xfId="2" applyFont="1" applyBorder="1" applyAlignment="1" applyProtection="1">
      <alignment horizontal="center" vertical="top"/>
    </xf>
    <xf numFmtId="170" fontId="0" fillId="0" borderId="0" xfId="2" applyNumberFormat="1" applyFont="1" applyBorder="1" applyAlignment="1" applyProtection="1">
      <alignment horizontal="center" vertical="top"/>
    </xf>
    <xf numFmtId="170" fontId="0" fillId="0" borderId="0" xfId="0" applyNumberFormat="1" applyBorder="1" applyAlignment="1" applyProtection="1">
      <alignment horizontal="left" vertical="top" indent="1"/>
    </xf>
    <xf numFmtId="1" fontId="0" fillId="0" borderId="1" xfId="0" applyNumberFormat="1" applyFill="1" applyBorder="1" applyAlignment="1" applyProtection="1">
      <alignment horizontal="center" vertical="center"/>
    </xf>
    <xf numFmtId="168" fontId="0" fillId="0" borderId="1" xfId="1" applyNumberFormat="1" applyFont="1" applyFill="1" applyBorder="1" applyAlignment="1" applyProtection="1">
      <alignment horizontal="center" vertical="center"/>
    </xf>
    <xf numFmtId="168" fontId="1" fillId="0" borderId="58" xfId="0" applyNumberFormat="1" applyFont="1" applyBorder="1"/>
    <xf numFmtId="1" fontId="1" fillId="0" borderId="0" xfId="0" applyNumberFormat="1" applyFont="1" applyBorder="1" applyAlignment="1">
      <alignment horizontal="right" vertical="center"/>
    </xf>
    <xf numFmtId="168" fontId="1" fillId="0" borderId="0" xfId="0" applyNumberFormat="1" applyFont="1" applyBorder="1"/>
    <xf numFmtId="10" fontId="8" fillId="0" borderId="0" xfId="3" applyNumberFormat="1" applyFont="1" applyBorder="1" applyAlignment="1" applyProtection="1">
      <alignment horizontal="left" vertical="top" indent="1"/>
    </xf>
    <xf numFmtId="10" fontId="0" fillId="3" borderId="18" xfId="0" applyNumberFormat="1" applyFill="1" applyBorder="1" applyAlignment="1" applyProtection="1">
      <alignment horizontal="center"/>
      <protection locked="0"/>
    </xf>
    <xf numFmtId="169" fontId="1" fillId="0" borderId="0" xfId="0" applyNumberFormat="1" applyFont="1" applyBorder="1" applyAlignment="1" applyProtection="1">
      <alignment horizontal="left"/>
    </xf>
    <xf numFmtId="0" fontId="0" fillId="0" borderId="0" xfId="0" pivotButton="1"/>
    <xf numFmtId="0" fontId="0" fillId="0" borderId="0" xfId="0" applyNumberFormat="1"/>
    <xf numFmtId="0" fontId="0" fillId="6" borderId="0" xfId="0" applyFill="1" applyAlignment="1">
      <alignment horizontal="left"/>
    </xf>
    <xf numFmtId="0" fontId="0" fillId="0" borderId="0" xfId="0" pivotButton="1" applyAlignment="1">
      <alignment horizontal="left"/>
    </xf>
    <xf numFmtId="0" fontId="0" fillId="0" borderId="0" xfId="0" applyNumberFormat="1" applyAlignment="1">
      <alignment horizontal="center"/>
    </xf>
    <xf numFmtId="0" fontId="85" fillId="7" borderId="85" xfId="0" applyFont="1" applyFill="1" applyBorder="1" applyAlignment="1">
      <alignment horizontal="left"/>
    </xf>
    <xf numFmtId="0" fontId="85" fillId="7" borderId="85" xfId="0" applyFont="1" applyFill="1" applyBorder="1" applyAlignment="1">
      <alignment horizontal="center"/>
    </xf>
    <xf numFmtId="1" fontId="3" fillId="0" borderId="58" xfId="0" applyNumberFormat="1" applyFont="1" applyBorder="1" applyAlignment="1">
      <alignment horizontal="right" vertical="center"/>
    </xf>
    <xf numFmtId="1" fontId="3" fillId="0" borderId="0" xfId="0" applyNumberFormat="1" applyFont="1" applyAlignment="1">
      <alignment horizontal="right" vertical="center"/>
    </xf>
    <xf numFmtId="175" fontId="1" fillId="6" borderId="34" xfId="0" applyNumberFormat="1" applyFont="1" applyFill="1" applyBorder="1"/>
    <xf numFmtId="175" fontId="1" fillId="5" borderId="0" xfId="0" applyNumberFormat="1" applyFont="1" applyFill="1"/>
    <xf numFmtId="0" fontId="30" fillId="0" borderId="1" xfId="0" quotePrefix="1" applyFont="1" applyFill="1" applyBorder="1" applyAlignment="1">
      <alignment horizontal="center"/>
    </xf>
    <xf numFmtId="165" fontId="2" fillId="10" borderId="1" xfId="1" applyNumberFormat="1" applyFont="1" applyFill="1" applyBorder="1" applyAlignment="1" applyProtection="1">
      <alignment horizontal="right"/>
      <protection locked="0"/>
    </xf>
    <xf numFmtId="168" fontId="2" fillId="10" borderId="1" xfId="1" applyNumberFormat="1" applyFont="1" applyFill="1" applyBorder="1" applyAlignment="1">
      <alignment horizontal="center" vertical="top"/>
    </xf>
    <xf numFmtId="169" fontId="0" fillId="6" borderId="22" xfId="0" applyNumberFormat="1" applyFill="1" applyBorder="1" applyAlignment="1">
      <alignment horizontal="right"/>
    </xf>
    <xf numFmtId="169" fontId="0" fillId="0" borderId="23" xfId="0" applyNumberFormat="1" applyBorder="1" applyAlignment="1">
      <alignment vertical="top"/>
    </xf>
    <xf numFmtId="0" fontId="10" fillId="0" borderId="0" xfId="0" applyFont="1" applyBorder="1" applyAlignment="1">
      <alignment horizontal="left"/>
    </xf>
    <xf numFmtId="0" fontId="1" fillId="14" borderId="1" xfId="0" applyFont="1" applyFill="1" applyBorder="1" applyAlignment="1">
      <alignment horizontal="left"/>
    </xf>
    <xf numFmtId="0" fontId="1" fillId="24" borderId="0" xfId="0" applyFont="1" applyFill="1"/>
    <xf numFmtId="0" fontId="0" fillId="24" borderId="0" xfId="0" applyFill="1"/>
    <xf numFmtId="0" fontId="1" fillId="3" borderId="0" xfId="0" applyFont="1" applyFill="1"/>
    <xf numFmtId="0" fontId="1" fillId="25" borderId="0" xfId="0" applyFont="1" applyFill="1"/>
    <xf numFmtId="0" fontId="0" fillId="25" borderId="0" xfId="0" applyFill="1"/>
    <xf numFmtId="0" fontId="1" fillId="10" borderId="0" xfId="0" applyFont="1" applyFill="1"/>
    <xf numFmtId="0" fontId="0" fillId="10" borderId="0" xfId="0" applyFill="1"/>
    <xf numFmtId="0" fontId="30" fillId="0" borderId="1" xfId="0" quotePrefix="1" applyFont="1" applyBorder="1" applyAlignment="1">
      <alignment horizontal="center" vertical="center"/>
    </xf>
    <xf numFmtId="0" fontId="7" fillId="0" borderId="80" xfId="0" applyFont="1" applyBorder="1"/>
    <xf numFmtId="0" fontId="0" fillId="0" borderId="80" xfId="0" applyBorder="1"/>
    <xf numFmtId="0" fontId="1" fillId="8" borderId="0" xfId="0" applyFont="1" applyFill="1"/>
    <xf numFmtId="0" fontId="1" fillId="26" borderId="0" xfId="0" applyFont="1" applyFill="1"/>
    <xf numFmtId="0" fontId="0" fillId="26" borderId="0" xfId="0" applyFill="1"/>
    <xf numFmtId="0" fontId="1" fillId="27" borderId="0" xfId="0" applyFont="1" applyFill="1"/>
    <xf numFmtId="0" fontId="0" fillId="27" borderId="0" xfId="0" applyFill="1"/>
    <xf numFmtId="0" fontId="30" fillId="0" borderId="2" xfId="0" quotePrefix="1" applyFont="1" applyBorder="1" applyAlignment="1">
      <alignment horizontal="center" vertic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30" fillId="24" borderId="24" xfId="0" applyFont="1" applyFill="1" applyBorder="1" applyAlignment="1">
      <alignment horizontal="center" vertical="center"/>
    </xf>
    <xf numFmtId="0" fontId="30" fillId="3" borderId="24" xfId="0" applyFont="1" applyFill="1" applyBorder="1" applyAlignment="1">
      <alignment horizontal="center" vertical="center"/>
    </xf>
    <xf numFmtId="0" fontId="30" fillId="25" borderId="24" xfId="0" applyFont="1" applyFill="1" applyBorder="1" applyAlignment="1">
      <alignment horizontal="center" vertical="center"/>
    </xf>
    <xf numFmtId="0" fontId="30" fillId="10" borderId="24" xfId="0" applyFont="1" applyFill="1" applyBorder="1" applyAlignment="1">
      <alignment horizontal="center" vertical="center"/>
    </xf>
    <xf numFmtId="0" fontId="30" fillId="8" borderId="24" xfId="0" applyFont="1" applyFill="1" applyBorder="1" applyAlignment="1">
      <alignment horizontal="center" vertical="center"/>
    </xf>
    <xf numFmtId="0" fontId="30" fillId="26" borderId="24" xfId="0" applyFont="1" applyFill="1" applyBorder="1" applyAlignment="1">
      <alignment horizontal="center" vertical="center"/>
    </xf>
    <xf numFmtId="0" fontId="30" fillId="27" borderId="24" xfId="0" applyFont="1" applyFill="1" applyBorder="1" applyAlignment="1">
      <alignment horizontal="center" vertical="center"/>
    </xf>
    <xf numFmtId="0" fontId="30" fillId="10" borderId="25" xfId="0" applyFont="1" applyFill="1" applyBorder="1" applyAlignment="1">
      <alignment horizontal="center" vertical="center"/>
    </xf>
    <xf numFmtId="0" fontId="87" fillId="0" borderId="0" xfId="0" applyFont="1" applyAlignment="1">
      <alignment horizontal="center" vertical="center"/>
    </xf>
    <xf numFmtId="0" fontId="88" fillId="0" borderId="0" xfId="0" applyFont="1" applyAlignment="1">
      <alignment horizontal="center" vertical="center"/>
    </xf>
    <xf numFmtId="0" fontId="88" fillId="0" borderId="1" xfId="0" applyFont="1" applyBorder="1" applyAlignment="1">
      <alignment horizontal="center" vertical="center"/>
    </xf>
    <xf numFmtId="0" fontId="89" fillId="0" borderId="1" xfId="0" applyFont="1" applyBorder="1" applyAlignment="1">
      <alignment horizontal="center" vertical="center"/>
    </xf>
    <xf numFmtId="0" fontId="87" fillId="0" borderId="1" xfId="0" applyFont="1" applyBorder="1" applyAlignment="1">
      <alignment horizontal="center" vertical="center"/>
    </xf>
    <xf numFmtId="0" fontId="87" fillId="0" borderId="2" xfId="0" applyFont="1" applyBorder="1" applyAlignment="1">
      <alignment horizontal="center" vertical="center"/>
    </xf>
    <xf numFmtId="0" fontId="0" fillId="0" borderId="86" xfId="0" applyBorder="1"/>
    <xf numFmtId="0" fontId="0" fillId="0" borderId="60" xfId="0" applyBorder="1"/>
    <xf numFmtId="0" fontId="30" fillId="0" borderId="22" xfId="0" applyFont="1" applyBorder="1" applyAlignment="1">
      <alignment horizontal="center" vertical="center"/>
    </xf>
    <xf numFmtId="0" fontId="30" fillId="0" borderId="23" xfId="0" applyFont="1" applyBorder="1" applyAlignment="1">
      <alignment horizontal="center" vertical="center"/>
    </xf>
    <xf numFmtId="0" fontId="30" fillId="0" borderId="24" xfId="0" applyFont="1" applyBorder="1" applyAlignment="1">
      <alignment horizontal="center" vertical="center"/>
    </xf>
    <xf numFmtId="0" fontId="87" fillId="0" borderId="3" xfId="0" applyFont="1" applyBorder="1" applyAlignment="1">
      <alignment horizontal="center" vertical="center"/>
    </xf>
    <xf numFmtId="0" fontId="88" fillId="0" borderId="8" xfId="0" applyFont="1" applyBorder="1" applyAlignment="1">
      <alignment horizontal="center" vertical="center"/>
    </xf>
    <xf numFmtId="0" fontId="87" fillId="0" borderId="8" xfId="0" applyFont="1" applyBorder="1" applyAlignment="1">
      <alignment horizontal="center" vertical="center"/>
    </xf>
    <xf numFmtId="0" fontId="89" fillId="0" borderId="8" xfId="0" applyFont="1" applyBorder="1" applyAlignment="1">
      <alignment horizontal="center" vertical="center"/>
    </xf>
    <xf numFmtId="0" fontId="87" fillId="0" borderId="12" xfId="0" applyFont="1" applyBorder="1" applyAlignment="1">
      <alignment horizontal="center" vertical="center"/>
    </xf>
    <xf numFmtId="0" fontId="0" fillId="0" borderId="87" xfId="0" applyBorder="1"/>
    <xf numFmtId="0" fontId="88" fillId="0" borderId="3" xfId="0" applyFont="1" applyBorder="1" applyAlignment="1">
      <alignment horizontal="center" vertical="center"/>
    </xf>
    <xf numFmtId="0" fontId="0" fillId="0" borderId="45" xfId="0" applyBorder="1"/>
    <xf numFmtId="0" fontId="1" fillId="0" borderId="86" xfId="0" applyFont="1" applyBorder="1"/>
    <xf numFmtId="0" fontId="0" fillId="0" borderId="41" xfId="0" applyBorder="1"/>
    <xf numFmtId="0" fontId="30" fillId="0" borderId="10" xfId="0" quotePrefix="1" applyFont="1" applyBorder="1" applyAlignment="1">
      <alignment horizontal="center" vertical="center"/>
    </xf>
    <xf numFmtId="0" fontId="30" fillId="0" borderId="11" xfId="0" applyFont="1" applyBorder="1" applyAlignment="1">
      <alignment horizontal="center" vertical="center"/>
    </xf>
    <xf numFmtId="0" fontId="88" fillId="0" borderId="30" xfId="0" applyFont="1" applyBorder="1" applyAlignment="1">
      <alignment horizontal="center" vertical="center"/>
    </xf>
    <xf numFmtId="0" fontId="87" fillId="0" borderId="10" xfId="0" applyFont="1" applyBorder="1" applyAlignment="1">
      <alignment horizontal="center" vertical="center"/>
    </xf>
    <xf numFmtId="0" fontId="88" fillId="0" borderId="10" xfId="0" applyFont="1" applyBorder="1" applyAlignment="1">
      <alignment horizontal="center" vertical="center"/>
    </xf>
    <xf numFmtId="0" fontId="88" fillId="0" borderId="11" xfId="0" applyFont="1" applyBorder="1" applyAlignment="1">
      <alignment horizontal="center" vertical="center"/>
    </xf>
    <xf numFmtId="0" fontId="30" fillId="0" borderId="54" xfId="0" applyFont="1" applyBorder="1" applyAlignment="1">
      <alignment horizontal="center" vertical="center"/>
    </xf>
    <xf numFmtId="0" fontId="87" fillId="0" borderId="4" xfId="0" applyFont="1" applyBorder="1" applyAlignment="1">
      <alignment horizontal="center" vertical="center"/>
    </xf>
    <xf numFmtId="0" fontId="89" fillId="0" borderId="0" xfId="0" applyFont="1" applyBorder="1" applyAlignment="1">
      <alignment horizontal="center" vertical="center"/>
    </xf>
    <xf numFmtId="0" fontId="1" fillId="0" borderId="0" xfId="0" applyFont="1" applyAlignment="1"/>
    <xf numFmtId="0" fontId="7" fillId="0" borderId="0" xfId="0" applyFont="1" applyBorder="1"/>
    <xf numFmtId="0" fontId="86" fillId="0" borderId="0" xfId="0" applyFont="1" applyAlignment="1">
      <alignment vertical="center"/>
    </xf>
    <xf numFmtId="0" fontId="90" fillId="0" borderId="0" xfId="0" applyFont="1" applyAlignment="1">
      <alignment vertical="center"/>
    </xf>
    <xf numFmtId="0" fontId="0" fillId="0" borderId="53" xfId="0" applyBorder="1"/>
    <xf numFmtId="0" fontId="30" fillId="0" borderId="21" xfId="0" applyFont="1" applyBorder="1" applyAlignment="1">
      <alignment horizontal="center" vertical="center"/>
    </xf>
    <xf numFmtId="0" fontId="90" fillId="0" borderId="8" xfId="0" applyFont="1" applyBorder="1" applyAlignment="1">
      <alignment horizontal="center" vertical="center"/>
    </xf>
    <xf numFmtId="0" fontId="90" fillId="0" borderId="1" xfId="0" applyFont="1" applyBorder="1" applyAlignment="1">
      <alignment horizontal="center" vertical="center"/>
    </xf>
    <xf numFmtId="0" fontId="86" fillId="0" borderId="1" xfId="0" applyFont="1" applyBorder="1" applyAlignment="1">
      <alignment horizontal="center" vertical="center"/>
    </xf>
    <xf numFmtId="0" fontId="86" fillId="0" borderId="8" xfId="0" applyFont="1" applyBorder="1" applyAlignment="1">
      <alignment horizontal="center" vertical="center"/>
    </xf>
    <xf numFmtId="0" fontId="90" fillId="0" borderId="7" xfId="0" applyFont="1" applyBorder="1" applyAlignment="1">
      <alignment horizontal="center" vertical="center"/>
    </xf>
    <xf numFmtId="0" fontId="86" fillId="0" borderId="12" xfId="0" applyFont="1" applyBorder="1" applyAlignment="1">
      <alignment horizontal="center" vertical="center"/>
    </xf>
    <xf numFmtId="0" fontId="90" fillId="0" borderId="10" xfId="0" applyFont="1" applyBorder="1" applyAlignment="1">
      <alignment horizontal="center" vertical="center"/>
    </xf>
    <xf numFmtId="0" fontId="86" fillId="0" borderId="2" xfId="0" applyFont="1" applyBorder="1" applyAlignment="1">
      <alignment horizontal="center" vertical="center"/>
    </xf>
    <xf numFmtId="0" fontId="30" fillId="0" borderId="24" xfId="0" quotePrefix="1" applyFont="1" applyBorder="1" applyAlignment="1">
      <alignment horizontal="center" vertical="center"/>
    </xf>
    <xf numFmtId="0" fontId="30" fillId="0" borderId="25" xfId="0" quotePrefix="1" applyFont="1" applyBorder="1" applyAlignment="1">
      <alignment horizontal="center" vertical="center"/>
    </xf>
    <xf numFmtId="0" fontId="4" fillId="0" borderId="9" xfId="0" applyFont="1" applyBorder="1"/>
    <xf numFmtId="0" fontId="30" fillId="24" borderId="54" xfId="0" applyFont="1" applyFill="1" applyBorder="1" applyAlignment="1">
      <alignment horizontal="center" vertical="center"/>
    </xf>
    <xf numFmtId="0" fontId="1" fillId="0" borderId="45" xfId="0" applyFont="1" applyBorder="1"/>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2" fillId="0" borderId="12" xfId="0" applyFont="1" applyBorder="1" applyAlignment="1">
      <alignment horizontal="center" vertical="center"/>
    </xf>
    <xf numFmtId="0" fontId="1" fillId="0" borderId="63" xfId="0" applyFont="1" applyBorder="1"/>
    <xf numFmtId="0" fontId="1" fillId="0" borderId="43" xfId="0" applyFont="1" applyBorder="1" applyAlignment="1">
      <alignment horizontal="center" textRotation="90"/>
    </xf>
    <xf numFmtId="0" fontId="1" fillId="0" borderId="44" xfId="0" applyFont="1" applyBorder="1" applyAlignment="1">
      <alignment horizontal="center" textRotation="90"/>
    </xf>
    <xf numFmtId="0" fontId="1" fillId="0" borderId="57" xfId="0" applyFont="1" applyBorder="1" applyAlignment="1">
      <alignment horizontal="center" textRotation="90"/>
    </xf>
    <xf numFmtId="0" fontId="1" fillId="0" borderId="53" xfId="0" applyFont="1" applyBorder="1"/>
    <xf numFmtId="0" fontId="30" fillId="0" borderId="21" xfId="0" quotePrefix="1" applyFont="1" applyBorder="1" applyAlignment="1">
      <alignment horizontal="center" vertical="center"/>
    </xf>
    <xf numFmtId="0" fontId="30" fillId="0" borderId="22" xfId="0" quotePrefix="1" applyFont="1" applyBorder="1" applyAlignment="1">
      <alignment horizontal="center" vertical="center"/>
    </xf>
    <xf numFmtId="0" fontId="90" fillId="0" borderId="2" xfId="0" applyFont="1" applyBorder="1" applyAlignment="1">
      <alignment horizontal="center" vertical="center"/>
    </xf>
    <xf numFmtId="0" fontId="90" fillId="0" borderId="21" xfId="0" applyFont="1" applyBorder="1" applyAlignment="1">
      <alignment horizontal="center" vertical="center"/>
    </xf>
    <xf numFmtId="0" fontId="90" fillId="0" borderId="22" xfId="0" applyFont="1" applyBorder="1" applyAlignment="1">
      <alignment horizontal="center" vertical="center"/>
    </xf>
    <xf numFmtId="0" fontId="86" fillId="0" borderId="22" xfId="0" applyFont="1" applyBorder="1" applyAlignment="1">
      <alignment horizontal="center" vertical="center"/>
    </xf>
    <xf numFmtId="0" fontId="86" fillId="0" borderId="23" xfId="0" applyFont="1" applyBorder="1" applyAlignment="1">
      <alignment horizontal="center" vertical="center"/>
    </xf>
    <xf numFmtId="0" fontId="0" fillId="0" borderId="8" xfId="0" applyBorder="1"/>
    <xf numFmtId="0" fontId="0" fillId="0" borderId="12" xfId="0" applyBorder="1"/>
    <xf numFmtId="0" fontId="0" fillId="0" borderId="0" xfId="0" applyBorder="1" applyAlignment="1">
      <alignment horizontal="left" vertical="center" wrapText="1"/>
    </xf>
    <xf numFmtId="0" fontId="30" fillId="0" borderId="0" xfId="0" applyFont="1" applyBorder="1" applyAlignment="1">
      <alignment horizontal="left" vertical="top"/>
    </xf>
    <xf numFmtId="0" fontId="90" fillId="0" borderId="3" xfId="0" applyFont="1" applyBorder="1" applyAlignment="1">
      <alignment horizontal="center" vertical="center"/>
    </xf>
    <xf numFmtId="0" fontId="86" fillId="0" borderId="3" xfId="0" applyFont="1" applyBorder="1" applyAlignment="1">
      <alignment horizontal="center" vertical="center"/>
    </xf>
    <xf numFmtId="0" fontId="86" fillId="0" borderId="4" xfId="0" applyFont="1" applyBorder="1" applyAlignment="1">
      <alignment horizontal="center" vertical="center"/>
    </xf>
    <xf numFmtId="0" fontId="90" fillId="0" borderId="24" xfId="0" applyFont="1" applyBorder="1" applyAlignment="1">
      <alignment horizontal="center" vertical="center"/>
    </xf>
    <xf numFmtId="0" fontId="86" fillId="0" borderId="24" xfId="0" applyFont="1" applyBorder="1" applyAlignment="1">
      <alignment horizontal="center" vertical="center"/>
    </xf>
    <xf numFmtId="0" fontId="86" fillId="0" borderId="25" xfId="0" applyFont="1" applyBorder="1" applyAlignment="1">
      <alignment horizontal="center" vertical="center"/>
    </xf>
    <xf numFmtId="0" fontId="0" fillId="0" borderId="0" xfId="0" applyBorder="1" applyAlignment="1">
      <alignment horizontal="left" vertical="center"/>
    </xf>
    <xf numFmtId="0" fontId="1" fillId="0" borderId="0" xfId="0" applyFont="1" applyFill="1" applyBorder="1"/>
    <xf numFmtId="0" fontId="3" fillId="0" borderId="0" xfId="0" applyFont="1" applyBorder="1" applyAlignment="1">
      <alignment horizontal="left" vertical="center"/>
    </xf>
    <xf numFmtId="0" fontId="91" fillId="0" borderId="0" xfId="0" applyFont="1" applyBorder="1"/>
    <xf numFmtId="0" fontId="92" fillId="0" borderId="0" xfId="0" applyFont="1" applyBorder="1" applyAlignment="1">
      <alignment horizontal="left" vertical="top"/>
    </xf>
    <xf numFmtId="0" fontId="91" fillId="0" borderId="0" xfId="0" applyFont="1" applyBorder="1" applyAlignment="1">
      <alignment horizontal="left" vertical="center"/>
    </xf>
    <xf numFmtId="0" fontId="0" fillId="0" borderId="66" xfId="0" applyBorder="1"/>
    <xf numFmtId="0" fontId="0" fillId="0" borderId="19" xfId="0" applyBorder="1"/>
    <xf numFmtId="0" fontId="90" fillId="0" borderId="66" xfId="0" applyFont="1" applyBorder="1" applyAlignment="1">
      <alignment horizontal="center" vertical="center"/>
    </xf>
    <xf numFmtId="0" fontId="90" fillId="0" borderId="50" xfId="0" applyFont="1" applyBorder="1" applyAlignment="1">
      <alignment horizontal="center" vertical="center"/>
    </xf>
    <xf numFmtId="0" fontId="90" fillId="0" borderId="19" xfId="0" applyFont="1" applyBorder="1" applyAlignment="1">
      <alignment horizontal="center" vertical="center"/>
    </xf>
    <xf numFmtId="0" fontId="90" fillId="0" borderId="67" xfId="0" applyFont="1" applyBorder="1" applyAlignment="1">
      <alignment horizontal="center" vertical="center"/>
    </xf>
    <xf numFmtId="0" fontId="30" fillId="0" borderId="63" xfId="0" applyFont="1" applyBorder="1" applyAlignment="1">
      <alignment horizontal="left" vertical="top" wrapText="1"/>
    </xf>
    <xf numFmtId="0" fontId="30" fillId="0" borderId="64" xfId="0" applyFont="1" applyBorder="1" applyAlignment="1">
      <alignment horizontal="left" vertical="top" wrapText="1"/>
    </xf>
    <xf numFmtId="0" fontId="30" fillId="0" borderId="63" xfId="0" applyFont="1" applyBorder="1"/>
    <xf numFmtId="0" fontId="30" fillId="0" borderId="79" xfId="0" applyFont="1" applyBorder="1"/>
    <xf numFmtId="0" fontId="30" fillId="0" borderId="64" xfId="0" applyFont="1" applyBorder="1"/>
    <xf numFmtId="0" fontId="30" fillId="0" borderId="65" xfId="0" applyFont="1" applyBorder="1"/>
    <xf numFmtId="0" fontId="30" fillId="0" borderId="2" xfId="0" applyFont="1" applyFill="1" applyBorder="1" applyAlignment="1">
      <alignment horizontal="center"/>
    </xf>
    <xf numFmtId="0" fontId="93" fillId="0" borderId="0" xfId="0" applyFont="1" applyAlignment="1">
      <alignment vertical="center"/>
    </xf>
    <xf numFmtId="0" fontId="53" fillId="5" borderId="0" xfId="0" applyFont="1" applyFill="1" applyAlignment="1">
      <alignment horizontal="center"/>
    </xf>
    <xf numFmtId="0" fontId="10" fillId="6" borderId="0" xfId="0" applyFont="1" applyFill="1"/>
    <xf numFmtId="0" fontId="10" fillId="5" borderId="0" xfId="0" applyFont="1" applyFill="1" applyAlignment="1">
      <alignment horizontal="center"/>
    </xf>
    <xf numFmtId="0" fontId="10" fillId="0" borderId="0" xfId="0" applyFont="1" applyBorder="1" applyAlignment="1">
      <alignment horizontal="left" vertical="top"/>
    </xf>
    <xf numFmtId="167" fontId="12" fillId="5" borderId="0" xfId="0" applyNumberFormat="1" applyFont="1" applyFill="1" applyBorder="1" applyAlignment="1">
      <alignment horizontal="center" vertical="center"/>
    </xf>
    <xf numFmtId="0" fontId="10" fillId="5" borderId="0" xfId="0" applyFont="1" applyFill="1" applyAlignment="1">
      <alignment horizontal="center" vertical="center"/>
    </xf>
    <xf numFmtId="0" fontId="10" fillId="6" borderId="0" xfId="0" applyFont="1" applyFill="1" applyAlignment="1">
      <alignment horizontal="center"/>
    </xf>
    <xf numFmtId="0" fontId="10" fillId="6" borderId="32" xfId="0" applyFont="1" applyFill="1" applyBorder="1"/>
    <xf numFmtId="0" fontId="10" fillId="6" borderId="34" xfId="0" applyFont="1" applyFill="1" applyBorder="1"/>
    <xf numFmtId="165" fontId="44" fillId="5" borderId="0" xfId="0" applyNumberFormat="1" applyFont="1" applyFill="1" applyAlignment="1">
      <alignment horizontal="center"/>
    </xf>
    <xf numFmtId="168" fontId="10" fillId="6" borderId="34" xfId="0" applyNumberFormat="1" applyFont="1" applyFill="1" applyBorder="1"/>
    <xf numFmtId="165" fontId="10" fillId="6" borderId="34" xfId="0" applyNumberFormat="1" applyFont="1" applyFill="1" applyBorder="1"/>
    <xf numFmtId="0" fontId="12" fillId="5" borderId="0" xfId="0" applyFont="1" applyFill="1"/>
    <xf numFmtId="0" fontId="10" fillId="6" borderId="6" xfId="0" applyFont="1" applyFill="1" applyBorder="1"/>
    <xf numFmtId="0" fontId="1" fillId="0" borderId="1" xfId="0" applyFont="1" applyBorder="1" applyAlignment="1" applyProtection="1">
      <alignment horizontal="left" vertical="top" wrapText="1"/>
    </xf>
    <xf numFmtId="0" fontId="1" fillId="0" borderId="22" xfId="0" applyFont="1" applyBorder="1" applyAlignment="1" applyProtection="1">
      <alignment horizontal="left" vertical="top" wrapText="1"/>
      <protection locked="0"/>
    </xf>
    <xf numFmtId="0" fontId="94" fillId="6" borderId="0" xfId="0" applyFont="1" applyFill="1"/>
    <xf numFmtId="0" fontId="94" fillId="14" borderId="0" xfId="0" applyFont="1" applyFill="1"/>
    <xf numFmtId="0" fontId="2" fillId="14" borderId="0" xfId="0" applyFont="1" applyFill="1" applyAlignment="1">
      <alignment horizontal="center"/>
    </xf>
    <xf numFmtId="0" fontId="95" fillId="6" borderId="0" xfId="0" applyFont="1" applyFill="1" applyAlignment="1">
      <alignment horizontal="right"/>
    </xf>
    <xf numFmtId="0" fontId="95" fillId="6" borderId="0" xfId="0" applyFont="1" applyFill="1" applyAlignment="1">
      <alignment horizontal="center"/>
    </xf>
    <xf numFmtId="0" fontId="96" fillId="6" borderId="0" xfId="0" applyFont="1" applyFill="1"/>
    <xf numFmtId="0" fontId="95" fillId="6" borderId="0" xfId="0" applyFont="1" applyFill="1"/>
    <xf numFmtId="168" fontId="6" fillId="6" borderId="0" xfId="0" applyNumberFormat="1" applyFont="1" applyFill="1"/>
    <xf numFmtId="168" fontId="10" fillId="6" borderId="0" xfId="0" applyNumberFormat="1" applyFont="1" applyFill="1"/>
    <xf numFmtId="168" fontId="0" fillId="23" borderId="1" xfId="1" applyNumberFormat="1" applyFont="1" applyFill="1" applyBorder="1" applyAlignment="1" applyProtection="1">
      <alignment horizontal="center" vertical="center"/>
    </xf>
    <xf numFmtId="1" fontId="53" fillId="5" borderId="0" xfId="0" applyNumberFormat="1" applyFont="1" applyFill="1" applyAlignment="1">
      <alignment horizontal="center"/>
    </xf>
    <xf numFmtId="165" fontId="53" fillId="5" borderId="0" xfId="0" applyNumberFormat="1" applyFont="1" applyFill="1" applyAlignment="1">
      <alignment horizontal="left"/>
    </xf>
    <xf numFmtId="0" fontId="97" fillId="5" borderId="0" xfId="0" applyFont="1" applyFill="1"/>
    <xf numFmtId="0" fontId="53" fillId="14" borderId="0" xfId="0" applyFont="1" applyFill="1"/>
    <xf numFmtId="0" fontId="12" fillId="0" borderId="0" xfId="0" applyFont="1" applyBorder="1" applyAlignment="1">
      <alignment horizontal="left" vertical="top"/>
    </xf>
    <xf numFmtId="0" fontId="3" fillId="6" borderId="0" xfId="0" applyFont="1" applyFill="1" applyAlignment="1" applyProtection="1">
      <alignment horizontal="center"/>
      <protection locked="0"/>
    </xf>
    <xf numFmtId="0" fontId="1" fillId="15" borderId="16" xfId="0" applyFont="1" applyFill="1" applyBorder="1" applyAlignment="1" applyProtection="1">
      <alignment horizontal="center"/>
      <protection locked="0"/>
    </xf>
    <xf numFmtId="0" fontId="0" fillId="15" borderId="15" xfId="0" applyFill="1" applyBorder="1" applyAlignment="1" applyProtection="1">
      <alignment horizontal="center"/>
      <protection locked="0"/>
    </xf>
    <xf numFmtId="168" fontId="0" fillId="9" borderId="1" xfId="0" applyNumberFormat="1" applyFill="1" applyBorder="1" applyAlignment="1" applyProtection="1">
      <alignment horizontal="center"/>
    </xf>
    <xf numFmtId="0" fontId="1" fillId="7" borderId="38" xfId="0" applyFont="1" applyFill="1" applyBorder="1" applyAlignment="1" applyProtection="1">
      <alignment horizontal="left" vertical="top" wrapText="1" indent="1"/>
      <protection locked="0"/>
    </xf>
    <xf numFmtId="0" fontId="1" fillId="7" borderId="37" xfId="0" applyFont="1" applyFill="1" applyBorder="1" applyAlignment="1" applyProtection="1">
      <alignment horizontal="left" vertical="top" wrapText="1" indent="1"/>
      <protection locked="0"/>
    </xf>
    <xf numFmtId="0" fontId="1" fillId="7" borderId="39" xfId="0" applyFont="1" applyFill="1" applyBorder="1" applyAlignment="1" applyProtection="1">
      <alignment horizontal="left" vertical="top" wrapText="1" indent="1"/>
      <protection locked="0"/>
    </xf>
    <xf numFmtId="0" fontId="1" fillId="7" borderId="48" xfId="0" applyFont="1" applyFill="1" applyBorder="1" applyAlignment="1" applyProtection="1">
      <alignment horizontal="left" vertical="top" wrapText="1" indent="1"/>
      <protection locked="0"/>
    </xf>
    <xf numFmtId="0" fontId="1" fillId="7" borderId="0" xfId="0" applyFont="1" applyFill="1" applyBorder="1" applyAlignment="1" applyProtection="1">
      <alignment horizontal="left" vertical="top" wrapText="1" indent="1"/>
      <protection locked="0"/>
    </xf>
    <xf numFmtId="0" fontId="1" fillId="7" borderId="49" xfId="0" applyFont="1" applyFill="1" applyBorder="1" applyAlignment="1" applyProtection="1">
      <alignment horizontal="left" vertical="top" wrapText="1" indent="1"/>
      <protection locked="0"/>
    </xf>
    <xf numFmtId="0" fontId="1" fillId="7" borderId="40" xfId="0" applyFont="1" applyFill="1" applyBorder="1" applyAlignment="1" applyProtection="1">
      <alignment horizontal="left" vertical="top" wrapText="1" indent="1"/>
      <protection locked="0"/>
    </xf>
    <xf numFmtId="0" fontId="1" fillId="7" borderId="28" xfId="0" applyFont="1" applyFill="1" applyBorder="1" applyAlignment="1" applyProtection="1">
      <alignment horizontal="left" vertical="top" wrapText="1" indent="1"/>
      <protection locked="0"/>
    </xf>
    <xf numFmtId="0" fontId="1" fillId="7" borderId="50" xfId="0" applyFont="1" applyFill="1" applyBorder="1" applyAlignment="1" applyProtection="1">
      <alignment horizontal="left" vertical="top" wrapText="1" indent="1"/>
      <protection locked="0"/>
    </xf>
    <xf numFmtId="0" fontId="22" fillId="12" borderId="36" xfId="0" applyFont="1" applyFill="1" applyBorder="1" applyAlignment="1" applyProtection="1">
      <alignment vertical="center" wrapText="1"/>
      <protection locked="0"/>
    </xf>
    <xf numFmtId="0" fontId="22" fillId="12" borderId="19" xfId="0" applyFont="1" applyFill="1" applyBorder="1" applyAlignment="1" applyProtection="1">
      <alignment vertical="center" wrapText="1"/>
      <protection locked="0"/>
    </xf>
    <xf numFmtId="0" fontId="8" fillId="7" borderId="36" xfId="0" applyFont="1" applyFill="1" applyBorder="1" applyAlignment="1" applyProtection="1">
      <alignment horizontal="center" vertical="center"/>
      <protection locked="0"/>
    </xf>
    <xf numFmtId="0" fontId="8" fillId="7" borderId="19" xfId="0" applyFont="1" applyFill="1" applyBorder="1" applyAlignment="1" applyProtection="1">
      <alignment horizontal="center" vertical="center"/>
      <protection locked="0"/>
    </xf>
    <xf numFmtId="0" fontId="1" fillId="7" borderId="36" xfId="0" applyFont="1" applyFill="1" applyBorder="1" applyAlignment="1" applyProtection="1">
      <alignment horizontal="center" vertical="center"/>
      <protection locked="0"/>
    </xf>
    <xf numFmtId="0" fontId="1" fillId="0" borderId="19" xfId="0" applyFont="1" applyBorder="1" applyAlignment="1" applyProtection="1">
      <alignment horizontal="center" vertical="center"/>
      <protection locked="0"/>
    </xf>
    <xf numFmtId="0" fontId="1" fillId="6" borderId="36" xfId="0" applyFont="1" applyFill="1" applyBorder="1" applyAlignment="1" applyProtection="1">
      <alignment horizontal="center" vertical="center"/>
      <protection locked="0"/>
    </xf>
    <xf numFmtId="0" fontId="1" fillId="6" borderId="19" xfId="0" applyFont="1" applyFill="1" applyBorder="1" applyAlignment="1" applyProtection="1">
      <alignment horizontal="center" vertical="center"/>
      <protection locked="0"/>
    </xf>
    <xf numFmtId="176" fontId="1" fillId="7" borderId="36" xfId="1" applyNumberFormat="1" applyFont="1" applyFill="1" applyBorder="1" applyAlignment="1" applyProtection="1">
      <alignment horizontal="center" vertical="center"/>
      <protection locked="0"/>
    </xf>
    <xf numFmtId="176" fontId="1" fillId="0" borderId="19" xfId="1" applyNumberFormat="1" applyFont="1" applyBorder="1" applyAlignment="1" applyProtection="1">
      <alignment horizontal="center" vertical="center"/>
      <protection locked="0"/>
    </xf>
    <xf numFmtId="0" fontId="83" fillId="7" borderId="0" xfId="0" applyFont="1" applyFill="1" applyAlignment="1">
      <alignment horizontal="center"/>
    </xf>
    <xf numFmtId="0" fontId="3" fillId="7" borderId="0" xfId="0" applyFont="1" applyFill="1" applyAlignment="1">
      <alignment horizontal="center"/>
    </xf>
    <xf numFmtId="0" fontId="3" fillId="7" borderId="36" xfId="0" applyFont="1" applyFill="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12" borderId="1" xfId="0" applyFont="1" applyFill="1" applyBorder="1" applyAlignment="1" applyProtection="1">
      <alignment horizontal="left"/>
      <protection locked="0"/>
    </xf>
    <xf numFmtId="49" fontId="3" fillId="12" borderId="1" xfId="0" applyNumberFormat="1" applyFont="1" applyFill="1" applyBorder="1" applyAlignment="1" applyProtection="1">
      <alignment horizontal="left" vertical="top"/>
      <protection locked="0"/>
    </xf>
    <xf numFmtId="14" fontId="1" fillId="7" borderId="36" xfId="0" applyNumberFormat="1" applyFont="1" applyFill="1" applyBorder="1" applyAlignment="1" applyProtection="1">
      <alignment horizontal="center" vertical="center"/>
      <protection locked="0"/>
    </xf>
    <xf numFmtId="14" fontId="1" fillId="0" borderId="19" xfId="0" applyNumberFormat="1" applyFont="1" applyBorder="1" applyAlignment="1" applyProtection="1">
      <alignment horizontal="center" vertical="center"/>
      <protection locked="0"/>
    </xf>
    <xf numFmtId="0" fontId="8" fillId="0" borderId="19" xfId="0" applyFont="1" applyBorder="1" applyAlignment="1" applyProtection="1">
      <alignment horizontal="center" vertical="center"/>
      <protection locked="0"/>
    </xf>
    <xf numFmtId="0" fontId="30" fillId="6" borderId="36" xfId="0" applyFont="1" applyFill="1" applyBorder="1" applyAlignment="1" applyProtection="1">
      <alignment horizontal="left"/>
      <protection locked="0"/>
    </xf>
    <xf numFmtId="0" fontId="30" fillId="6" borderId="29" xfId="0" applyFont="1" applyFill="1" applyBorder="1" applyAlignment="1" applyProtection="1">
      <alignment horizontal="left"/>
      <protection locked="0"/>
    </xf>
    <xf numFmtId="0" fontId="30" fillId="6" borderId="19" xfId="0" applyFont="1" applyFill="1" applyBorder="1" applyAlignment="1" applyProtection="1">
      <alignment horizontal="left"/>
      <protection locked="0"/>
    </xf>
    <xf numFmtId="0" fontId="22" fillId="6" borderId="36" xfId="0" applyFont="1" applyFill="1" applyBorder="1" applyAlignment="1" applyProtection="1">
      <alignment horizontal="center"/>
      <protection locked="0"/>
    </xf>
    <xf numFmtId="0" fontId="22" fillId="6" borderId="29" xfId="0" applyFont="1" applyFill="1" applyBorder="1" applyAlignment="1" applyProtection="1">
      <alignment horizontal="center"/>
      <protection locked="0"/>
    </xf>
    <xf numFmtId="0" fontId="22" fillId="6" borderId="19" xfId="0" applyFont="1" applyFill="1" applyBorder="1" applyAlignment="1" applyProtection="1">
      <alignment horizontal="center"/>
      <protection locked="0"/>
    </xf>
    <xf numFmtId="0" fontId="1" fillId="6" borderId="29" xfId="0" applyFont="1" applyFill="1" applyBorder="1" applyAlignment="1" applyProtection="1">
      <alignment horizontal="left"/>
      <protection locked="0"/>
    </xf>
    <xf numFmtId="0" fontId="1" fillId="6" borderId="28" xfId="0" applyFont="1" applyFill="1" applyBorder="1" applyAlignment="1" applyProtection="1">
      <alignment horizontal="center"/>
      <protection locked="0"/>
    </xf>
    <xf numFmtId="0" fontId="27" fillId="6" borderId="36" xfId="0" applyFont="1" applyFill="1" applyBorder="1" applyAlignment="1" applyProtection="1">
      <alignment horizontal="center"/>
      <protection locked="0"/>
    </xf>
    <xf numFmtId="0" fontId="27" fillId="6" borderId="29" xfId="0" applyFont="1" applyFill="1" applyBorder="1" applyAlignment="1" applyProtection="1">
      <alignment horizontal="center"/>
      <protection locked="0"/>
    </xf>
    <xf numFmtId="0" fontId="27" fillId="6" borderId="19" xfId="0" applyFont="1" applyFill="1" applyBorder="1" applyAlignment="1" applyProtection="1">
      <alignment horizontal="center"/>
      <protection locked="0"/>
    </xf>
    <xf numFmtId="0" fontId="30" fillId="6" borderId="36" xfId="0" applyFont="1" applyFill="1" applyBorder="1" applyAlignment="1" applyProtection="1">
      <alignment horizontal="center"/>
      <protection locked="0"/>
    </xf>
    <xf numFmtId="0" fontId="30" fillId="6" borderId="29" xfId="0" applyFont="1" applyFill="1" applyBorder="1" applyAlignment="1" applyProtection="1">
      <alignment horizontal="center"/>
      <protection locked="0"/>
    </xf>
    <xf numFmtId="0" fontId="30" fillId="6" borderId="19" xfId="0" applyFont="1" applyFill="1" applyBorder="1" applyAlignment="1" applyProtection="1">
      <alignment horizontal="center"/>
      <protection locked="0"/>
    </xf>
    <xf numFmtId="0" fontId="22" fillId="6" borderId="28" xfId="0" applyFont="1" applyFill="1" applyBorder="1" applyAlignment="1" applyProtection="1">
      <alignment horizontal="center"/>
      <protection locked="0"/>
    </xf>
    <xf numFmtId="0" fontId="30" fillId="6" borderId="28" xfId="0" applyFont="1" applyFill="1" applyBorder="1" applyAlignment="1" applyProtection="1">
      <alignment horizontal="center"/>
      <protection locked="0"/>
    </xf>
    <xf numFmtId="0" fontId="0" fillId="6" borderId="38" xfId="0" applyFill="1" applyBorder="1" applyAlignment="1" applyProtection="1">
      <alignment horizontal="left" vertical="top"/>
      <protection locked="0"/>
    </xf>
    <xf numFmtId="0" fontId="0" fillId="6" borderId="37" xfId="0" applyFill="1" applyBorder="1" applyAlignment="1" applyProtection="1">
      <alignment horizontal="left" vertical="top"/>
      <protection locked="0"/>
    </xf>
    <xf numFmtId="0" fontId="0" fillId="6" borderId="39" xfId="0" applyFill="1" applyBorder="1" applyAlignment="1" applyProtection="1">
      <alignment horizontal="left" vertical="top"/>
      <protection locked="0"/>
    </xf>
    <xf numFmtId="0" fontId="0" fillId="6" borderId="48" xfId="0" applyFill="1" applyBorder="1" applyAlignment="1" applyProtection="1">
      <alignment horizontal="left" vertical="top"/>
      <protection locked="0"/>
    </xf>
    <xf numFmtId="0" fontId="0" fillId="6" borderId="0" xfId="0" applyFill="1" applyBorder="1" applyAlignment="1" applyProtection="1">
      <alignment horizontal="left" vertical="top"/>
      <protection locked="0"/>
    </xf>
    <xf numFmtId="0" fontId="0" fillId="6" borderId="49" xfId="0" applyFill="1" applyBorder="1" applyAlignment="1" applyProtection="1">
      <alignment horizontal="left" vertical="top"/>
      <protection locked="0"/>
    </xf>
    <xf numFmtId="0" fontId="0" fillId="6" borderId="40" xfId="0" applyFill="1" applyBorder="1" applyAlignment="1" applyProtection="1">
      <alignment horizontal="left" vertical="top"/>
      <protection locked="0"/>
    </xf>
    <xf numFmtId="0" fontId="0" fillId="6" borderId="28" xfId="0" applyFill="1" applyBorder="1" applyAlignment="1" applyProtection="1">
      <alignment horizontal="left" vertical="top"/>
      <protection locked="0"/>
    </xf>
    <xf numFmtId="0" fontId="0" fillId="6" borderId="50" xfId="0" applyFill="1" applyBorder="1" applyAlignment="1" applyProtection="1">
      <alignment horizontal="left" vertical="top"/>
      <protection locked="0"/>
    </xf>
    <xf numFmtId="0" fontId="22" fillId="6" borderId="36" xfId="0" applyFont="1" applyFill="1" applyBorder="1" applyAlignment="1" applyProtection="1">
      <alignment horizontal="left"/>
      <protection locked="0"/>
    </xf>
    <xf numFmtId="0" fontId="22" fillId="6" borderId="29" xfId="0" applyFont="1" applyFill="1" applyBorder="1" applyAlignment="1" applyProtection="1">
      <alignment horizontal="left"/>
      <protection locked="0"/>
    </xf>
    <xf numFmtId="0" fontId="22" fillId="6" borderId="19" xfId="0" applyFont="1" applyFill="1" applyBorder="1" applyAlignment="1" applyProtection="1">
      <alignment horizontal="left"/>
      <protection locked="0"/>
    </xf>
    <xf numFmtId="0" fontId="27" fillId="6" borderId="1" xfId="0" applyFont="1" applyFill="1" applyBorder="1" applyAlignment="1" applyProtection="1">
      <alignment horizontal="center"/>
      <protection locked="0"/>
    </xf>
    <xf numFmtId="0" fontId="30" fillId="6" borderId="38" xfId="0" applyFont="1" applyFill="1" applyBorder="1" applyAlignment="1" applyProtection="1">
      <alignment horizontal="left" vertical="top" indent="1"/>
      <protection locked="0"/>
    </xf>
    <xf numFmtId="0" fontId="30" fillId="6" borderId="37" xfId="0" applyFont="1" applyFill="1" applyBorder="1" applyAlignment="1" applyProtection="1">
      <alignment horizontal="left" vertical="top" indent="1"/>
      <protection locked="0"/>
    </xf>
    <xf numFmtId="0" fontId="30" fillId="6" borderId="39" xfId="0" applyFont="1" applyFill="1" applyBorder="1" applyAlignment="1" applyProtection="1">
      <alignment horizontal="left" vertical="top" indent="1"/>
      <protection locked="0"/>
    </xf>
    <xf numFmtId="0" fontId="30" fillId="6" borderId="48" xfId="0" applyFont="1" applyFill="1" applyBorder="1" applyAlignment="1" applyProtection="1">
      <alignment horizontal="left" vertical="top" indent="1"/>
      <protection locked="0"/>
    </xf>
    <xf numFmtId="0" fontId="30" fillId="6" borderId="0" xfId="0" applyFont="1" applyFill="1" applyBorder="1" applyAlignment="1" applyProtection="1">
      <alignment horizontal="left" vertical="top" indent="1"/>
      <protection locked="0"/>
    </xf>
    <xf numFmtId="0" fontId="30" fillId="6" borderId="49" xfId="0" applyFont="1" applyFill="1" applyBorder="1" applyAlignment="1" applyProtection="1">
      <alignment horizontal="left" vertical="top" indent="1"/>
      <protection locked="0"/>
    </xf>
    <xf numFmtId="0" fontId="30" fillId="6" borderId="40" xfId="0" applyFont="1" applyFill="1" applyBorder="1" applyAlignment="1" applyProtection="1">
      <alignment horizontal="left" vertical="top" indent="1"/>
      <protection locked="0"/>
    </xf>
    <xf numFmtId="0" fontId="30" fillId="6" borderId="28" xfId="0" applyFont="1" applyFill="1" applyBorder="1" applyAlignment="1" applyProtection="1">
      <alignment horizontal="left" vertical="top" indent="1"/>
      <protection locked="0"/>
    </xf>
    <xf numFmtId="0" fontId="30" fillId="6" borderId="50" xfId="0" applyFont="1" applyFill="1" applyBorder="1" applyAlignment="1" applyProtection="1">
      <alignment horizontal="left" vertical="top" indent="1"/>
      <protection locked="0"/>
    </xf>
    <xf numFmtId="0" fontId="1" fillId="6" borderId="29" xfId="0" applyFont="1" applyFill="1" applyBorder="1" applyAlignment="1" applyProtection="1">
      <alignment horizontal="center"/>
      <protection locked="0"/>
    </xf>
    <xf numFmtId="0" fontId="22" fillId="6" borderId="38" xfId="0" applyFont="1" applyFill="1" applyBorder="1" applyAlignment="1" applyProtection="1">
      <alignment horizontal="left" vertical="top"/>
      <protection locked="0"/>
    </xf>
    <xf numFmtId="0" fontId="22" fillId="6" borderId="37" xfId="0" applyFont="1" applyFill="1" applyBorder="1" applyAlignment="1" applyProtection="1">
      <alignment horizontal="left" vertical="top"/>
      <protection locked="0"/>
    </xf>
    <xf numFmtId="0" fontId="22" fillId="6" borderId="39" xfId="0" applyFont="1" applyFill="1" applyBorder="1" applyAlignment="1" applyProtection="1">
      <alignment horizontal="left" vertical="top"/>
      <protection locked="0"/>
    </xf>
    <xf numFmtId="0" fontId="22" fillId="6" borderId="48" xfId="0" applyFont="1" applyFill="1" applyBorder="1" applyAlignment="1" applyProtection="1">
      <alignment horizontal="left" vertical="top"/>
      <protection locked="0"/>
    </xf>
    <xf numFmtId="0" fontId="22" fillId="6" borderId="0" xfId="0" applyFont="1" applyFill="1" applyBorder="1" applyAlignment="1" applyProtection="1">
      <alignment horizontal="left" vertical="top"/>
      <protection locked="0"/>
    </xf>
    <xf numFmtId="0" fontId="22" fillId="6" borderId="49" xfId="0" applyFont="1" applyFill="1" applyBorder="1" applyAlignment="1" applyProtection="1">
      <alignment horizontal="left" vertical="top"/>
      <protection locked="0"/>
    </xf>
    <xf numFmtId="0" fontId="22" fillId="6" borderId="40" xfId="0" applyFont="1" applyFill="1" applyBorder="1" applyAlignment="1" applyProtection="1">
      <alignment horizontal="left" vertical="top"/>
      <protection locked="0"/>
    </xf>
    <xf numFmtId="0" fontId="22" fillId="6" borderId="28" xfId="0" applyFont="1" applyFill="1" applyBorder="1" applyAlignment="1" applyProtection="1">
      <alignment horizontal="left" vertical="top"/>
      <protection locked="0"/>
    </xf>
    <xf numFmtId="0" fontId="22" fillId="6" borderId="50" xfId="0" applyFont="1" applyFill="1" applyBorder="1" applyAlignment="1" applyProtection="1">
      <alignment horizontal="left" vertical="top"/>
      <protection locked="0"/>
    </xf>
    <xf numFmtId="0" fontId="0" fillId="6" borderId="28" xfId="0" applyFill="1" applyBorder="1" applyAlignment="1" applyProtection="1">
      <alignment horizontal="center"/>
      <protection locked="0"/>
    </xf>
    <xf numFmtId="0" fontId="1" fillId="6" borderId="28" xfId="0" applyFont="1" applyFill="1" applyBorder="1" applyAlignment="1" applyProtection="1">
      <alignment horizontal="left"/>
      <protection locked="0"/>
    </xf>
    <xf numFmtId="0" fontId="0" fillId="11" borderId="28" xfId="0" applyFill="1" applyBorder="1" applyAlignment="1" applyProtection="1">
      <alignment horizontal="center" wrapText="1"/>
      <protection locked="0"/>
    </xf>
    <xf numFmtId="0" fontId="1" fillId="11" borderId="28" xfId="0" applyFont="1" applyFill="1" applyBorder="1" applyAlignment="1" applyProtection="1">
      <alignment horizontal="center" wrapText="1"/>
      <protection locked="0"/>
    </xf>
    <xf numFmtId="0" fontId="1" fillId="6" borderId="1" xfId="0" applyFont="1" applyFill="1" applyBorder="1" applyAlignment="1" applyProtection="1">
      <alignment horizontal="left" vertical="top" wrapText="1" indent="1"/>
      <protection locked="0"/>
    </xf>
    <xf numFmtId="0" fontId="0" fillId="6" borderId="1" xfId="0" applyFill="1" applyBorder="1" applyAlignment="1" applyProtection="1">
      <alignment horizontal="left" vertical="top" wrapText="1" indent="1"/>
      <protection locked="0"/>
    </xf>
    <xf numFmtId="0" fontId="0" fillId="6" borderId="0" xfId="0" applyFill="1" applyBorder="1" applyAlignment="1" applyProtection="1">
      <alignment horizontal="center" wrapText="1"/>
      <protection locked="0"/>
    </xf>
    <xf numFmtId="0" fontId="0" fillId="13" borderId="28" xfId="0" applyFill="1" applyBorder="1" applyAlignment="1" applyProtection="1">
      <alignment horizontal="center" wrapText="1"/>
    </xf>
    <xf numFmtId="0" fontId="0" fillId="11" borderId="1" xfId="0" applyFill="1" applyBorder="1" applyAlignment="1" applyProtection="1">
      <alignment horizontal="left" vertical="top" indent="1"/>
      <protection locked="0"/>
    </xf>
    <xf numFmtId="0" fontId="3" fillId="11" borderId="1" xfId="0" applyFont="1" applyFill="1" applyBorder="1" applyAlignment="1" applyProtection="1">
      <alignment horizontal="left" vertical="top" indent="1"/>
      <protection locked="0"/>
    </xf>
    <xf numFmtId="0" fontId="1" fillId="0" borderId="0" xfId="0" applyFont="1" applyAlignment="1" applyProtection="1">
      <alignment horizontal="left" vertical="top" wrapText="1"/>
      <protection locked="0"/>
    </xf>
    <xf numFmtId="0" fontId="1" fillId="0" borderId="3" xfId="5" applyFont="1" applyBorder="1" applyAlignment="1" applyProtection="1">
      <alignment horizontal="center"/>
      <protection locked="0"/>
    </xf>
    <xf numFmtId="0" fontId="1" fillId="0" borderId="4" xfId="5" applyFont="1" applyBorder="1" applyAlignment="1" applyProtection="1">
      <alignment horizontal="center"/>
      <protection locked="0"/>
    </xf>
    <xf numFmtId="0" fontId="3" fillId="0" borderId="45" xfId="5" applyFont="1" applyBorder="1" applyAlignment="1">
      <alignment horizontal="left" vertical="top" wrapText="1"/>
    </xf>
    <xf numFmtId="0" fontId="3" fillId="0" borderId="46" xfId="5" applyFont="1" applyBorder="1" applyAlignment="1">
      <alignment horizontal="left" vertical="top" wrapText="1"/>
    </xf>
    <xf numFmtId="0" fontId="3" fillId="0" borderId="47" xfId="5" applyFont="1" applyBorder="1" applyAlignment="1">
      <alignment horizontal="left" vertical="top" wrapText="1"/>
    </xf>
    <xf numFmtId="0" fontId="1" fillId="0" borderId="33" xfId="5" applyFont="1" applyBorder="1" applyAlignment="1" applyProtection="1">
      <alignment horizontal="center" vertical="top" wrapText="1"/>
      <protection locked="0"/>
    </xf>
    <xf numFmtId="0" fontId="1" fillId="0" borderId="0" xfId="5" applyFont="1" applyBorder="1" applyAlignment="1" applyProtection="1">
      <alignment horizontal="center" vertical="top" wrapText="1"/>
      <protection locked="0"/>
    </xf>
    <xf numFmtId="0" fontId="1" fillId="0" borderId="34" xfId="5" applyFont="1" applyBorder="1" applyAlignment="1" applyProtection="1">
      <alignment horizontal="center" vertical="top" wrapText="1"/>
      <protection locked="0"/>
    </xf>
    <xf numFmtId="0" fontId="1" fillId="0" borderId="35" xfId="5" applyFont="1" applyBorder="1" applyAlignment="1" applyProtection="1">
      <alignment horizontal="center" vertical="top" wrapText="1"/>
      <protection locked="0"/>
    </xf>
    <xf numFmtId="0" fontId="1" fillId="0" borderId="9" xfId="5" applyFont="1" applyBorder="1" applyAlignment="1" applyProtection="1">
      <alignment horizontal="center" vertical="top" wrapText="1"/>
      <protection locked="0"/>
    </xf>
    <xf numFmtId="0" fontId="1" fillId="0" borderId="6" xfId="5" applyFont="1" applyBorder="1" applyAlignment="1" applyProtection="1">
      <alignment horizontal="center" vertical="top" wrapText="1"/>
      <protection locked="0"/>
    </xf>
    <xf numFmtId="0" fontId="1" fillId="5" borderId="0" xfId="5" applyFont="1" applyFill="1" applyAlignment="1">
      <alignment horizontal="center"/>
    </xf>
    <xf numFmtId="0" fontId="8" fillId="0" borderId="16" xfId="5" applyFont="1" applyBorder="1" applyAlignment="1" applyProtection="1">
      <alignment horizontal="left" vertical="top" wrapText="1" indent="1"/>
      <protection locked="0"/>
    </xf>
    <xf numFmtId="0" fontId="8" fillId="0" borderId="14" xfId="5" applyFont="1" applyBorder="1" applyAlignment="1" applyProtection="1">
      <alignment horizontal="left" vertical="top" indent="1"/>
      <protection locked="0"/>
    </xf>
    <xf numFmtId="0" fontId="8" fillId="0" borderId="15" xfId="5" applyFont="1" applyBorder="1" applyAlignment="1" applyProtection="1">
      <alignment horizontal="left" vertical="top" indent="1"/>
      <protection locked="0"/>
    </xf>
    <xf numFmtId="0" fontId="3" fillId="0" borderId="26" xfId="5" applyFont="1" applyBorder="1" applyAlignment="1">
      <alignment horizontal="center"/>
    </xf>
    <xf numFmtId="0" fontId="3" fillId="0" borderId="18" xfId="5" applyFont="1" applyBorder="1" applyAlignment="1">
      <alignment horizontal="center"/>
    </xf>
    <xf numFmtId="0" fontId="1" fillId="0" borderId="24" xfId="5" applyFont="1" applyBorder="1" applyAlignment="1" applyProtection="1">
      <alignment horizontal="center"/>
      <protection locked="0"/>
    </xf>
    <xf numFmtId="0" fontId="1" fillId="0" borderId="25" xfId="5" applyFont="1" applyBorder="1" applyAlignment="1" applyProtection="1">
      <alignment horizontal="center"/>
      <protection locked="0"/>
    </xf>
    <xf numFmtId="0" fontId="1" fillId="0" borderId="1" xfId="5" applyFont="1" applyBorder="1" applyAlignment="1" applyProtection="1">
      <alignment horizontal="center"/>
      <protection locked="0"/>
    </xf>
    <xf numFmtId="0" fontId="1" fillId="0" borderId="2" xfId="5" applyFont="1" applyBorder="1" applyAlignment="1" applyProtection="1">
      <alignment horizontal="center"/>
      <protection locked="0"/>
    </xf>
    <xf numFmtId="0" fontId="8" fillId="0" borderId="16" xfId="0" applyFont="1" applyBorder="1" applyAlignment="1" applyProtection="1">
      <alignment horizontal="left" vertical="top" wrapText="1" indent="1"/>
      <protection locked="0"/>
    </xf>
    <xf numFmtId="0" fontId="8" fillId="0" borderId="14" xfId="0" applyFont="1" applyBorder="1" applyAlignment="1" applyProtection="1">
      <alignment horizontal="left" vertical="top" wrapText="1" indent="1"/>
      <protection locked="0"/>
    </xf>
    <xf numFmtId="0" fontId="8" fillId="0" borderId="15" xfId="0" applyFont="1" applyBorder="1" applyAlignment="1" applyProtection="1">
      <alignment horizontal="left" vertical="top" wrapText="1" indent="1"/>
      <protection locked="0"/>
    </xf>
    <xf numFmtId="0" fontId="52" fillId="0" borderId="45" xfId="0" applyFont="1" applyBorder="1" applyAlignment="1">
      <alignment horizontal="left" vertical="top" wrapText="1"/>
    </xf>
    <xf numFmtId="0" fontId="52" fillId="0" borderId="46" xfId="0" applyFont="1" applyBorder="1" applyAlignment="1">
      <alignment horizontal="left" vertical="top" wrapText="1"/>
    </xf>
    <xf numFmtId="0" fontId="52" fillId="0" borderId="47" xfId="0" applyFont="1" applyBorder="1" applyAlignment="1">
      <alignment horizontal="left" vertical="top" wrapText="1"/>
    </xf>
    <xf numFmtId="0" fontId="1" fillId="5" borderId="0" xfId="0" applyFont="1" applyFill="1" applyAlignment="1">
      <alignment horizontal="center"/>
    </xf>
    <xf numFmtId="0" fontId="1" fillId="0" borderId="53" xfId="0" applyFont="1" applyBorder="1" applyAlignment="1" applyProtection="1">
      <alignment horizontal="left" vertical="top" wrapText="1" indent="1"/>
      <protection locked="0"/>
    </xf>
    <xf numFmtId="0" fontId="1" fillId="0" borderId="37" xfId="0" applyFont="1" applyBorder="1" applyAlignment="1" applyProtection="1">
      <alignment horizontal="left" vertical="top" wrapText="1" indent="1"/>
      <protection locked="0"/>
    </xf>
    <xf numFmtId="0" fontId="1" fillId="0" borderId="55" xfId="0" applyFont="1" applyBorder="1" applyAlignment="1" applyProtection="1">
      <alignment horizontal="left" vertical="top" wrapText="1" indent="1"/>
      <protection locked="0"/>
    </xf>
    <xf numFmtId="0" fontId="1" fillId="0" borderId="33" xfId="0" applyFont="1" applyBorder="1" applyAlignment="1" applyProtection="1">
      <alignment horizontal="left" vertical="top" wrapText="1" indent="1"/>
      <protection locked="0"/>
    </xf>
    <xf numFmtId="0" fontId="1" fillId="0" borderId="0" xfId="0" applyFont="1" applyBorder="1" applyAlignment="1" applyProtection="1">
      <alignment horizontal="left" vertical="top" wrapText="1" indent="1"/>
      <protection locked="0"/>
    </xf>
    <xf numFmtId="0" fontId="1" fillId="0" borderId="34" xfId="0" applyFont="1" applyBorder="1" applyAlignment="1" applyProtection="1">
      <alignment horizontal="left" vertical="top" wrapText="1" indent="1"/>
      <protection locked="0"/>
    </xf>
    <xf numFmtId="0" fontId="1" fillId="0" borderId="35" xfId="0" applyFont="1" applyBorder="1" applyAlignment="1" applyProtection="1">
      <alignment horizontal="left" vertical="top" wrapText="1" indent="1"/>
      <protection locked="0"/>
    </xf>
    <xf numFmtId="0" fontId="1" fillId="0" borderId="9" xfId="0" applyFont="1" applyBorder="1" applyAlignment="1" applyProtection="1">
      <alignment horizontal="left" vertical="top" wrapText="1" indent="1"/>
      <protection locked="0"/>
    </xf>
    <xf numFmtId="0" fontId="1" fillId="0" borderId="6" xfId="0" applyFont="1" applyBorder="1" applyAlignment="1" applyProtection="1">
      <alignment horizontal="left" vertical="top" wrapText="1" indent="1"/>
      <protection locked="0"/>
    </xf>
    <xf numFmtId="0" fontId="53" fillId="5" borderId="0" xfId="0" applyFont="1" applyFill="1" applyAlignment="1">
      <alignment horizontal="center"/>
    </xf>
    <xf numFmtId="0" fontId="0" fillId="0" borderId="43" xfId="0" applyBorder="1" applyAlignment="1">
      <alignment horizontal="center" vertical="top"/>
    </xf>
    <xf numFmtId="0" fontId="0" fillId="0" borderId="59" xfId="0" applyBorder="1" applyAlignment="1">
      <alignment horizontal="center" vertical="top"/>
    </xf>
    <xf numFmtId="0" fontId="0" fillId="0" borderId="54" xfId="0" applyBorder="1" applyAlignment="1">
      <alignment horizontal="center" vertical="top"/>
    </xf>
    <xf numFmtId="0" fontId="52" fillId="0" borderId="16" xfId="0" applyFont="1" applyBorder="1" applyAlignment="1">
      <alignment horizontal="left" vertical="top" wrapText="1"/>
    </xf>
    <xf numFmtId="0" fontId="52" fillId="0" borderId="14" xfId="0" applyFont="1" applyBorder="1" applyAlignment="1">
      <alignment horizontal="left" vertical="top" wrapText="1"/>
    </xf>
    <xf numFmtId="0" fontId="52" fillId="0" borderId="15" xfId="0" applyFont="1" applyBorder="1" applyAlignment="1">
      <alignment horizontal="left" vertical="top" wrapText="1"/>
    </xf>
    <xf numFmtId="0" fontId="1" fillId="0" borderId="33" xfId="0" applyFont="1" applyBorder="1" applyAlignment="1" applyProtection="1">
      <alignment horizontal="center" vertical="top" wrapText="1"/>
      <protection locked="0"/>
    </xf>
    <xf numFmtId="0" fontId="1" fillId="0" borderId="0" xfId="0" applyFont="1" applyBorder="1" applyAlignment="1" applyProtection="1">
      <alignment horizontal="center" vertical="top" wrapText="1"/>
      <protection locked="0"/>
    </xf>
    <xf numFmtId="0" fontId="1" fillId="0" borderId="34" xfId="0" applyFont="1" applyBorder="1" applyAlignment="1" applyProtection="1">
      <alignment horizontal="center" vertical="top" wrapText="1"/>
      <protection locked="0"/>
    </xf>
    <xf numFmtId="0" fontId="1" fillId="0" borderId="35" xfId="0" applyFont="1" applyBorder="1" applyAlignment="1" applyProtection="1">
      <alignment horizontal="center" vertical="top" wrapText="1"/>
      <protection locked="0"/>
    </xf>
    <xf numFmtId="0" fontId="1" fillId="0" borderId="9" xfId="0" applyFont="1" applyBorder="1" applyAlignment="1" applyProtection="1">
      <alignment horizontal="center" vertical="top" wrapText="1"/>
      <protection locked="0"/>
    </xf>
    <xf numFmtId="0" fontId="1" fillId="0" borderId="6" xfId="0" applyFont="1" applyBorder="1" applyAlignment="1" applyProtection="1">
      <alignment horizontal="center" vertical="top" wrapText="1"/>
      <protection locked="0"/>
    </xf>
    <xf numFmtId="0" fontId="0" fillId="0" borderId="21" xfId="0" applyBorder="1" applyAlignment="1">
      <alignment horizontal="center" vertical="top"/>
    </xf>
    <xf numFmtId="0" fontId="5" fillId="0" borderId="21" xfId="0" applyNumberFormat="1" applyFont="1" applyBorder="1" applyAlignment="1">
      <alignment horizontal="center" vertical="top"/>
    </xf>
    <xf numFmtId="0" fontId="5" fillId="0" borderId="59" xfId="0" applyNumberFormat="1" applyFont="1" applyBorder="1" applyAlignment="1">
      <alignment horizontal="center" vertical="top"/>
    </xf>
    <xf numFmtId="0" fontId="5" fillId="0" borderId="13" xfId="0" applyNumberFormat="1" applyFont="1" applyBorder="1" applyAlignment="1">
      <alignment horizontal="center" vertical="top"/>
    </xf>
    <xf numFmtId="0" fontId="5" fillId="0" borderId="54" xfId="0" applyNumberFormat="1" applyFont="1" applyBorder="1" applyAlignment="1">
      <alignment horizontal="center" vertical="top"/>
    </xf>
    <xf numFmtId="0" fontId="5" fillId="0" borderId="43" xfId="0" applyNumberFormat="1" applyFont="1" applyBorder="1" applyAlignment="1">
      <alignment horizontal="center" vertical="top"/>
    </xf>
    <xf numFmtId="0" fontId="0" fillId="0" borderId="13" xfId="0" applyBorder="1" applyAlignment="1">
      <alignment horizontal="center" vertical="top"/>
    </xf>
    <xf numFmtId="0" fontId="8" fillId="0" borderId="16" xfId="0" applyFont="1" applyBorder="1" applyAlignment="1">
      <alignment horizontal="left" vertical="top" wrapText="1" indent="1"/>
    </xf>
    <xf numFmtId="0" fontId="8" fillId="0" borderId="14" xfId="0" applyFont="1" applyBorder="1" applyAlignment="1">
      <alignment horizontal="left" vertical="top" indent="1"/>
    </xf>
    <xf numFmtId="0" fontId="8" fillId="0" borderId="15" xfId="0" applyFont="1" applyBorder="1" applyAlignment="1">
      <alignment horizontal="left" vertical="top" indent="1"/>
    </xf>
    <xf numFmtId="0" fontId="5" fillId="0" borderId="24" xfId="0" applyFont="1" applyBorder="1" applyAlignment="1">
      <alignment horizontal="center"/>
    </xf>
    <xf numFmtId="0" fontId="5" fillId="0" borderId="25" xfId="0" applyFont="1" applyBorder="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3" fillId="0" borderId="26" xfId="0" applyFont="1" applyBorder="1" applyAlignment="1">
      <alignment horizontal="center"/>
    </xf>
    <xf numFmtId="0" fontId="3" fillId="0" borderId="18" xfId="0" applyFont="1" applyBorder="1" applyAlignment="1">
      <alignment horizontal="center"/>
    </xf>
    <xf numFmtId="0" fontId="43" fillId="0" borderId="16" xfId="0" applyFont="1" applyBorder="1" applyAlignment="1" applyProtection="1">
      <alignment horizontal="left" vertical="top" wrapText="1" indent="1"/>
      <protection locked="0"/>
    </xf>
    <xf numFmtId="0" fontId="43" fillId="0" borderId="14" xfId="0" applyFont="1" applyBorder="1" applyAlignment="1" applyProtection="1">
      <alignment horizontal="left" vertical="top" wrapText="1" indent="1"/>
      <protection locked="0"/>
    </xf>
    <xf numFmtId="0" fontId="43" fillId="0" borderId="15" xfId="0" applyFont="1" applyBorder="1" applyAlignment="1" applyProtection="1">
      <alignment horizontal="left" vertical="top" wrapText="1" indent="1"/>
      <protection locked="0"/>
    </xf>
    <xf numFmtId="0" fontId="12" fillId="0" borderId="16" xfId="0" applyFont="1" applyBorder="1" applyAlignment="1">
      <alignment horizontal="left" vertical="top" wrapText="1"/>
    </xf>
    <xf numFmtId="0" fontId="12" fillId="0" borderId="14" xfId="0" applyFont="1" applyBorder="1" applyAlignment="1">
      <alignment horizontal="left" vertical="top" wrapText="1"/>
    </xf>
    <xf numFmtId="0" fontId="12" fillId="0" borderId="15" xfId="0" applyFont="1" applyBorder="1" applyAlignment="1">
      <alignment horizontal="left" vertical="top" wrapText="1"/>
    </xf>
    <xf numFmtId="0" fontId="10" fillId="0" borderId="33" xfId="0" applyFont="1" applyBorder="1" applyAlignment="1" applyProtection="1">
      <alignment horizontal="center" vertical="top" wrapText="1"/>
      <protection locked="0"/>
    </xf>
    <xf numFmtId="0" fontId="10" fillId="0" borderId="0" xfId="0" applyFont="1" applyBorder="1" applyAlignment="1" applyProtection="1">
      <alignment horizontal="center" vertical="top" wrapText="1"/>
      <protection locked="0"/>
    </xf>
    <xf numFmtId="0" fontId="10" fillId="0" borderId="34" xfId="0" applyFont="1" applyBorder="1" applyAlignment="1" applyProtection="1">
      <alignment horizontal="center" vertical="top" wrapText="1"/>
      <protection locked="0"/>
    </xf>
    <xf numFmtId="0" fontId="10" fillId="0" borderId="35" xfId="0" applyFont="1" applyBorder="1" applyAlignment="1" applyProtection="1">
      <alignment horizontal="center" vertical="top" wrapText="1"/>
      <protection locked="0"/>
    </xf>
    <xf numFmtId="0" fontId="10" fillId="0" borderId="9" xfId="0" applyFont="1" applyBorder="1" applyAlignment="1" applyProtection="1">
      <alignment horizontal="center" vertical="top" wrapText="1"/>
      <protection locked="0"/>
    </xf>
    <xf numFmtId="0" fontId="10" fillId="0" borderId="6" xfId="0" applyFont="1" applyBorder="1" applyAlignment="1" applyProtection="1">
      <alignment horizontal="center" vertical="top" wrapText="1"/>
      <protection locked="0"/>
    </xf>
    <xf numFmtId="0" fontId="1" fillId="0" borderId="60" xfId="0" applyFont="1" applyBorder="1" applyAlignment="1">
      <alignment horizontal="left" vertical="center" wrapText="1"/>
    </xf>
    <xf numFmtId="0" fontId="1" fillId="0" borderId="61" xfId="0" applyFont="1" applyBorder="1" applyAlignment="1">
      <alignment horizontal="left" vertical="center" wrapText="1"/>
    </xf>
    <xf numFmtId="0" fontId="0" fillId="0" borderId="61" xfId="0" applyBorder="1" applyAlignment="1">
      <alignment horizontal="left" vertical="center" wrapText="1"/>
    </xf>
    <xf numFmtId="0" fontId="0" fillId="0" borderId="62" xfId="0" applyBorder="1" applyAlignment="1">
      <alignment horizontal="left" vertical="center" wrapText="1"/>
    </xf>
    <xf numFmtId="0" fontId="1" fillId="0" borderId="62" xfId="0" applyFont="1" applyBorder="1" applyAlignment="1">
      <alignment horizontal="left" vertical="center" wrapText="1"/>
    </xf>
    <xf numFmtId="0" fontId="1" fillId="0" borderId="30" xfId="0" applyFont="1" applyBorder="1" applyAlignment="1">
      <alignment horizontal="left" vertical="center" wrapText="1"/>
    </xf>
    <xf numFmtId="0" fontId="0" fillId="0" borderId="33" xfId="0" applyBorder="1" applyAlignment="1">
      <alignment horizontal="left" vertical="center" wrapText="1"/>
    </xf>
    <xf numFmtId="49" fontId="3" fillId="0" borderId="63" xfId="0" applyNumberFormat="1" applyFont="1" applyFill="1" applyBorder="1" applyAlignment="1">
      <alignment horizontal="center" vertical="center" wrapText="1"/>
    </xf>
    <xf numFmtId="49" fontId="3" fillId="0" borderId="64" xfId="0" applyNumberFormat="1" applyFont="1" applyFill="1" applyBorder="1" applyAlignment="1">
      <alignment horizontal="center" vertical="center" wrapText="1"/>
    </xf>
    <xf numFmtId="49" fontId="3" fillId="0" borderId="65" xfId="0" applyNumberFormat="1" applyFont="1" applyFill="1" applyBorder="1" applyAlignment="1">
      <alignment horizontal="center" vertical="center" wrapText="1"/>
    </xf>
    <xf numFmtId="49" fontId="3" fillId="0" borderId="60" xfId="0" applyNumberFormat="1" applyFont="1" applyFill="1" applyBorder="1" applyAlignment="1">
      <alignment horizontal="center" vertical="center" wrapText="1"/>
    </xf>
    <xf numFmtId="49" fontId="3" fillId="0" borderId="61" xfId="0" applyNumberFormat="1" applyFont="1" applyFill="1" applyBorder="1" applyAlignment="1">
      <alignment horizontal="center" vertical="center" wrapText="1"/>
    </xf>
    <xf numFmtId="49" fontId="3" fillId="0" borderId="62" xfId="0" applyNumberFormat="1" applyFont="1" applyFill="1" applyBorder="1" applyAlignment="1">
      <alignment horizontal="center" vertical="center" wrapText="1"/>
    </xf>
    <xf numFmtId="49" fontId="16" fillId="0" borderId="30" xfId="0" applyNumberFormat="1" applyFont="1" applyFill="1" applyBorder="1" applyAlignment="1">
      <alignment vertical="center" wrapText="1"/>
    </xf>
    <xf numFmtId="0" fontId="3" fillId="0" borderId="33" xfId="0" applyFont="1" applyFill="1" applyBorder="1" applyAlignment="1">
      <alignment vertical="center" wrapText="1"/>
    </xf>
    <xf numFmtId="0" fontId="3" fillId="0" borderId="35" xfId="0" applyFont="1" applyFill="1" applyBorder="1" applyAlignment="1">
      <alignment vertical="center" wrapText="1"/>
    </xf>
    <xf numFmtId="0" fontId="1" fillId="0" borderId="61" xfId="0" applyFont="1" applyFill="1" applyBorder="1" applyAlignment="1">
      <alignment horizontal="center" vertical="center" wrapText="1"/>
    </xf>
    <xf numFmtId="0" fontId="1" fillId="0" borderId="62" xfId="0" applyFont="1" applyFill="1" applyBorder="1" applyAlignment="1">
      <alignment horizontal="center" vertical="center" wrapText="1"/>
    </xf>
    <xf numFmtId="0" fontId="3" fillId="0" borderId="30" xfId="0" applyFont="1" applyFill="1" applyBorder="1" applyAlignment="1">
      <alignment horizontal="center" vertical="center" wrapText="1"/>
    </xf>
    <xf numFmtId="0" fontId="3" fillId="0" borderId="33" xfId="0" applyFont="1" applyFill="1" applyBorder="1" applyAlignment="1">
      <alignment horizontal="center" vertical="center" wrapText="1"/>
    </xf>
    <xf numFmtId="0" fontId="3" fillId="0" borderId="35" xfId="0" applyFont="1" applyFill="1" applyBorder="1" applyAlignment="1">
      <alignment horizontal="center" vertical="center" wrapText="1"/>
    </xf>
    <xf numFmtId="0" fontId="46" fillId="6" borderId="0" xfId="0" applyNumberFormat="1" applyFont="1" applyFill="1" applyBorder="1" applyAlignment="1" applyProtection="1">
      <alignment horizontal="center" vertical="center" wrapText="1"/>
    </xf>
    <xf numFmtId="0" fontId="46" fillId="6" borderId="9" xfId="0" applyNumberFormat="1" applyFont="1" applyFill="1" applyBorder="1" applyAlignment="1" applyProtection="1">
      <alignment horizontal="center" vertical="center" wrapText="1"/>
    </xf>
    <xf numFmtId="0" fontId="37" fillId="6" borderId="30" xfId="0" applyNumberFormat="1" applyFont="1" applyFill="1" applyBorder="1" applyAlignment="1" applyProtection="1">
      <alignment horizontal="center" wrapText="1"/>
    </xf>
    <xf numFmtId="0" fontId="37" fillId="6" borderId="32" xfId="0" applyNumberFormat="1" applyFont="1" applyFill="1" applyBorder="1" applyAlignment="1" applyProtection="1">
      <alignment horizontal="center" wrapText="1"/>
    </xf>
    <xf numFmtId="0" fontId="37" fillId="6" borderId="31" xfId="0" applyNumberFormat="1" applyFont="1" applyFill="1" applyBorder="1" applyAlignment="1" applyProtection="1">
      <alignment horizontal="center" wrapText="1"/>
    </xf>
    <xf numFmtId="0" fontId="46" fillId="6" borderId="34" xfId="0" applyNumberFormat="1" applyFont="1" applyFill="1" applyBorder="1" applyAlignment="1" applyProtection="1">
      <alignment horizontal="center" vertical="center" wrapText="1"/>
    </xf>
    <xf numFmtId="0" fontId="46" fillId="6" borderId="6" xfId="0" applyNumberFormat="1" applyFont="1" applyFill="1" applyBorder="1" applyAlignment="1" applyProtection="1">
      <alignment horizontal="center" vertical="center" wrapText="1"/>
    </xf>
    <xf numFmtId="0" fontId="7" fillId="0" borderId="7" xfId="0" applyFont="1" applyBorder="1" applyAlignment="1">
      <alignment horizontal="center"/>
    </xf>
    <xf numFmtId="0" fontId="7" fillId="0" borderId="8" xfId="0" applyFont="1" applyBorder="1" applyAlignment="1">
      <alignment horizontal="center"/>
    </xf>
    <xf numFmtId="0" fontId="7" fillId="0" borderId="12" xfId="0" applyFont="1" applyBorder="1" applyAlignment="1">
      <alignment horizontal="center"/>
    </xf>
    <xf numFmtId="0" fontId="7" fillId="0" borderId="66" xfId="0" applyFont="1" applyBorder="1" applyAlignment="1">
      <alignment horizontal="center"/>
    </xf>
  </cellXfs>
  <cellStyles count="8">
    <cellStyle name="Comma" xfId="2" builtinId="3"/>
    <cellStyle name="Currency" xfId="1" builtinId="4"/>
    <cellStyle name="Hyperlink" xfId="7" builtinId="8"/>
    <cellStyle name="Normal" xfId="0" builtinId="0"/>
    <cellStyle name="Normal 2" xfId="4" xr:uid="{00000000-0005-0000-0000-000004000000}"/>
    <cellStyle name="Normal 3" xfId="5" xr:uid="{00000000-0005-0000-0000-000005000000}"/>
    <cellStyle name="Percent" xfId="3" builtinId="5"/>
    <cellStyle name="Percent 2" xfId="6" xr:uid="{00000000-0005-0000-0000-000007000000}"/>
  </cellStyles>
  <dxfs count="21">
    <dxf>
      <fill>
        <patternFill>
          <bgColor theme="6" tint="0.39994506668294322"/>
        </patternFill>
      </fill>
    </dxf>
    <dxf>
      <fill>
        <patternFill>
          <bgColor theme="6" tint="0.3999450666829432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0"/>
      </font>
    </dxf>
    <dxf>
      <font>
        <color theme="6" tint="0.39994506668294322"/>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252256139215477"/>
          <c:y val="0.14777086003784409"/>
          <c:w val="0.46974939776363572"/>
          <c:h val="0.797481535738265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481-410A-ABAF-1B584305D0E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481-410A-ABAF-1B584305D0E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481-410A-ABAF-1B584305D0E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481-410A-ABAF-1B584305D0E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481-410A-ABAF-1B584305D0E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481-410A-ABAF-1B584305D0E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481-410A-ABAF-1B584305D0E9}"/>
              </c:ext>
            </c:extLst>
          </c:dPt>
          <c:dLbls>
            <c:dLbl>
              <c:idx val="0"/>
              <c:layout>
                <c:manualLayout>
                  <c:x val="-0.1897116431874587"/>
                  <c:y val="-0.20406834859230896"/>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481-410A-ABAF-1B584305D0E9}"/>
                </c:ext>
              </c:extLst>
            </c:dLbl>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'8900'!$C$225:$C$231</c:f>
              <c:strCache>
                <c:ptCount val="7"/>
                <c:pt idx="0">
                  <c:v>Machine</c:v>
                </c:pt>
                <c:pt idx="1">
                  <c:v>Accessories</c:v>
                </c:pt>
                <c:pt idx="2">
                  <c:v>Bracketry</c:v>
                </c:pt>
                <c:pt idx="3">
                  <c:v>Options</c:v>
                </c:pt>
                <c:pt idx="4">
                  <c:v>Implementation</c:v>
                </c:pt>
                <c:pt idx="5">
                  <c:v>Consumables</c:v>
                </c:pt>
                <c:pt idx="6">
                  <c:v>Custom Parts</c:v>
                </c:pt>
              </c:strCache>
            </c:strRef>
          </c:cat>
          <c:val>
            <c:numRef>
              <c:f>'8900'!$E$225:$E$231</c:f>
              <c:numCache>
                <c:formatCode>"$"#,##0</c:formatCode>
                <c:ptCount val="7"/>
                <c:pt idx="0">
                  <c:v>24110.2</c:v>
                </c:pt>
                <c:pt idx="1">
                  <c:v>750</c:v>
                </c:pt>
                <c:pt idx="2">
                  <c:v>5511</c:v>
                </c:pt>
                <c:pt idx="3">
                  <c:v>2019</c:v>
                </c:pt>
                <c:pt idx="4">
                  <c:v>0</c:v>
                </c:pt>
                <c:pt idx="5">
                  <c:v>1135.8</c:v>
                </c:pt>
                <c:pt idx="6">
                  <c:v>0</c:v>
                </c:pt>
              </c:numCache>
            </c:numRef>
          </c:val>
          <c:extLst>
            <c:ext xmlns:c16="http://schemas.microsoft.com/office/drawing/2014/chart" uri="{C3380CC4-5D6E-409C-BE32-E72D297353CC}">
              <c16:uniqueId val="{00000000-D1A8-4D7C-9637-4494A791F79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8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Machine Discount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'8900'!$C$215</c:f>
              <c:strCache>
                <c:ptCount val="1"/>
                <c:pt idx="0">
                  <c:v>Machine</c:v>
                </c:pt>
              </c:strCache>
            </c:strRef>
          </c:tx>
          <c:spPr>
            <a:solidFill>
              <a:srgbClr val="C3D69B"/>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'8900'!$E$215</c:f>
              <c:numCache>
                <c:formatCode>0.00%</c:formatCode>
                <c:ptCount val="1"/>
                <c:pt idx="0">
                  <c:v>-0.3</c:v>
                </c:pt>
              </c:numCache>
            </c:numRef>
          </c:val>
          <c:extLst>
            <c:ext xmlns:c14="http://schemas.microsoft.com/office/drawing/2007/8/2/chart" uri="{6F2FDCE9-48DA-4B69-8628-5D25D57E5C99}">
              <c14:invertSolidFillFmt>
                <c14:spPr xmlns:c14="http://schemas.microsoft.com/office/drawing/2007/8/2/chart">
                  <a:solidFill>
                    <a:srgbClr val="D99694"/>
                  </a:solidFill>
                  <a:ln>
                    <a:noFill/>
                  </a:ln>
                  <a:effectLst/>
                </c14:spPr>
              </c14:invertSolidFillFmt>
            </c:ext>
            <c:ext xmlns:c16="http://schemas.microsoft.com/office/drawing/2014/chart" uri="{C3380CC4-5D6E-409C-BE32-E72D297353CC}">
              <c16:uniqueId val="{00000000-3555-4D9F-89F6-3869307451DE}"/>
            </c:ext>
          </c:extLst>
        </c:ser>
        <c:dLbls>
          <c:showLegendKey val="0"/>
          <c:showVal val="0"/>
          <c:showCatName val="0"/>
          <c:showSerName val="0"/>
          <c:showPercent val="0"/>
          <c:showBubbleSize val="0"/>
        </c:dLbls>
        <c:gapWidth val="182"/>
        <c:axId val="329844112"/>
        <c:axId val="329843128"/>
      </c:barChart>
      <c:catAx>
        <c:axId val="329844112"/>
        <c:scaling>
          <c:orientation val="minMax"/>
        </c:scaling>
        <c:delete val="0"/>
        <c:axPos val="l"/>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 b="0" i="0" u="none" strike="noStrike" kern="1200" baseline="0">
                <a:solidFill>
                  <a:schemeClr val="tx1">
                    <a:lumMod val="65000"/>
                    <a:lumOff val="35000"/>
                  </a:schemeClr>
                </a:solidFill>
                <a:latin typeface="+mn-lt"/>
                <a:ea typeface="+mn-ea"/>
                <a:cs typeface="+mn-cs"/>
              </a:defRPr>
            </a:pPr>
            <a:endParaRPr lang="en-US"/>
          </a:p>
        </c:txPr>
        <c:crossAx val="329843128"/>
        <c:crosses val="autoZero"/>
        <c:auto val="1"/>
        <c:lblAlgn val="ctr"/>
        <c:lblOffset val="100"/>
        <c:noMultiLvlLbl val="0"/>
      </c:catAx>
      <c:valAx>
        <c:axId val="329843128"/>
        <c:scaling>
          <c:orientation val="minMax"/>
          <c:max val="0.25"/>
          <c:min val="-0.25"/>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984411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checked="Checked"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8900'!A1"/><Relationship Id="rId2" Type="http://schemas.openxmlformats.org/officeDocument/2006/relationships/image" Target="../media/image1.jpeg"/><Relationship Id="rId1" Type="http://schemas.openxmlformats.org/officeDocument/2006/relationships/hyperlink" Target="#'7900'!A1"/><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svg"/></Relationships>
</file>

<file path=xl/drawings/_rels/drawing3.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jpeg"/><Relationship Id="rId7" Type="http://schemas.openxmlformats.org/officeDocument/2006/relationships/hyperlink" Target="#'TT5 &amp; TT10'!A1"/><Relationship Id="rId2" Type="http://schemas.openxmlformats.org/officeDocument/2006/relationships/image" Target="../media/image10.jpeg"/><Relationship Id="rId1" Type="http://schemas.openxmlformats.org/officeDocument/2006/relationships/image" Target="../media/image9.jpeg"/><Relationship Id="rId6" Type="http://schemas.openxmlformats.org/officeDocument/2006/relationships/image" Target="../media/image14.emf"/><Relationship Id="rId5" Type="http://schemas.openxmlformats.org/officeDocument/2006/relationships/image" Target="../media/image13.jpeg"/><Relationship Id="rId10" Type="http://schemas.openxmlformats.org/officeDocument/2006/relationships/image" Target="../media/image16.png"/><Relationship Id="rId4" Type="http://schemas.openxmlformats.org/officeDocument/2006/relationships/image" Target="../media/image12.jpeg"/><Relationship Id="rId9" Type="http://schemas.openxmlformats.org/officeDocument/2006/relationships/hyperlink" Target="#'TT3'!A1"/></Relationships>
</file>

<file path=xl/drawings/_rels/drawing6.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3" Type="http://schemas.openxmlformats.org/officeDocument/2006/relationships/hyperlink" Target="#PE!A1"/><Relationship Id="rId2" Type="http://schemas.openxmlformats.org/officeDocument/2006/relationships/image" Target="../media/image19.jpeg"/><Relationship Id="rId1" Type="http://schemas.openxmlformats.org/officeDocument/2006/relationships/hyperlink" Target="#Cover!A1"/><Relationship Id="rId4" Type="http://schemas.openxmlformats.org/officeDocument/2006/relationships/image" Target="../media/image20.jpeg"/></Relationships>
</file>

<file path=xl/drawings/_rels/drawing9.xml.rels><?xml version="1.0" encoding="UTF-8" standalone="yes"?>
<Relationships xmlns="http://schemas.openxmlformats.org/package/2006/relationships"><Relationship Id="rId3" Type="http://schemas.openxmlformats.org/officeDocument/2006/relationships/hyperlink" Target="#PE!A1"/><Relationship Id="rId2" Type="http://schemas.openxmlformats.org/officeDocument/2006/relationships/image" Target="../media/image21.png"/><Relationship Id="rId1" Type="http://schemas.openxmlformats.org/officeDocument/2006/relationships/hyperlink" Target="#Cover!A1"/><Relationship Id="rId5" Type="http://schemas.openxmlformats.org/officeDocument/2006/relationships/hyperlink" Target="#Images!A1"/><Relationship Id="rId4" Type="http://schemas.openxmlformats.org/officeDocument/2006/relationships/image" Target="../media/image20.jpeg"/></Relationships>
</file>

<file path=xl/drawings/_rels/drawing10.xml.rels><?xml version="1.0" encoding="UTF-8" standalone="yes"?>
<Relationships xmlns="http://schemas.openxmlformats.org/package/2006/relationships"><Relationship Id="rId8" Type="http://schemas.openxmlformats.org/officeDocument/2006/relationships/image" Target="../media/image26.jpeg"/><Relationship Id="rId13" Type="http://schemas.openxmlformats.org/officeDocument/2006/relationships/image" Target="../media/image31.png"/><Relationship Id="rId3" Type="http://schemas.openxmlformats.org/officeDocument/2006/relationships/hyperlink" Target="#PE!A1"/><Relationship Id="rId7" Type="http://schemas.openxmlformats.org/officeDocument/2006/relationships/image" Target="../media/image25.jpeg"/><Relationship Id="rId12" Type="http://schemas.openxmlformats.org/officeDocument/2006/relationships/image" Target="../media/image30.jpeg"/><Relationship Id="rId2" Type="http://schemas.openxmlformats.org/officeDocument/2006/relationships/image" Target="../media/image22.jpeg"/><Relationship Id="rId1" Type="http://schemas.openxmlformats.org/officeDocument/2006/relationships/hyperlink" Target="#Cover!A1"/><Relationship Id="rId6" Type="http://schemas.openxmlformats.org/officeDocument/2006/relationships/image" Target="../media/image24.jpeg"/><Relationship Id="rId11" Type="http://schemas.openxmlformats.org/officeDocument/2006/relationships/image" Target="../media/image29.jpeg"/><Relationship Id="rId5" Type="http://schemas.openxmlformats.org/officeDocument/2006/relationships/hyperlink" Target="#Images!A1"/><Relationship Id="rId10" Type="http://schemas.openxmlformats.org/officeDocument/2006/relationships/image" Target="../media/image28.emf"/><Relationship Id="rId4" Type="http://schemas.openxmlformats.org/officeDocument/2006/relationships/image" Target="../media/image23.jpeg"/><Relationship Id="rId9" Type="http://schemas.openxmlformats.org/officeDocument/2006/relationships/image" Target="../media/image27.jpeg"/></Relationships>
</file>

<file path=xl/drawings/_rels/drawing11.xml.rels><?xml version="1.0" encoding="UTF-8" standalone="yes"?>
<Relationships xmlns="http://schemas.openxmlformats.org/package/2006/relationships"><Relationship Id="rId8" Type="http://schemas.openxmlformats.org/officeDocument/2006/relationships/hyperlink" Target="#Images!A1"/><Relationship Id="rId3" Type="http://schemas.openxmlformats.org/officeDocument/2006/relationships/image" Target="../media/image44.jpeg"/><Relationship Id="rId7" Type="http://schemas.openxmlformats.org/officeDocument/2006/relationships/image" Target="../media/image45.jpeg"/><Relationship Id="rId2" Type="http://schemas.openxmlformats.org/officeDocument/2006/relationships/image" Target="../media/image1.jpeg"/><Relationship Id="rId1" Type="http://schemas.openxmlformats.org/officeDocument/2006/relationships/hyperlink" Target="#Cover!A1"/><Relationship Id="rId6" Type="http://schemas.openxmlformats.org/officeDocument/2006/relationships/hyperlink" Target="#PE!A1"/><Relationship Id="rId11" Type="http://schemas.openxmlformats.org/officeDocument/2006/relationships/image" Target="../media/image31.png"/><Relationship Id="rId5" Type="http://schemas.openxmlformats.org/officeDocument/2006/relationships/image" Target="../media/image30.jpeg"/><Relationship Id="rId10" Type="http://schemas.openxmlformats.org/officeDocument/2006/relationships/image" Target="../media/image47.jpeg"/><Relationship Id="rId4" Type="http://schemas.openxmlformats.org/officeDocument/2006/relationships/image" Target="../media/image28.emf"/><Relationship Id="rId9" Type="http://schemas.openxmlformats.org/officeDocument/2006/relationships/image" Target="../media/image4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49.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0.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23.jpeg"/><Relationship Id="rId7" Type="http://schemas.openxmlformats.org/officeDocument/2006/relationships/chart" Target="../charts/chart1.xml"/><Relationship Id="rId2" Type="http://schemas.openxmlformats.org/officeDocument/2006/relationships/hyperlink" Target="#PE!A1"/><Relationship Id="rId1" Type="http://schemas.openxmlformats.org/officeDocument/2006/relationships/hyperlink" Target="#Cover!A1"/><Relationship Id="rId6" Type="http://schemas.openxmlformats.org/officeDocument/2006/relationships/image" Target="../media/image2.jpeg"/><Relationship Id="rId5" Type="http://schemas.openxmlformats.org/officeDocument/2006/relationships/image" Target="../media/image30.jpeg"/><Relationship Id="rId10" Type="http://schemas.openxmlformats.org/officeDocument/2006/relationships/image" Target="../media/image52.svg"/><Relationship Id="rId4" Type="http://schemas.openxmlformats.org/officeDocument/2006/relationships/image" Target="../media/image28.emf"/><Relationship Id="rId9" Type="http://schemas.openxmlformats.org/officeDocument/2006/relationships/image" Target="../media/image51.png"/></Relationships>
</file>

<file path=xl/drawings/_rels/drawing15.xml.rels><?xml version="1.0" encoding="UTF-8" standalone="yes"?>
<Relationships xmlns="http://schemas.openxmlformats.org/package/2006/relationships"><Relationship Id="rId8" Type="http://schemas.openxmlformats.org/officeDocument/2006/relationships/image" Target="../media/image61.jpeg"/><Relationship Id="rId13" Type="http://schemas.openxmlformats.org/officeDocument/2006/relationships/image" Target="../media/image65.jpeg"/><Relationship Id="rId18" Type="http://schemas.openxmlformats.org/officeDocument/2006/relationships/image" Target="../media/image70.jpeg"/><Relationship Id="rId3" Type="http://schemas.openxmlformats.org/officeDocument/2006/relationships/image" Target="../media/image56.jpeg"/><Relationship Id="rId7" Type="http://schemas.openxmlformats.org/officeDocument/2006/relationships/image" Target="../media/image60.emf"/><Relationship Id="rId12" Type="http://schemas.openxmlformats.org/officeDocument/2006/relationships/image" Target="../media/image64.jpeg"/><Relationship Id="rId17" Type="http://schemas.openxmlformats.org/officeDocument/2006/relationships/image" Target="../media/image69.jpeg"/><Relationship Id="rId2" Type="http://schemas.openxmlformats.org/officeDocument/2006/relationships/image" Target="../media/image55.jpeg"/><Relationship Id="rId16" Type="http://schemas.openxmlformats.org/officeDocument/2006/relationships/image" Target="../media/image68.jpeg"/><Relationship Id="rId1" Type="http://schemas.openxmlformats.org/officeDocument/2006/relationships/image" Target="../media/image54.png"/><Relationship Id="rId6" Type="http://schemas.openxmlformats.org/officeDocument/2006/relationships/image" Target="../media/image59.jpeg"/><Relationship Id="rId11" Type="http://schemas.openxmlformats.org/officeDocument/2006/relationships/image" Target="../media/image63.jpeg"/><Relationship Id="rId5" Type="http://schemas.openxmlformats.org/officeDocument/2006/relationships/image" Target="../media/image58.jpeg"/><Relationship Id="rId15" Type="http://schemas.openxmlformats.org/officeDocument/2006/relationships/image" Target="../media/image67.jpeg"/><Relationship Id="rId10" Type="http://schemas.openxmlformats.org/officeDocument/2006/relationships/image" Target="../media/image62.emf"/><Relationship Id="rId4" Type="http://schemas.openxmlformats.org/officeDocument/2006/relationships/image" Target="../media/image57.jpeg"/><Relationship Id="rId9" Type="http://schemas.openxmlformats.org/officeDocument/2006/relationships/image" Target="../media/image28.emf"/><Relationship Id="rId14" Type="http://schemas.openxmlformats.org/officeDocument/2006/relationships/image" Target="../media/image66.jpeg"/></Relationships>
</file>

<file path=xl/drawings/_rels/drawing16.xml.rels><?xml version="1.0" encoding="UTF-8" standalone="yes"?>
<Relationships xmlns="http://schemas.openxmlformats.org/package/2006/relationships"><Relationship Id="rId8" Type="http://schemas.openxmlformats.org/officeDocument/2006/relationships/image" Target="../media/image26.jpeg"/><Relationship Id="rId3" Type="http://schemas.openxmlformats.org/officeDocument/2006/relationships/hyperlink" Target="http://sharepoint.matthews.com.au/sales/_layouts/15/start.aspx#/Sales/Sales%20Tools/Quote%20Templates" TargetMode="External"/><Relationship Id="rId7" Type="http://schemas.openxmlformats.org/officeDocument/2006/relationships/hyperlink" Target="https://sharepoint.matthews.com.au/sales/_layouts/15/start.aspx#/SitePages/Product%20Info%20-%20CIJ.aspx" TargetMode="External"/><Relationship Id="rId2" Type="http://schemas.openxmlformats.org/officeDocument/2006/relationships/image" Target="../media/image71.png"/><Relationship Id="rId1" Type="http://schemas.openxmlformats.org/officeDocument/2006/relationships/hyperlink" Target="http://sharepoint.matthews.com.au/sales/Application%20Photos%20%20Videos/Forms/Thumbnails.aspx?RootFolder=/sales/Application%20Photos%20%20Videos/CIJ&amp;FolderCTID=0x012000A93B2E8F170AB34B957E937BB44B6627&amp;View=%7bFF98A2C4-237E-4D59-A4DA-4E2CE5EA948C%7d" TargetMode="External"/><Relationship Id="rId6" Type="http://schemas.openxmlformats.org/officeDocument/2006/relationships/image" Target="../media/image73.emf"/><Relationship Id="rId5" Type="http://schemas.openxmlformats.org/officeDocument/2006/relationships/hyperlink" Target="https://sharepoint.matthews.com.au/sales/_layouts/15/start.aspx#/SitePages/Home.aspx?RootFolder=%2Fsales%2FSales%2FTechnical%2FTechnical%20Specifications%2FCapital%2FCIJ%2FProduct%20Handbook%2FPrintheads%20and%20Performance%20Charts&amp;FolderCTID=0x0120003840" TargetMode="External"/><Relationship Id="rId10" Type="http://schemas.openxmlformats.org/officeDocument/2006/relationships/image" Target="../media/image74.png"/><Relationship Id="rId4" Type="http://schemas.openxmlformats.org/officeDocument/2006/relationships/image" Target="../media/image72.PNG"/><Relationship Id="rId9" Type="http://schemas.openxmlformats.org/officeDocument/2006/relationships/hyperlink" Target="https://sharepoint.matthews.com.au/sales/_layouts/15/start.aspx#/SitePages/Home.aspx?RootFolder=%2Fsales%2FSales%2FSales%20Tools%2FConsumables%2FInk%20Guides&amp;FolderCTID=0x012000384095BA5D42C5479390B1573BDC6998&amp;View=%7B99886A7E%2D12F8%2D4FFD%2D9D23%2D02C3E5" TargetMode="External"/></Relationships>
</file>

<file path=xl/drawings/_rels/vmlDrawing5.vml.rels><?xml version="1.0" encoding="UTF-8" standalone="yes"?>
<Relationships xmlns="http://schemas.openxmlformats.org/package/2006/relationships"><Relationship Id="rId8" Type="http://schemas.openxmlformats.org/officeDocument/2006/relationships/image" Target="../media/image39.jpeg"/><Relationship Id="rId3" Type="http://schemas.openxmlformats.org/officeDocument/2006/relationships/image" Target="../media/image34.jpeg"/><Relationship Id="rId7" Type="http://schemas.openxmlformats.org/officeDocument/2006/relationships/image" Target="../media/image38.jpeg"/><Relationship Id="rId12" Type="http://schemas.openxmlformats.org/officeDocument/2006/relationships/image" Target="../media/image43.jpeg"/><Relationship Id="rId2" Type="http://schemas.openxmlformats.org/officeDocument/2006/relationships/image" Target="../media/image33.jpeg"/><Relationship Id="rId1" Type="http://schemas.openxmlformats.org/officeDocument/2006/relationships/image" Target="../media/image32.png"/><Relationship Id="rId6" Type="http://schemas.openxmlformats.org/officeDocument/2006/relationships/image" Target="../media/image37.jpeg"/><Relationship Id="rId11" Type="http://schemas.openxmlformats.org/officeDocument/2006/relationships/image" Target="../media/image42.jpeg"/><Relationship Id="rId5" Type="http://schemas.openxmlformats.org/officeDocument/2006/relationships/image" Target="../media/image36.jpeg"/><Relationship Id="rId10" Type="http://schemas.openxmlformats.org/officeDocument/2006/relationships/image" Target="../media/image41.jpeg"/><Relationship Id="rId4" Type="http://schemas.openxmlformats.org/officeDocument/2006/relationships/image" Target="../media/image35.jpeg"/><Relationship Id="rId9" Type="http://schemas.openxmlformats.org/officeDocument/2006/relationships/image" Target="../media/image40.jpe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4.jpeg"/><Relationship Id="rId3" Type="http://schemas.openxmlformats.org/officeDocument/2006/relationships/image" Target="../media/image37.jpeg"/><Relationship Id="rId7" Type="http://schemas.openxmlformats.org/officeDocument/2006/relationships/image" Target="../media/image36.jpeg"/><Relationship Id="rId12" Type="http://schemas.openxmlformats.org/officeDocument/2006/relationships/image" Target="../media/image42.jpeg"/><Relationship Id="rId2" Type="http://schemas.openxmlformats.org/officeDocument/2006/relationships/image" Target="../media/image38.jpeg"/><Relationship Id="rId1" Type="http://schemas.openxmlformats.org/officeDocument/2006/relationships/image" Target="../media/image33.jpeg"/><Relationship Id="rId6" Type="http://schemas.openxmlformats.org/officeDocument/2006/relationships/image" Target="../media/image35.jpeg"/><Relationship Id="rId11" Type="http://schemas.openxmlformats.org/officeDocument/2006/relationships/image" Target="../media/image32.png"/><Relationship Id="rId5" Type="http://schemas.openxmlformats.org/officeDocument/2006/relationships/image" Target="../media/image40.jpeg"/><Relationship Id="rId10" Type="http://schemas.openxmlformats.org/officeDocument/2006/relationships/image" Target="../media/image41.jpeg"/><Relationship Id="rId4" Type="http://schemas.openxmlformats.org/officeDocument/2006/relationships/image" Target="../media/image39.jpeg"/><Relationship Id="rId9" Type="http://schemas.openxmlformats.org/officeDocument/2006/relationships/image" Target="../media/image4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9.jpeg"/><Relationship Id="rId13" Type="http://schemas.openxmlformats.org/officeDocument/2006/relationships/image" Target="../media/image53.jpeg"/><Relationship Id="rId3" Type="http://schemas.openxmlformats.org/officeDocument/2006/relationships/image" Target="../media/image34.jpeg"/><Relationship Id="rId7" Type="http://schemas.openxmlformats.org/officeDocument/2006/relationships/image" Target="../media/image38.jpeg"/><Relationship Id="rId12" Type="http://schemas.openxmlformats.org/officeDocument/2006/relationships/image" Target="../media/image43.jpeg"/><Relationship Id="rId2" Type="http://schemas.openxmlformats.org/officeDocument/2006/relationships/image" Target="../media/image33.jpeg"/><Relationship Id="rId1" Type="http://schemas.openxmlformats.org/officeDocument/2006/relationships/image" Target="../media/image32.png"/><Relationship Id="rId6" Type="http://schemas.openxmlformats.org/officeDocument/2006/relationships/image" Target="../media/image37.jpeg"/><Relationship Id="rId11" Type="http://schemas.openxmlformats.org/officeDocument/2006/relationships/image" Target="../media/image42.jpeg"/><Relationship Id="rId5" Type="http://schemas.openxmlformats.org/officeDocument/2006/relationships/image" Target="../media/image36.jpeg"/><Relationship Id="rId10" Type="http://schemas.openxmlformats.org/officeDocument/2006/relationships/image" Target="../media/image41.jpeg"/><Relationship Id="rId4" Type="http://schemas.openxmlformats.org/officeDocument/2006/relationships/image" Target="../media/image35.jpeg"/><Relationship Id="rId9" Type="http://schemas.openxmlformats.org/officeDocument/2006/relationships/image" Target="../media/image40.jpeg"/></Relationships>
</file>

<file path=xl/drawings/drawing1.xml><?xml version="1.0" encoding="utf-8"?>
<xdr:wsDr xmlns:xdr="http://schemas.openxmlformats.org/drawingml/2006/spreadsheetDrawing" xmlns:a="http://schemas.openxmlformats.org/drawingml/2006/main">
  <xdr:twoCellAnchor>
    <xdr:from>
      <xdr:col>16</xdr:col>
      <xdr:colOff>390525</xdr:colOff>
      <xdr:row>2</xdr:row>
      <xdr:rowOff>1</xdr:rowOff>
    </xdr:from>
    <xdr:to>
      <xdr:col>17</xdr:col>
      <xdr:colOff>64575</xdr:colOff>
      <xdr:row>34</xdr:row>
      <xdr:rowOff>1</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8315325" y="161926"/>
          <a:ext cx="283650" cy="50292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1</xdr:colOff>
      <xdr:row>33</xdr:row>
      <xdr:rowOff>47625</xdr:rowOff>
    </xdr:from>
    <xdr:to>
      <xdr:col>17</xdr:col>
      <xdr:colOff>66675</xdr:colOff>
      <xdr:row>35</xdr:row>
      <xdr:rowOff>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609601" y="5076825"/>
          <a:ext cx="7991474" cy="2762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4</xdr:col>
      <xdr:colOff>63500</xdr:colOff>
      <xdr:row>12</xdr:row>
      <xdr:rowOff>98425</xdr:rowOff>
    </xdr:from>
    <xdr:to>
      <xdr:col>7</xdr:col>
      <xdr:colOff>101600</xdr:colOff>
      <xdr:row>23</xdr:row>
      <xdr:rowOff>159785</xdr:rowOff>
    </xdr:to>
    <xdr:grpSp>
      <xdr:nvGrpSpPr>
        <xdr:cNvPr id="3" name="Group 2">
          <a:hlinkClick xmlns:r="http://schemas.openxmlformats.org/officeDocument/2006/relationships" r:id="rId1"/>
          <a:extLst>
            <a:ext uri="{FF2B5EF4-FFF2-40B4-BE49-F238E27FC236}">
              <a16:creationId xmlns:a16="http://schemas.microsoft.com/office/drawing/2014/main" id="{00000000-0008-0000-0000-000003000000}"/>
            </a:ext>
          </a:extLst>
        </xdr:cNvPr>
        <xdr:cNvGrpSpPr/>
      </xdr:nvGrpSpPr>
      <xdr:grpSpPr>
        <a:xfrm>
          <a:off x="2425700" y="2212975"/>
          <a:ext cx="1866900" cy="1842535"/>
          <a:chOff x="6534150" y="2228850"/>
          <a:chExt cx="1866900" cy="1845710"/>
        </a:xfrm>
      </xdr:grpSpPr>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7115175" y="3810000"/>
            <a:ext cx="4706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AU" sz="1100" b="1"/>
              <a:t>7900</a:t>
            </a:r>
          </a:p>
        </xdr:txBody>
      </xdr:sp>
      <xdr:pic>
        <xdr:nvPicPr>
          <xdr:cNvPr id="10" name="Picture 9" descr="C:\Documents and Settings\TrentM\My Documents\Downloads\LX2675.jpg">
            <a:extLst>
              <a:ext uri="{FF2B5EF4-FFF2-40B4-BE49-F238E27FC236}">
                <a16:creationId xmlns:a16="http://schemas.microsoft.com/office/drawing/2014/main" id="{00000000-0008-0000-0000-00000A000000}"/>
              </a:ext>
            </a:extLst>
          </xdr:cNvPr>
          <xdr:cNvPicPr>
            <a:picLocks noChangeAspect="1" noChangeArrowheads="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flipH="1">
            <a:off x="6534150" y="2228850"/>
            <a:ext cx="1866900" cy="131471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9</xdr:col>
      <xdr:colOff>200025</xdr:colOff>
      <xdr:row>12</xdr:row>
      <xdr:rowOff>50799</xdr:rowOff>
    </xdr:from>
    <xdr:to>
      <xdr:col>11</xdr:col>
      <xdr:colOff>232930</xdr:colOff>
      <xdr:row>24</xdr:row>
      <xdr:rowOff>35960</xdr:rowOff>
    </xdr:to>
    <xdr:grpSp>
      <xdr:nvGrpSpPr>
        <xdr:cNvPr id="9" name="Group 8">
          <a:hlinkClick xmlns:r="http://schemas.openxmlformats.org/officeDocument/2006/relationships" r:id="rId3"/>
          <a:extLst>
            <a:ext uri="{FF2B5EF4-FFF2-40B4-BE49-F238E27FC236}">
              <a16:creationId xmlns:a16="http://schemas.microsoft.com/office/drawing/2014/main" id="{00000000-0008-0000-0000-000009000000}"/>
            </a:ext>
          </a:extLst>
        </xdr:cNvPr>
        <xdr:cNvGrpSpPr/>
      </xdr:nvGrpSpPr>
      <xdr:grpSpPr>
        <a:xfrm>
          <a:off x="5610225" y="2165349"/>
          <a:ext cx="1252105" cy="1928261"/>
          <a:chOff x="6883400" y="2139949"/>
          <a:chExt cx="1315605" cy="1890161"/>
        </a:xfrm>
      </xdr:grpSpPr>
      <xdr:pic>
        <xdr:nvPicPr>
          <xdr:cNvPr id="16" name="Picture 15" descr="C:\Documents and Settings\TrentM\My Documents\Downloads\LX3008.jpg">
            <a:extLst>
              <a:ext uri="{FF2B5EF4-FFF2-40B4-BE49-F238E27FC236}">
                <a16:creationId xmlns:a16="http://schemas.microsoft.com/office/drawing/2014/main" id="{00000000-0008-0000-0000-000010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a:ext>
            </a:extLst>
          </a:blip>
          <a:srcRect/>
          <a:stretch/>
        </xdr:blipFill>
        <xdr:spPr bwMode="auto">
          <a:xfrm>
            <a:off x="6883400" y="2139949"/>
            <a:ext cx="1315605" cy="15233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7277100" y="3765550"/>
            <a:ext cx="4706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t>8900</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238124</xdr:colOff>
      <xdr:row>2</xdr:row>
      <xdr:rowOff>9525</xdr:rowOff>
    </xdr:from>
    <xdr:to>
      <xdr:col>8</xdr:col>
      <xdr:colOff>16949</xdr:colOff>
      <xdr:row>185</xdr:row>
      <xdr:rowOff>3975</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9143999" y="333375"/>
          <a:ext cx="36000" cy="113482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38100</xdr:colOff>
      <xdr:row>184</xdr:row>
      <xdr:rowOff>133350</xdr:rowOff>
    </xdr:from>
    <xdr:to>
      <xdr:col>8</xdr:col>
      <xdr:colOff>16650</xdr:colOff>
      <xdr:row>185</xdr:row>
      <xdr:rowOff>19050</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flipH="1">
          <a:off x="647700" y="11649075"/>
          <a:ext cx="85320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editAs="oneCell">
    <xdr:from>
      <xdr:col>5</xdr:col>
      <xdr:colOff>1133475</xdr:colOff>
      <xdr:row>3</xdr:row>
      <xdr:rowOff>12456</xdr:rowOff>
    </xdr:from>
    <xdr:to>
      <xdr:col>6</xdr:col>
      <xdr:colOff>127200</xdr:colOff>
      <xdr:row>5</xdr:row>
      <xdr:rowOff>54274</xdr:rowOff>
    </xdr:to>
    <xdr:pic>
      <xdr:nvPicPr>
        <xdr:cNvPr id="7" name="Graphic 6" descr="Single gear">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8028110" y="496033"/>
          <a:ext cx="400494" cy="430145"/>
        </a:xfrm>
        <a:prstGeom prst="rect">
          <a:avLst/>
        </a:prstGeom>
      </xdr:spPr>
    </xdr:pic>
    <xdr:clientData fPrintsWithSheet="0"/>
  </xdr:twoCellAnchor>
  <xdr:twoCellAnchor>
    <xdr:from>
      <xdr:col>6</xdr:col>
      <xdr:colOff>209550</xdr:colOff>
      <xdr:row>3</xdr:row>
      <xdr:rowOff>69606</xdr:rowOff>
    </xdr:from>
    <xdr:to>
      <xdr:col>6</xdr:col>
      <xdr:colOff>485141</xdr:colOff>
      <xdr:row>4</xdr:row>
      <xdr:rowOff>202222</xdr:rowOff>
    </xdr:to>
    <xdr:pic macro="[0]!PrintProject">
      <xdr:nvPicPr>
        <xdr:cNvPr id="9" name="Graphic 8" descr="Printer">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8515350" y="555381"/>
          <a:ext cx="275591" cy="294541"/>
        </a:xfrm>
        <a:prstGeom prst="rect">
          <a:avLst/>
        </a:prstGeom>
      </xdr:spPr>
    </xdr:pic>
    <xdr:clientData fPrintsWithSheet="0"/>
  </xdr:twoCellAnchor>
  <xdr:twoCellAnchor editAs="oneCell">
    <xdr:from>
      <xdr:col>2</xdr:col>
      <xdr:colOff>47625</xdr:colOff>
      <xdr:row>154</xdr:row>
      <xdr:rowOff>28575</xdr:rowOff>
    </xdr:from>
    <xdr:to>
      <xdr:col>5</xdr:col>
      <xdr:colOff>1387474</xdr:colOff>
      <xdr:row>176</xdr:row>
      <xdr:rowOff>19050</xdr:rowOff>
    </xdr:to>
    <xdr:sp macro="" textlink="" fLocksText="0">
      <xdr:nvSpPr>
        <xdr:cNvPr id="10" name="PM_Feedback">
          <a:extLst>
            <a:ext uri="{FF2B5EF4-FFF2-40B4-BE49-F238E27FC236}">
              <a16:creationId xmlns:a16="http://schemas.microsoft.com/office/drawing/2014/main" id="{00000000-0008-0000-0100-00000A000000}"/>
            </a:ext>
          </a:extLst>
        </xdr:cNvPr>
        <xdr:cNvSpPr txBox="1"/>
      </xdr:nvSpPr>
      <xdr:spPr>
        <a:xfrm>
          <a:off x="1266825" y="21478875"/>
          <a:ext cx="7016749" cy="3590925"/>
        </a:xfrm>
        <a:prstGeom prst="rect">
          <a:avLst/>
        </a:prstGeom>
        <a:solidFill>
          <a:schemeClr val="lt1"/>
        </a:solidFill>
        <a:ln w="3175" cmpd="sng">
          <a:solidFill>
            <a:schemeClr val="accent2">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u="sng">
              <a:solidFill>
                <a:schemeClr val="accent2">
                  <a:lumMod val="75000"/>
                </a:schemeClr>
              </a:solidFill>
            </a:rPr>
            <a:t>Project Manager:</a:t>
          </a:r>
          <a:r>
            <a:rPr lang="en-AU" sz="1100" b="1" u="sng" baseline="0">
              <a:solidFill>
                <a:schemeClr val="accent2">
                  <a:lumMod val="75000"/>
                </a:schemeClr>
              </a:solidFill>
            </a:rPr>
            <a:t> CHOP </a:t>
          </a:r>
          <a:r>
            <a:rPr lang="en-AU" sz="1100" b="1" u="sng">
              <a:solidFill>
                <a:schemeClr val="accent2">
                  <a:lumMod val="75000"/>
                </a:schemeClr>
              </a:solidFill>
            </a:rPr>
            <a:t>Feedback</a:t>
          </a:r>
          <a:endParaRPr lang="en-AU" sz="1100" b="1" u="sng" baseline="0">
            <a:solidFill>
              <a:schemeClr val="accent2">
                <a:lumMod val="75000"/>
              </a:schemeClr>
            </a:solidFill>
          </a:endParaRPr>
        </a:p>
        <a:p>
          <a:endParaRPr lang="en-AU" sz="1100"/>
        </a:p>
        <a:p>
          <a:endParaRPr lang="en-AU" sz="1100"/>
        </a:p>
        <a:p>
          <a:endParaRPr lang="en-AU" sz="1100"/>
        </a:p>
      </xdr:txBody>
    </xdr:sp>
    <xdr:clientData/>
  </xdr:twoCellAnchor>
  <xdr:twoCellAnchor>
    <xdr:from>
      <xdr:col>5</xdr:col>
      <xdr:colOff>1047750</xdr:colOff>
      <xdr:row>144</xdr:row>
      <xdr:rowOff>19050</xdr:rowOff>
    </xdr:from>
    <xdr:to>
      <xdr:col>5</xdr:col>
      <xdr:colOff>1406698</xdr:colOff>
      <xdr:row>146</xdr:row>
      <xdr:rowOff>34097</xdr:rowOff>
    </xdr:to>
    <xdr:pic macro="[0]!MailitoError">
      <xdr:nvPicPr>
        <xdr:cNvPr id="11" name="Graphic 10" descr="Envelope">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a:ext>
            <a:ext uri="{96DAC541-7B7A-43D3-8B79-37D633B846F1}">
              <asvg:svgBlip xmlns:asvg="http://schemas.microsoft.com/office/drawing/2016/SVG/main" r:embed="rId6"/>
            </a:ext>
          </a:extLst>
        </a:blip>
        <a:stretch>
          <a:fillRect/>
        </a:stretch>
      </xdr:blipFill>
      <xdr:spPr>
        <a:xfrm>
          <a:off x="7943850" y="17145000"/>
          <a:ext cx="358948" cy="3769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57150</xdr:colOff>
      <xdr:row>162</xdr:row>
      <xdr:rowOff>47625</xdr:rowOff>
    </xdr:from>
    <xdr:to>
      <xdr:col>8</xdr:col>
      <xdr:colOff>171450</xdr:colOff>
      <xdr:row>166</xdr:row>
      <xdr:rowOff>95250</xdr:rowOff>
    </xdr:to>
    <xdr:grpSp>
      <xdr:nvGrpSpPr>
        <xdr:cNvPr id="2" name="Group 9">
          <a:extLst>
            <a:ext uri="{FF2B5EF4-FFF2-40B4-BE49-F238E27FC236}">
              <a16:creationId xmlns:a16="http://schemas.microsoft.com/office/drawing/2014/main" id="{00000000-0008-0000-0200-000002000000}"/>
            </a:ext>
          </a:extLst>
        </xdr:cNvPr>
        <xdr:cNvGrpSpPr>
          <a:grpSpLocks/>
        </xdr:cNvGrpSpPr>
      </xdr:nvGrpSpPr>
      <xdr:grpSpPr bwMode="auto">
        <a:xfrm>
          <a:off x="2609850" y="26689050"/>
          <a:ext cx="971550" cy="695325"/>
          <a:chOff x="1742" y="4364"/>
          <a:chExt cx="1530" cy="1097"/>
        </a:xfrm>
      </xdr:grpSpPr>
      <xdr:sp macro="" textlink="">
        <xdr:nvSpPr>
          <xdr:cNvPr id="3" name="Line 10">
            <a:extLst>
              <a:ext uri="{FF2B5EF4-FFF2-40B4-BE49-F238E27FC236}">
                <a16:creationId xmlns:a16="http://schemas.microsoft.com/office/drawing/2014/main" id="{00000000-0008-0000-0200-000003000000}"/>
              </a:ext>
            </a:extLst>
          </xdr:cNvPr>
          <xdr:cNvSpPr>
            <a:spLocks noChangeShapeType="1"/>
          </xdr:cNvSpPr>
        </xdr:nvSpPr>
        <xdr:spPr bwMode="auto">
          <a:xfrm flipH="1">
            <a:off x="2029" y="5461"/>
            <a:ext cx="915" cy="0"/>
          </a:xfrm>
          <a:prstGeom prst="line">
            <a:avLst/>
          </a:prstGeom>
          <a:noFill/>
          <a:ln w="38100">
            <a:solidFill>
              <a:srgbClr val="808080"/>
            </a:solidFill>
            <a:round/>
            <a:headEnd/>
            <a:tailEnd type="triangle" w="med" len="med"/>
          </a:ln>
        </xdr:spPr>
      </xdr:sp>
      <xdr:sp macro="" textlink="">
        <xdr:nvSpPr>
          <xdr:cNvPr id="4" name="Line 11">
            <a:extLst>
              <a:ext uri="{FF2B5EF4-FFF2-40B4-BE49-F238E27FC236}">
                <a16:creationId xmlns:a16="http://schemas.microsoft.com/office/drawing/2014/main" id="{00000000-0008-0000-0200-000004000000}"/>
              </a:ext>
            </a:extLst>
          </xdr:cNvPr>
          <xdr:cNvSpPr>
            <a:spLocks noChangeShapeType="1"/>
          </xdr:cNvSpPr>
        </xdr:nvSpPr>
        <xdr:spPr bwMode="auto">
          <a:xfrm>
            <a:off x="1742" y="5352"/>
            <a:ext cx="1530" cy="0"/>
          </a:xfrm>
          <a:prstGeom prst="line">
            <a:avLst/>
          </a:prstGeom>
          <a:noFill/>
          <a:ln w="19050">
            <a:solidFill>
              <a:srgbClr val="000000"/>
            </a:solidFill>
            <a:round/>
            <a:headEnd/>
            <a:tailEnd/>
          </a:ln>
        </xdr:spPr>
      </xdr:sp>
      <xdr:pic>
        <xdr:nvPicPr>
          <xdr:cNvPr id="5" name="Picture 12" descr="PrinterFront">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014" y="4364"/>
            <a:ext cx="1080" cy="945"/>
          </a:xfrm>
          <a:prstGeom prst="rect">
            <a:avLst/>
          </a:prstGeom>
          <a:noFill/>
          <a:ln w="9525">
            <a:noFill/>
            <a:miter lim="800000"/>
            <a:headEnd/>
            <a:tailEnd/>
          </a:ln>
        </xdr:spPr>
      </xdr:pic>
    </xdr:grpSp>
    <xdr:clientData/>
  </xdr:twoCellAnchor>
  <xdr:twoCellAnchor>
    <xdr:from>
      <xdr:col>9</xdr:col>
      <xdr:colOff>238125</xdr:colOff>
      <xdr:row>161</xdr:row>
      <xdr:rowOff>123825</xdr:rowOff>
    </xdr:from>
    <xdr:to>
      <xdr:col>13</xdr:col>
      <xdr:colOff>66675</xdr:colOff>
      <xdr:row>166</xdr:row>
      <xdr:rowOff>28575</xdr:rowOff>
    </xdr:to>
    <xdr:grpSp>
      <xdr:nvGrpSpPr>
        <xdr:cNvPr id="6" name="Group 13">
          <a:extLst>
            <a:ext uri="{FF2B5EF4-FFF2-40B4-BE49-F238E27FC236}">
              <a16:creationId xmlns:a16="http://schemas.microsoft.com/office/drawing/2014/main" id="{00000000-0008-0000-0200-000006000000}"/>
            </a:ext>
          </a:extLst>
        </xdr:cNvPr>
        <xdr:cNvGrpSpPr>
          <a:grpSpLocks/>
        </xdr:cNvGrpSpPr>
      </xdr:nvGrpSpPr>
      <xdr:grpSpPr bwMode="auto">
        <a:xfrm>
          <a:off x="3933825" y="26603325"/>
          <a:ext cx="971550" cy="714375"/>
          <a:chOff x="4193" y="4419"/>
          <a:chExt cx="1530" cy="1128"/>
        </a:xfrm>
      </xdr:grpSpPr>
      <xdr:sp macro="" textlink="">
        <xdr:nvSpPr>
          <xdr:cNvPr id="7" name="Line 14">
            <a:extLst>
              <a:ext uri="{FF2B5EF4-FFF2-40B4-BE49-F238E27FC236}">
                <a16:creationId xmlns:a16="http://schemas.microsoft.com/office/drawing/2014/main" id="{00000000-0008-0000-0200-000007000000}"/>
              </a:ext>
            </a:extLst>
          </xdr:cNvPr>
          <xdr:cNvSpPr>
            <a:spLocks noChangeShapeType="1"/>
          </xdr:cNvSpPr>
        </xdr:nvSpPr>
        <xdr:spPr bwMode="auto">
          <a:xfrm flipH="1">
            <a:off x="4495" y="4419"/>
            <a:ext cx="915" cy="0"/>
          </a:xfrm>
          <a:prstGeom prst="line">
            <a:avLst/>
          </a:prstGeom>
          <a:noFill/>
          <a:ln w="38100">
            <a:solidFill>
              <a:srgbClr val="808080"/>
            </a:solidFill>
            <a:round/>
            <a:headEnd/>
            <a:tailEnd type="triangle" w="med" len="med"/>
          </a:ln>
        </xdr:spPr>
      </xdr:sp>
      <xdr:sp macro="" textlink="">
        <xdr:nvSpPr>
          <xdr:cNvPr id="8" name="Line 15">
            <a:extLst>
              <a:ext uri="{FF2B5EF4-FFF2-40B4-BE49-F238E27FC236}">
                <a16:creationId xmlns:a16="http://schemas.microsoft.com/office/drawing/2014/main" id="{00000000-0008-0000-0200-000008000000}"/>
              </a:ext>
            </a:extLst>
          </xdr:cNvPr>
          <xdr:cNvSpPr>
            <a:spLocks noChangeShapeType="1"/>
          </xdr:cNvSpPr>
        </xdr:nvSpPr>
        <xdr:spPr bwMode="auto">
          <a:xfrm>
            <a:off x="4193" y="4550"/>
            <a:ext cx="1530" cy="0"/>
          </a:xfrm>
          <a:prstGeom prst="line">
            <a:avLst/>
          </a:prstGeom>
          <a:noFill/>
          <a:ln w="19050">
            <a:solidFill>
              <a:srgbClr val="000000"/>
            </a:solidFill>
            <a:round/>
            <a:headEnd/>
            <a:tailEnd/>
          </a:ln>
        </xdr:spPr>
      </xdr:sp>
      <xdr:pic>
        <xdr:nvPicPr>
          <xdr:cNvPr id="9" name="Picture 16" descr="PrinterFront">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4431" y="4602"/>
            <a:ext cx="1080" cy="945"/>
          </a:xfrm>
          <a:prstGeom prst="rect">
            <a:avLst/>
          </a:prstGeom>
          <a:noFill/>
          <a:ln w="9525">
            <a:noFill/>
            <a:miter lim="800000"/>
            <a:headEnd/>
            <a:tailEnd/>
          </a:ln>
        </xdr:spPr>
      </xdr:pic>
    </xdr:grpSp>
    <xdr:clientData/>
  </xdr:twoCellAnchor>
  <xdr:twoCellAnchor>
    <xdr:from>
      <xdr:col>5</xdr:col>
      <xdr:colOff>57150</xdr:colOff>
      <xdr:row>170</xdr:row>
      <xdr:rowOff>47625</xdr:rowOff>
    </xdr:from>
    <xdr:to>
      <xdr:col>8</xdr:col>
      <xdr:colOff>171450</xdr:colOff>
      <xdr:row>174</xdr:row>
      <xdr:rowOff>104775</xdr:rowOff>
    </xdr:to>
    <xdr:grpSp>
      <xdr:nvGrpSpPr>
        <xdr:cNvPr id="10" name="Group 17">
          <a:extLst>
            <a:ext uri="{FF2B5EF4-FFF2-40B4-BE49-F238E27FC236}">
              <a16:creationId xmlns:a16="http://schemas.microsoft.com/office/drawing/2014/main" id="{00000000-0008-0000-0200-00000A000000}"/>
            </a:ext>
          </a:extLst>
        </xdr:cNvPr>
        <xdr:cNvGrpSpPr>
          <a:grpSpLocks/>
        </xdr:cNvGrpSpPr>
      </xdr:nvGrpSpPr>
      <xdr:grpSpPr bwMode="auto">
        <a:xfrm>
          <a:off x="2609850" y="27984450"/>
          <a:ext cx="971550" cy="704850"/>
          <a:chOff x="1782" y="6323"/>
          <a:chExt cx="1530" cy="1110"/>
        </a:xfrm>
      </xdr:grpSpPr>
      <xdr:sp macro="" textlink="">
        <xdr:nvSpPr>
          <xdr:cNvPr id="11" name="Line 18">
            <a:extLst>
              <a:ext uri="{FF2B5EF4-FFF2-40B4-BE49-F238E27FC236}">
                <a16:creationId xmlns:a16="http://schemas.microsoft.com/office/drawing/2014/main" id="{00000000-0008-0000-0200-00000B000000}"/>
              </a:ext>
            </a:extLst>
          </xdr:cNvPr>
          <xdr:cNvSpPr>
            <a:spLocks noChangeShapeType="1"/>
          </xdr:cNvSpPr>
        </xdr:nvSpPr>
        <xdr:spPr bwMode="auto">
          <a:xfrm>
            <a:off x="2037" y="7433"/>
            <a:ext cx="915" cy="0"/>
          </a:xfrm>
          <a:prstGeom prst="line">
            <a:avLst/>
          </a:prstGeom>
          <a:noFill/>
          <a:ln w="38100">
            <a:solidFill>
              <a:srgbClr val="808080"/>
            </a:solidFill>
            <a:round/>
            <a:headEnd/>
            <a:tailEnd type="triangle" w="med" len="med"/>
          </a:ln>
        </xdr:spPr>
      </xdr:sp>
      <xdr:sp macro="" textlink="">
        <xdr:nvSpPr>
          <xdr:cNvPr id="12" name="Line 19">
            <a:extLst>
              <a:ext uri="{FF2B5EF4-FFF2-40B4-BE49-F238E27FC236}">
                <a16:creationId xmlns:a16="http://schemas.microsoft.com/office/drawing/2014/main" id="{00000000-0008-0000-0200-00000C000000}"/>
              </a:ext>
            </a:extLst>
          </xdr:cNvPr>
          <xdr:cNvSpPr>
            <a:spLocks noChangeShapeType="1"/>
          </xdr:cNvSpPr>
        </xdr:nvSpPr>
        <xdr:spPr bwMode="auto">
          <a:xfrm>
            <a:off x="1782" y="7314"/>
            <a:ext cx="1530" cy="0"/>
          </a:xfrm>
          <a:prstGeom prst="line">
            <a:avLst/>
          </a:prstGeom>
          <a:noFill/>
          <a:ln w="19050">
            <a:solidFill>
              <a:srgbClr val="000000"/>
            </a:solidFill>
            <a:round/>
            <a:headEnd/>
            <a:tailEnd/>
          </a:ln>
        </xdr:spPr>
      </xdr:sp>
      <xdr:pic>
        <xdr:nvPicPr>
          <xdr:cNvPr id="13" name="Picture 20" descr="PrinterFront">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003" y="6323"/>
            <a:ext cx="1080" cy="945"/>
          </a:xfrm>
          <a:prstGeom prst="rect">
            <a:avLst/>
          </a:prstGeom>
          <a:noFill/>
          <a:ln w="9525">
            <a:noFill/>
            <a:miter lim="800000"/>
            <a:headEnd/>
            <a:tailEnd/>
          </a:ln>
        </xdr:spPr>
      </xdr:pic>
    </xdr:grpSp>
    <xdr:clientData/>
  </xdr:twoCellAnchor>
  <xdr:twoCellAnchor>
    <xdr:from>
      <xdr:col>10</xdr:col>
      <xdr:colOff>19050</xdr:colOff>
      <xdr:row>169</xdr:row>
      <xdr:rowOff>142875</xdr:rowOff>
    </xdr:from>
    <xdr:to>
      <xdr:col>13</xdr:col>
      <xdr:colOff>133350</xdr:colOff>
      <xdr:row>174</xdr:row>
      <xdr:rowOff>47625</xdr:rowOff>
    </xdr:to>
    <xdr:grpSp>
      <xdr:nvGrpSpPr>
        <xdr:cNvPr id="14" name="Group 21">
          <a:extLst>
            <a:ext uri="{FF2B5EF4-FFF2-40B4-BE49-F238E27FC236}">
              <a16:creationId xmlns:a16="http://schemas.microsoft.com/office/drawing/2014/main" id="{00000000-0008-0000-0200-00000E000000}"/>
            </a:ext>
          </a:extLst>
        </xdr:cNvPr>
        <xdr:cNvGrpSpPr>
          <a:grpSpLocks/>
        </xdr:cNvGrpSpPr>
      </xdr:nvGrpSpPr>
      <xdr:grpSpPr bwMode="auto">
        <a:xfrm>
          <a:off x="4000500" y="27917775"/>
          <a:ext cx="971550" cy="714375"/>
          <a:chOff x="4117" y="6430"/>
          <a:chExt cx="1530" cy="1123"/>
        </a:xfrm>
      </xdr:grpSpPr>
      <xdr:sp macro="" textlink="">
        <xdr:nvSpPr>
          <xdr:cNvPr id="15" name="Line 22">
            <a:extLst>
              <a:ext uri="{FF2B5EF4-FFF2-40B4-BE49-F238E27FC236}">
                <a16:creationId xmlns:a16="http://schemas.microsoft.com/office/drawing/2014/main" id="{00000000-0008-0000-0200-00000F000000}"/>
              </a:ext>
            </a:extLst>
          </xdr:cNvPr>
          <xdr:cNvSpPr>
            <a:spLocks noChangeShapeType="1"/>
          </xdr:cNvSpPr>
        </xdr:nvSpPr>
        <xdr:spPr bwMode="auto">
          <a:xfrm>
            <a:off x="4414" y="6430"/>
            <a:ext cx="915" cy="0"/>
          </a:xfrm>
          <a:prstGeom prst="line">
            <a:avLst/>
          </a:prstGeom>
          <a:noFill/>
          <a:ln w="38100">
            <a:solidFill>
              <a:srgbClr val="808080"/>
            </a:solidFill>
            <a:round/>
            <a:headEnd/>
            <a:tailEnd type="triangle" w="med" len="med"/>
          </a:ln>
        </xdr:spPr>
      </xdr:sp>
      <xdr:sp macro="" textlink="">
        <xdr:nvSpPr>
          <xdr:cNvPr id="16" name="Line 23">
            <a:extLst>
              <a:ext uri="{FF2B5EF4-FFF2-40B4-BE49-F238E27FC236}">
                <a16:creationId xmlns:a16="http://schemas.microsoft.com/office/drawing/2014/main" id="{00000000-0008-0000-0200-000010000000}"/>
              </a:ext>
            </a:extLst>
          </xdr:cNvPr>
          <xdr:cNvSpPr>
            <a:spLocks noChangeShapeType="1"/>
          </xdr:cNvSpPr>
        </xdr:nvSpPr>
        <xdr:spPr bwMode="auto">
          <a:xfrm>
            <a:off x="4117" y="6566"/>
            <a:ext cx="1530" cy="0"/>
          </a:xfrm>
          <a:prstGeom prst="line">
            <a:avLst/>
          </a:prstGeom>
          <a:noFill/>
          <a:ln w="19050">
            <a:solidFill>
              <a:srgbClr val="000000"/>
            </a:solidFill>
            <a:round/>
            <a:headEnd/>
            <a:tailEnd/>
          </a:ln>
        </xdr:spPr>
      </xdr:sp>
      <xdr:pic>
        <xdr:nvPicPr>
          <xdr:cNvPr id="17" name="Picture 24" descr="PrinterFront">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4325" y="6608"/>
            <a:ext cx="1080" cy="945"/>
          </a:xfrm>
          <a:prstGeom prst="rect">
            <a:avLst/>
          </a:prstGeom>
          <a:noFill/>
          <a:ln w="9525">
            <a:noFill/>
            <a:miter lim="800000"/>
            <a:headEnd/>
            <a:tailEnd/>
          </a:ln>
        </xdr:spPr>
      </xdr:pic>
    </xdr:grpSp>
    <xdr:clientData/>
  </xdr:twoCellAnchor>
  <xdr:twoCellAnchor>
    <xdr:from>
      <xdr:col>15</xdr:col>
      <xdr:colOff>66675</xdr:colOff>
      <xdr:row>160</xdr:row>
      <xdr:rowOff>123825</xdr:rowOff>
    </xdr:from>
    <xdr:to>
      <xdr:col>17</xdr:col>
      <xdr:colOff>219075</xdr:colOff>
      <xdr:row>166</xdr:row>
      <xdr:rowOff>123825</xdr:rowOff>
    </xdr:to>
    <xdr:grpSp>
      <xdr:nvGrpSpPr>
        <xdr:cNvPr id="18" name="Group 25">
          <a:extLst>
            <a:ext uri="{FF2B5EF4-FFF2-40B4-BE49-F238E27FC236}">
              <a16:creationId xmlns:a16="http://schemas.microsoft.com/office/drawing/2014/main" id="{00000000-0008-0000-0200-000012000000}"/>
            </a:ext>
          </a:extLst>
        </xdr:cNvPr>
        <xdr:cNvGrpSpPr>
          <a:grpSpLocks/>
        </xdr:cNvGrpSpPr>
      </xdr:nvGrpSpPr>
      <xdr:grpSpPr bwMode="auto">
        <a:xfrm>
          <a:off x="5476875" y="26441400"/>
          <a:ext cx="723900" cy="971550"/>
          <a:chOff x="6448" y="4202"/>
          <a:chExt cx="1146" cy="1530"/>
        </a:xfrm>
      </xdr:grpSpPr>
      <xdr:sp macro="" textlink="">
        <xdr:nvSpPr>
          <xdr:cNvPr id="19" name="Line 26">
            <a:extLst>
              <a:ext uri="{FF2B5EF4-FFF2-40B4-BE49-F238E27FC236}">
                <a16:creationId xmlns:a16="http://schemas.microsoft.com/office/drawing/2014/main" id="{00000000-0008-0000-0200-000013000000}"/>
              </a:ext>
            </a:extLst>
          </xdr:cNvPr>
          <xdr:cNvSpPr>
            <a:spLocks noChangeShapeType="1"/>
          </xdr:cNvSpPr>
        </xdr:nvSpPr>
        <xdr:spPr bwMode="auto">
          <a:xfrm rot="16200000" flipV="1">
            <a:off x="5990" y="4955"/>
            <a:ext cx="915" cy="0"/>
          </a:xfrm>
          <a:prstGeom prst="line">
            <a:avLst/>
          </a:prstGeom>
          <a:noFill/>
          <a:ln w="38100">
            <a:solidFill>
              <a:srgbClr val="808080"/>
            </a:solidFill>
            <a:round/>
            <a:headEnd/>
            <a:tailEnd type="triangle" w="med" len="med"/>
          </a:ln>
        </xdr:spPr>
      </xdr:sp>
      <xdr:sp macro="" textlink="">
        <xdr:nvSpPr>
          <xdr:cNvPr id="20" name="Line 27">
            <a:extLst>
              <a:ext uri="{FF2B5EF4-FFF2-40B4-BE49-F238E27FC236}">
                <a16:creationId xmlns:a16="http://schemas.microsoft.com/office/drawing/2014/main" id="{00000000-0008-0000-0200-000014000000}"/>
              </a:ext>
            </a:extLst>
          </xdr:cNvPr>
          <xdr:cNvSpPr>
            <a:spLocks noChangeShapeType="1"/>
          </xdr:cNvSpPr>
        </xdr:nvSpPr>
        <xdr:spPr bwMode="auto">
          <a:xfrm rot="-5400000">
            <a:off x="5824" y="4967"/>
            <a:ext cx="1530" cy="0"/>
          </a:xfrm>
          <a:prstGeom prst="line">
            <a:avLst/>
          </a:prstGeom>
          <a:noFill/>
          <a:ln w="19050">
            <a:solidFill>
              <a:srgbClr val="000000"/>
            </a:solidFill>
            <a:round/>
            <a:headEnd/>
            <a:tailEnd/>
          </a:ln>
        </xdr:spPr>
      </xdr:sp>
      <xdr:pic>
        <xdr:nvPicPr>
          <xdr:cNvPr id="21" name="Picture 28" descr="PrinterFront">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649" y="4460"/>
            <a:ext cx="945" cy="1080"/>
          </a:xfrm>
          <a:prstGeom prst="rect">
            <a:avLst/>
          </a:prstGeom>
          <a:noFill/>
          <a:ln w="9525">
            <a:noFill/>
            <a:miter lim="800000"/>
            <a:headEnd/>
            <a:tailEnd/>
          </a:ln>
        </xdr:spPr>
      </xdr:pic>
    </xdr:grpSp>
    <xdr:clientData/>
  </xdr:twoCellAnchor>
  <xdr:twoCellAnchor>
    <xdr:from>
      <xdr:col>15</xdr:col>
      <xdr:colOff>95250</xdr:colOff>
      <xdr:row>169</xdr:row>
      <xdr:rowOff>0</xdr:rowOff>
    </xdr:from>
    <xdr:to>
      <xdr:col>17</xdr:col>
      <xdr:colOff>257175</xdr:colOff>
      <xdr:row>175</xdr:row>
      <xdr:rowOff>0</xdr:rowOff>
    </xdr:to>
    <xdr:grpSp>
      <xdr:nvGrpSpPr>
        <xdr:cNvPr id="22" name="Group 29">
          <a:extLst>
            <a:ext uri="{FF2B5EF4-FFF2-40B4-BE49-F238E27FC236}">
              <a16:creationId xmlns:a16="http://schemas.microsoft.com/office/drawing/2014/main" id="{00000000-0008-0000-0200-000016000000}"/>
            </a:ext>
          </a:extLst>
        </xdr:cNvPr>
        <xdr:cNvGrpSpPr>
          <a:grpSpLocks/>
        </xdr:cNvGrpSpPr>
      </xdr:nvGrpSpPr>
      <xdr:grpSpPr bwMode="auto">
        <a:xfrm>
          <a:off x="5505450" y="27774900"/>
          <a:ext cx="733425" cy="971550"/>
          <a:chOff x="6574" y="6233"/>
          <a:chExt cx="1155" cy="1530"/>
        </a:xfrm>
      </xdr:grpSpPr>
      <xdr:sp macro="" textlink="">
        <xdr:nvSpPr>
          <xdr:cNvPr id="23" name="Line 30">
            <a:extLst>
              <a:ext uri="{FF2B5EF4-FFF2-40B4-BE49-F238E27FC236}">
                <a16:creationId xmlns:a16="http://schemas.microsoft.com/office/drawing/2014/main" id="{00000000-0008-0000-0200-000017000000}"/>
              </a:ext>
            </a:extLst>
          </xdr:cNvPr>
          <xdr:cNvSpPr>
            <a:spLocks noChangeShapeType="1"/>
          </xdr:cNvSpPr>
        </xdr:nvSpPr>
        <xdr:spPr bwMode="auto">
          <a:xfrm rot="5400000">
            <a:off x="6116" y="7024"/>
            <a:ext cx="915" cy="0"/>
          </a:xfrm>
          <a:prstGeom prst="line">
            <a:avLst/>
          </a:prstGeom>
          <a:noFill/>
          <a:ln w="38100">
            <a:solidFill>
              <a:srgbClr val="808080"/>
            </a:solidFill>
            <a:round/>
            <a:headEnd/>
            <a:tailEnd type="triangle" w="med" len="med"/>
          </a:ln>
        </xdr:spPr>
      </xdr:sp>
      <xdr:sp macro="" textlink="">
        <xdr:nvSpPr>
          <xdr:cNvPr id="24" name="Line 31">
            <a:extLst>
              <a:ext uri="{FF2B5EF4-FFF2-40B4-BE49-F238E27FC236}">
                <a16:creationId xmlns:a16="http://schemas.microsoft.com/office/drawing/2014/main" id="{00000000-0008-0000-0200-000018000000}"/>
              </a:ext>
            </a:extLst>
          </xdr:cNvPr>
          <xdr:cNvSpPr>
            <a:spLocks noChangeShapeType="1"/>
          </xdr:cNvSpPr>
        </xdr:nvSpPr>
        <xdr:spPr bwMode="auto">
          <a:xfrm rot="-5400000">
            <a:off x="5948" y="6998"/>
            <a:ext cx="1530" cy="0"/>
          </a:xfrm>
          <a:prstGeom prst="line">
            <a:avLst/>
          </a:prstGeom>
          <a:noFill/>
          <a:ln w="19050">
            <a:solidFill>
              <a:srgbClr val="000000"/>
            </a:solidFill>
            <a:round/>
            <a:headEnd/>
            <a:tailEnd/>
          </a:ln>
        </xdr:spPr>
      </xdr:sp>
      <xdr:pic>
        <xdr:nvPicPr>
          <xdr:cNvPr id="25" name="Picture 32" descr="PrinterFront">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784" y="6475"/>
            <a:ext cx="945" cy="1080"/>
          </a:xfrm>
          <a:prstGeom prst="rect">
            <a:avLst/>
          </a:prstGeom>
          <a:noFill/>
          <a:ln w="9525">
            <a:noFill/>
            <a:miter lim="800000"/>
            <a:headEnd/>
            <a:tailEnd/>
          </a:ln>
        </xdr:spPr>
      </xdr:pic>
    </xdr:grpSp>
    <xdr:clientData/>
  </xdr:twoCellAnchor>
  <xdr:twoCellAnchor>
    <xdr:from>
      <xdr:col>20</xdr:col>
      <xdr:colOff>76200</xdr:colOff>
      <xdr:row>160</xdr:row>
      <xdr:rowOff>114300</xdr:rowOff>
    </xdr:from>
    <xdr:to>
      <xdr:col>22</xdr:col>
      <xdr:colOff>228600</xdr:colOff>
      <xdr:row>166</xdr:row>
      <xdr:rowOff>114300</xdr:rowOff>
    </xdr:to>
    <xdr:grpSp>
      <xdr:nvGrpSpPr>
        <xdr:cNvPr id="26" name="Group 33">
          <a:extLst>
            <a:ext uri="{FF2B5EF4-FFF2-40B4-BE49-F238E27FC236}">
              <a16:creationId xmlns:a16="http://schemas.microsoft.com/office/drawing/2014/main" id="{00000000-0008-0000-0200-00001A000000}"/>
            </a:ext>
          </a:extLst>
        </xdr:cNvPr>
        <xdr:cNvGrpSpPr>
          <a:grpSpLocks/>
        </xdr:cNvGrpSpPr>
      </xdr:nvGrpSpPr>
      <xdr:grpSpPr bwMode="auto">
        <a:xfrm>
          <a:off x="6915150" y="26431875"/>
          <a:ext cx="723900" cy="971550"/>
          <a:chOff x="8791" y="4176"/>
          <a:chExt cx="1133" cy="1530"/>
        </a:xfrm>
      </xdr:grpSpPr>
      <xdr:sp macro="" textlink="">
        <xdr:nvSpPr>
          <xdr:cNvPr id="27" name="Line 34">
            <a:extLst>
              <a:ext uri="{FF2B5EF4-FFF2-40B4-BE49-F238E27FC236}">
                <a16:creationId xmlns:a16="http://schemas.microsoft.com/office/drawing/2014/main" id="{00000000-0008-0000-0200-00001B000000}"/>
              </a:ext>
            </a:extLst>
          </xdr:cNvPr>
          <xdr:cNvSpPr>
            <a:spLocks noChangeShapeType="1"/>
          </xdr:cNvSpPr>
        </xdr:nvSpPr>
        <xdr:spPr bwMode="auto">
          <a:xfrm rot="16200000" flipV="1">
            <a:off x="9466" y="4976"/>
            <a:ext cx="915" cy="0"/>
          </a:xfrm>
          <a:prstGeom prst="line">
            <a:avLst/>
          </a:prstGeom>
          <a:noFill/>
          <a:ln w="38100">
            <a:solidFill>
              <a:srgbClr val="808080"/>
            </a:solidFill>
            <a:round/>
            <a:headEnd/>
            <a:tailEnd type="triangle" w="med" len="med"/>
          </a:ln>
        </xdr:spPr>
      </xdr:sp>
      <xdr:sp macro="" textlink="">
        <xdr:nvSpPr>
          <xdr:cNvPr id="28" name="Line 35">
            <a:extLst>
              <a:ext uri="{FF2B5EF4-FFF2-40B4-BE49-F238E27FC236}">
                <a16:creationId xmlns:a16="http://schemas.microsoft.com/office/drawing/2014/main" id="{00000000-0008-0000-0200-00001C000000}"/>
              </a:ext>
            </a:extLst>
          </xdr:cNvPr>
          <xdr:cNvSpPr>
            <a:spLocks noChangeShapeType="1"/>
          </xdr:cNvSpPr>
        </xdr:nvSpPr>
        <xdr:spPr bwMode="auto">
          <a:xfrm rot="-5400000">
            <a:off x="9018" y="4941"/>
            <a:ext cx="1530" cy="0"/>
          </a:xfrm>
          <a:prstGeom prst="line">
            <a:avLst/>
          </a:prstGeom>
          <a:noFill/>
          <a:ln w="19050">
            <a:solidFill>
              <a:srgbClr val="000000"/>
            </a:solidFill>
            <a:round/>
            <a:headEnd/>
            <a:tailEnd/>
          </a:ln>
        </xdr:spPr>
      </xdr:sp>
      <xdr:pic>
        <xdr:nvPicPr>
          <xdr:cNvPr id="29" name="Picture 36" descr="PrinterFront">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8791" y="4430"/>
            <a:ext cx="945" cy="1080"/>
          </a:xfrm>
          <a:prstGeom prst="rect">
            <a:avLst/>
          </a:prstGeom>
          <a:noFill/>
          <a:ln w="9525">
            <a:noFill/>
            <a:miter lim="800000"/>
            <a:headEnd/>
            <a:tailEnd/>
          </a:ln>
        </xdr:spPr>
      </xdr:pic>
    </xdr:grpSp>
    <xdr:clientData/>
  </xdr:twoCellAnchor>
  <xdr:twoCellAnchor>
    <xdr:from>
      <xdr:col>20</xdr:col>
      <xdr:colOff>76200</xdr:colOff>
      <xdr:row>168</xdr:row>
      <xdr:rowOff>142875</xdr:rowOff>
    </xdr:from>
    <xdr:to>
      <xdr:col>22</xdr:col>
      <xdr:colOff>219075</xdr:colOff>
      <xdr:row>174</xdr:row>
      <xdr:rowOff>142875</xdr:rowOff>
    </xdr:to>
    <xdr:grpSp>
      <xdr:nvGrpSpPr>
        <xdr:cNvPr id="30" name="Group 37">
          <a:extLst>
            <a:ext uri="{FF2B5EF4-FFF2-40B4-BE49-F238E27FC236}">
              <a16:creationId xmlns:a16="http://schemas.microsoft.com/office/drawing/2014/main" id="{00000000-0008-0000-0200-00001E000000}"/>
            </a:ext>
          </a:extLst>
        </xdr:cNvPr>
        <xdr:cNvGrpSpPr>
          <a:grpSpLocks/>
        </xdr:cNvGrpSpPr>
      </xdr:nvGrpSpPr>
      <xdr:grpSpPr bwMode="auto">
        <a:xfrm>
          <a:off x="6915150" y="27755850"/>
          <a:ext cx="714375" cy="971550"/>
          <a:chOff x="8791" y="6192"/>
          <a:chExt cx="1124" cy="1530"/>
        </a:xfrm>
      </xdr:grpSpPr>
      <xdr:sp macro="" textlink="">
        <xdr:nvSpPr>
          <xdr:cNvPr id="31" name="Line 38">
            <a:extLst>
              <a:ext uri="{FF2B5EF4-FFF2-40B4-BE49-F238E27FC236}">
                <a16:creationId xmlns:a16="http://schemas.microsoft.com/office/drawing/2014/main" id="{00000000-0008-0000-0200-00001F000000}"/>
              </a:ext>
            </a:extLst>
          </xdr:cNvPr>
          <xdr:cNvSpPr>
            <a:spLocks noChangeShapeType="1"/>
          </xdr:cNvSpPr>
        </xdr:nvSpPr>
        <xdr:spPr bwMode="auto">
          <a:xfrm rot="5400000">
            <a:off x="9457" y="7000"/>
            <a:ext cx="915" cy="0"/>
          </a:xfrm>
          <a:prstGeom prst="line">
            <a:avLst/>
          </a:prstGeom>
          <a:noFill/>
          <a:ln w="38100">
            <a:solidFill>
              <a:srgbClr val="808080"/>
            </a:solidFill>
            <a:round/>
            <a:headEnd/>
            <a:tailEnd type="triangle" w="med" len="med"/>
          </a:ln>
        </xdr:spPr>
      </xdr:sp>
      <xdr:sp macro="" textlink="">
        <xdr:nvSpPr>
          <xdr:cNvPr id="32" name="Line 39">
            <a:extLst>
              <a:ext uri="{FF2B5EF4-FFF2-40B4-BE49-F238E27FC236}">
                <a16:creationId xmlns:a16="http://schemas.microsoft.com/office/drawing/2014/main" id="{00000000-0008-0000-0200-000020000000}"/>
              </a:ext>
            </a:extLst>
          </xdr:cNvPr>
          <xdr:cNvSpPr>
            <a:spLocks noChangeShapeType="1"/>
          </xdr:cNvSpPr>
        </xdr:nvSpPr>
        <xdr:spPr bwMode="auto">
          <a:xfrm rot="-5400000">
            <a:off x="9007" y="6957"/>
            <a:ext cx="1530" cy="0"/>
          </a:xfrm>
          <a:prstGeom prst="line">
            <a:avLst/>
          </a:prstGeom>
          <a:noFill/>
          <a:ln w="19050">
            <a:solidFill>
              <a:srgbClr val="000000"/>
            </a:solidFill>
            <a:round/>
            <a:headEnd/>
            <a:tailEnd/>
          </a:ln>
        </xdr:spPr>
      </xdr:sp>
      <xdr:pic>
        <xdr:nvPicPr>
          <xdr:cNvPr id="33" name="Picture 40" descr="PrinterFront">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8791" y="6430"/>
            <a:ext cx="945" cy="1080"/>
          </a:xfrm>
          <a:prstGeom prst="rect">
            <a:avLst/>
          </a:prstGeom>
          <a:noFill/>
          <a:ln w="9525">
            <a:noFill/>
            <a:miter lim="800000"/>
            <a:headEnd/>
            <a:tailEnd/>
          </a:ln>
        </xdr:spPr>
      </xdr:pic>
    </xdr:grpSp>
    <xdr:clientData/>
  </xdr:twoCellAnchor>
  <xdr:twoCellAnchor>
    <xdr:from>
      <xdr:col>7</xdr:col>
      <xdr:colOff>85725</xdr:colOff>
      <xdr:row>208</xdr:row>
      <xdr:rowOff>31521</xdr:rowOff>
    </xdr:from>
    <xdr:to>
      <xdr:col>19</xdr:col>
      <xdr:colOff>123825</xdr:colOff>
      <xdr:row>225</xdr:row>
      <xdr:rowOff>108490</xdr:rowOff>
    </xdr:to>
    <xdr:pic>
      <xdr:nvPicPr>
        <xdr:cNvPr id="34" name="Picture 41">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6" cstate="email">
          <a:extLst>
            <a:ext uri="{28A0092B-C50C-407E-A947-70E740481C1C}">
              <a14:useLocalDpi xmlns:a14="http://schemas.microsoft.com/office/drawing/2010/main"/>
            </a:ext>
          </a:extLst>
        </a:blip>
        <a:srcRect/>
        <a:stretch>
          <a:fillRect/>
        </a:stretch>
      </xdr:blipFill>
      <xdr:spPr bwMode="auto">
        <a:xfrm>
          <a:off x="2162175" y="32997546"/>
          <a:ext cx="3467100" cy="2829694"/>
        </a:xfrm>
        <a:prstGeom prst="rect">
          <a:avLst/>
        </a:prstGeom>
        <a:noFill/>
      </xdr:spPr>
    </xdr:pic>
    <xdr:clientData/>
  </xdr:twoCellAnchor>
  <xdr:twoCellAnchor>
    <xdr:from>
      <xdr:col>26</xdr:col>
      <xdr:colOff>590550</xdr:colOff>
      <xdr:row>3</xdr:row>
      <xdr:rowOff>0</xdr:rowOff>
    </xdr:from>
    <xdr:to>
      <xdr:col>27</xdr:col>
      <xdr:colOff>264600</xdr:colOff>
      <xdr:row>269</xdr:row>
      <xdr:rowOff>28575</xdr:rowOff>
    </xdr:to>
    <xdr:sp macro="" textlink="">
      <xdr:nvSpPr>
        <xdr:cNvPr id="35" name="Rectangle 34">
          <a:extLst>
            <a:ext uri="{FF2B5EF4-FFF2-40B4-BE49-F238E27FC236}">
              <a16:creationId xmlns:a16="http://schemas.microsoft.com/office/drawing/2014/main" id="{00000000-0008-0000-0200-000023000000}"/>
            </a:ext>
          </a:extLst>
        </xdr:cNvPr>
        <xdr:cNvSpPr/>
      </xdr:nvSpPr>
      <xdr:spPr>
        <a:xfrm>
          <a:off x="9144000" y="485775"/>
          <a:ext cx="283650" cy="397954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0</xdr:colOff>
      <xdr:row>269</xdr:row>
      <xdr:rowOff>0</xdr:rowOff>
    </xdr:from>
    <xdr:to>
      <xdr:col>27</xdr:col>
      <xdr:colOff>266550</xdr:colOff>
      <xdr:row>269</xdr:row>
      <xdr:rowOff>28575</xdr:rowOff>
    </xdr:to>
    <xdr:sp macro="" textlink="">
      <xdr:nvSpPr>
        <xdr:cNvPr id="36" name="Rectangle 35">
          <a:extLst>
            <a:ext uri="{FF2B5EF4-FFF2-40B4-BE49-F238E27FC236}">
              <a16:creationId xmlns:a16="http://schemas.microsoft.com/office/drawing/2014/main" id="{00000000-0008-0000-0200-000024000000}"/>
            </a:ext>
          </a:extLst>
        </xdr:cNvPr>
        <xdr:cNvSpPr/>
      </xdr:nvSpPr>
      <xdr:spPr>
        <a:xfrm flipH="1">
          <a:off x="609600" y="40252650"/>
          <a:ext cx="8820000" cy="2857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7</xdr:col>
      <xdr:colOff>133350</xdr:colOff>
      <xdr:row>260</xdr:row>
      <xdr:rowOff>145275</xdr:rowOff>
    </xdr:from>
    <xdr:ext cx="395814" cy="264560"/>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257550" y="42207675"/>
          <a:ext cx="39581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1100" b="1"/>
            <a:t>TT3</a:t>
          </a:r>
        </a:p>
      </xdr:txBody>
    </xdr:sp>
    <xdr:clientData/>
  </xdr:oneCellAnchor>
  <xdr:oneCellAnchor>
    <xdr:from>
      <xdr:col>18</xdr:col>
      <xdr:colOff>85725</xdr:colOff>
      <xdr:row>260</xdr:row>
      <xdr:rowOff>126225</xdr:rowOff>
    </xdr:from>
    <xdr:ext cx="802784" cy="264560"/>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6353175" y="42188625"/>
          <a:ext cx="80278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1100" b="1"/>
            <a:t>TT5 / TT10</a:t>
          </a:r>
        </a:p>
      </xdr:txBody>
    </xdr:sp>
    <xdr:clientData/>
  </xdr:oneCellAnchor>
  <xdr:twoCellAnchor editAs="oneCell">
    <xdr:from>
      <xdr:col>15</xdr:col>
      <xdr:colOff>142875</xdr:colOff>
      <xdr:row>253</xdr:row>
      <xdr:rowOff>2400</xdr:rowOff>
    </xdr:from>
    <xdr:to>
      <xdr:col>24</xdr:col>
      <xdr:colOff>66675</xdr:colOff>
      <xdr:row>261</xdr:row>
      <xdr:rowOff>2400</xdr:rowOff>
    </xdr:to>
    <xdr:pic>
      <xdr:nvPicPr>
        <xdr:cNvPr id="39" name="Picture 38" descr="TT5 &amp; TT10.bmp">
          <a:hlinkClick xmlns:r="http://schemas.openxmlformats.org/officeDocument/2006/relationships" r:id="rId7"/>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8" cstate="print"/>
        <a:stretch>
          <a:fillRect/>
        </a:stretch>
      </xdr:blipFill>
      <xdr:spPr>
        <a:xfrm>
          <a:off x="5553075" y="40931325"/>
          <a:ext cx="2495550" cy="1295400"/>
        </a:xfrm>
        <a:prstGeom prst="rect">
          <a:avLst/>
        </a:prstGeom>
      </xdr:spPr>
    </xdr:pic>
    <xdr:clientData/>
  </xdr:twoCellAnchor>
  <xdr:twoCellAnchor editAs="oneCell">
    <xdr:from>
      <xdr:col>4</xdr:col>
      <xdr:colOff>140475</xdr:colOff>
      <xdr:row>253</xdr:row>
      <xdr:rowOff>66675</xdr:rowOff>
    </xdr:from>
    <xdr:to>
      <xdr:col>11</xdr:col>
      <xdr:colOff>130950</xdr:colOff>
      <xdr:row>261</xdr:row>
      <xdr:rowOff>66675</xdr:rowOff>
    </xdr:to>
    <xdr:pic>
      <xdr:nvPicPr>
        <xdr:cNvPr id="40" name="Picture 39" descr="TT3.bmp">
          <a:hlinkClick xmlns:r="http://schemas.openxmlformats.org/officeDocument/2006/relationships" r:id="rId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10" cstate="print"/>
        <a:stretch>
          <a:fillRect/>
        </a:stretch>
      </xdr:blipFill>
      <xdr:spPr>
        <a:xfrm>
          <a:off x="2407425" y="40995600"/>
          <a:ext cx="1990725" cy="1295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561975</xdr:colOff>
      <xdr:row>2</xdr:row>
      <xdr:rowOff>0</xdr:rowOff>
    </xdr:from>
    <xdr:to>
      <xdr:col>11</xdr:col>
      <xdr:colOff>236025</xdr:colOff>
      <xdr:row>101</xdr:row>
      <xdr:rowOff>19050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8315325" y="323850"/>
          <a:ext cx="283650" cy="230695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9525</xdr:colOff>
      <xdr:row>100</xdr:row>
      <xdr:rowOff>142875</xdr:rowOff>
    </xdr:from>
    <xdr:to>
      <xdr:col>11</xdr:col>
      <xdr:colOff>221400</xdr:colOff>
      <xdr:row>101</xdr:row>
      <xdr:rowOff>28575</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flipH="1">
          <a:off x="619125" y="17592675"/>
          <a:ext cx="79176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133350</xdr:colOff>
      <xdr:row>2</xdr:row>
      <xdr:rowOff>95250</xdr:rowOff>
    </xdr:from>
    <xdr:ext cx="4465325" cy="468013"/>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742950" y="419100"/>
          <a:ext cx="4465325"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PreApplication</a:t>
          </a:r>
          <a:r>
            <a:rPr lang="en-AU" sz="2400" b="1" baseline="0"/>
            <a:t> Site Survey (</a:t>
          </a:r>
          <a:r>
            <a:rPr lang="en-AU" sz="2400" b="1"/>
            <a:t>PASS)</a:t>
          </a:r>
        </a:p>
      </xdr:txBody>
    </xdr:sp>
    <xdr:clientData/>
  </xdr:oneCellAnchor>
  <mc:AlternateContent xmlns:mc="http://schemas.openxmlformats.org/markup-compatibility/2006">
    <mc:Choice xmlns:a14="http://schemas.microsoft.com/office/drawing/2010/main" Requires="a14">
      <xdr:twoCellAnchor editAs="oneCell">
        <xdr:from>
          <xdr:col>4</xdr:col>
          <xdr:colOff>66675</xdr:colOff>
          <xdr:row>21</xdr:row>
          <xdr:rowOff>161925</xdr:rowOff>
        </xdr:from>
        <xdr:to>
          <xdr:col>5</xdr:col>
          <xdr:colOff>295275</xdr:colOff>
          <xdr:row>22</xdr:row>
          <xdr:rowOff>114300</xdr:rowOff>
        </xdr:to>
        <xdr:sp macro="" textlink="">
          <xdr:nvSpPr>
            <xdr:cNvPr id="20490" name="Check Box 10" hidden="1">
              <a:extLst>
                <a:ext uri="{63B3BB69-23CF-44E3-9099-C40C66FF867C}">
                  <a14:compatExt spid="_x0000_s20490"/>
                </a:ext>
                <a:ext uri="{FF2B5EF4-FFF2-40B4-BE49-F238E27FC236}">
                  <a16:creationId xmlns:a16="http://schemas.microsoft.com/office/drawing/2014/main" id="{00000000-0008-0000-03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Text &amp; Numbers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21</xdr:row>
          <xdr:rowOff>161925</xdr:rowOff>
        </xdr:from>
        <xdr:to>
          <xdr:col>7</xdr:col>
          <xdr:colOff>381000</xdr:colOff>
          <xdr:row>22</xdr:row>
          <xdr:rowOff>114300</xdr:rowOff>
        </xdr:to>
        <xdr:sp macro="" textlink="">
          <xdr:nvSpPr>
            <xdr:cNvPr id="20491" name="Check Box 11" hidden="1">
              <a:extLst>
                <a:ext uri="{63B3BB69-23CF-44E3-9099-C40C66FF867C}">
                  <a14:compatExt spid="_x0000_s20491"/>
                </a:ext>
                <a:ext uri="{FF2B5EF4-FFF2-40B4-BE49-F238E27FC236}">
                  <a16:creationId xmlns:a16="http://schemas.microsoft.com/office/drawing/2014/main" id="{00000000-0008-0000-0300-00000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Logos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22</xdr:row>
          <xdr:rowOff>190500</xdr:rowOff>
        </xdr:from>
        <xdr:to>
          <xdr:col>5</xdr:col>
          <xdr:colOff>295275</xdr:colOff>
          <xdr:row>23</xdr:row>
          <xdr:rowOff>142875</xdr:rowOff>
        </xdr:to>
        <xdr:sp macro="" textlink="">
          <xdr:nvSpPr>
            <xdr:cNvPr id="20492" name="Check Box 12" hidden="1">
              <a:extLst>
                <a:ext uri="{63B3BB69-23CF-44E3-9099-C40C66FF867C}">
                  <a14:compatExt spid="_x0000_s20492"/>
                </a:ext>
                <a:ext uri="{FF2B5EF4-FFF2-40B4-BE49-F238E27FC236}">
                  <a16:creationId xmlns:a16="http://schemas.microsoft.com/office/drawing/2014/main" id="{00000000-0008-0000-0300-00000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Barcodes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22</xdr:row>
          <xdr:rowOff>180975</xdr:rowOff>
        </xdr:from>
        <xdr:to>
          <xdr:col>7</xdr:col>
          <xdr:colOff>381000</xdr:colOff>
          <xdr:row>23</xdr:row>
          <xdr:rowOff>133350</xdr:rowOff>
        </xdr:to>
        <xdr:sp macro="" textlink="">
          <xdr:nvSpPr>
            <xdr:cNvPr id="20493" name="Check Box 13" hidden="1">
              <a:extLst>
                <a:ext uri="{63B3BB69-23CF-44E3-9099-C40C66FF867C}">
                  <a14:compatExt spid="_x0000_s20493"/>
                </a:ext>
                <a:ext uri="{FF2B5EF4-FFF2-40B4-BE49-F238E27FC236}">
                  <a16:creationId xmlns:a16="http://schemas.microsoft.com/office/drawing/2014/main" id="{00000000-0008-0000-03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Other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52</xdr:row>
          <xdr:rowOff>114300</xdr:rowOff>
        </xdr:from>
        <xdr:to>
          <xdr:col>5</xdr:col>
          <xdr:colOff>295275</xdr:colOff>
          <xdr:row>53</xdr:row>
          <xdr:rowOff>66675</xdr:rowOff>
        </xdr:to>
        <xdr:sp macro="" textlink="">
          <xdr:nvSpPr>
            <xdr:cNvPr id="20494" name="Check Box 14" hidden="1">
              <a:extLst>
                <a:ext uri="{63B3BB69-23CF-44E3-9099-C40C66FF867C}">
                  <a14:compatExt spid="_x0000_s20494"/>
                </a:ext>
                <a:ext uri="{FF2B5EF4-FFF2-40B4-BE49-F238E27FC236}">
                  <a16:creationId xmlns:a16="http://schemas.microsoft.com/office/drawing/2014/main" id="{00000000-0008-0000-03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Washdown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504825</xdr:colOff>
          <xdr:row>52</xdr:row>
          <xdr:rowOff>114300</xdr:rowOff>
        </xdr:from>
        <xdr:to>
          <xdr:col>7</xdr:col>
          <xdr:colOff>123825</xdr:colOff>
          <xdr:row>53</xdr:row>
          <xdr:rowOff>66675</xdr:rowOff>
        </xdr:to>
        <xdr:sp macro="" textlink="">
          <xdr:nvSpPr>
            <xdr:cNvPr id="20495" name="Check Box 15" hidden="1">
              <a:extLst>
                <a:ext uri="{63B3BB69-23CF-44E3-9099-C40C66FF867C}">
                  <a14:compatExt spid="_x0000_s20495"/>
                </a:ext>
                <a:ext uri="{FF2B5EF4-FFF2-40B4-BE49-F238E27FC236}">
                  <a16:creationId xmlns:a16="http://schemas.microsoft.com/office/drawing/2014/main" id="{00000000-0008-0000-0300-00000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Humidity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504825</xdr:colOff>
          <xdr:row>53</xdr:row>
          <xdr:rowOff>190500</xdr:rowOff>
        </xdr:from>
        <xdr:to>
          <xdr:col>8</xdr:col>
          <xdr:colOff>228600</xdr:colOff>
          <xdr:row>54</xdr:row>
          <xdr:rowOff>142875</xdr:rowOff>
        </xdr:to>
        <xdr:sp macro="" textlink="">
          <xdr:nvSpPr>
            <xdr:cNvPr id="20496" name="Check Box 16" hidden="1">
              <a:extLst>
                <a:ext uri="{63B3BB69-23CF-44E3-9099-C40C66FF867C}">
                  <a14:compatExt spid="_x0000_s20496"/>
                </a:ext>
                <a:ext uri="{FF2B5EF4-FFF2-40B4-BE49-F238E27FC236}">
                  <a16:creationId xmlns:a16="http://schemas.microsoft.com/office/drawing/2014/main" id="{00000000-0008-0000-03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Damp / Condensing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63</xdr:row>
          <xdr:rowOff>47625</xdr:rowOff>
        </xdr:from>
        <xdr:to>
          <xdr:col>5</xdr:col>
          <xdr:colOff>304800</xdr:colOff>
          <xdr:row>64</xdr:row>
          <xdr:rowOff>0</xdr:rowOff>
        </xdr:to>
        <xdr:sp macro="" textlink="">
          <xdr:nvSpPr>
            <xdr:cNvPr id="20497" name="Check Box 17" hidden="1">
              <a:extLst>
                <a:ext uri="{63B3BB69-23CF-44E3-9099-C40C66FF867C}">
                  <a14:compatExt spid="_x0000_s20497"/>
                </a:ext>
                <a:ext uri="{FF2B5EF4-FFF2-40B4-BE49-F238E27FC236}">
                  <a16:creationId xmlns:a16="http://schemas.microsoft.com/office/drawing/2014/main" id="{00000000-0008-0000-0300-00001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Separate Trigger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63</xdr:row>
          <xdr:rowOff>38100</xdr:rowOff>
        </xdr:from>
        <xdr:to>
          <xdr:col>7</xdr:col>
          <xdr:colOff>257175</xdr:colOff>
          <xdr:row>63</xdr:row>
          <xdr:rowOff>247650</xdr:rowOff>
        </xdr:to>
        <xdr:sp macro="" textlink="">
          <xdr:nvSpPr>
            <xdr:cNvPr id="20498" name="Check Box 18" hidden="1">
              <a:extLst>
                <a:ext uri="{63B3BB69-23CF-44E3-9099-C40C66FF867C}">
                  <a14:compatExt spid="_x0000_s20498"/>
                </a:ext>
                <a:ext uri="{FF2B5EF4-FFF2-40B4-BE49-F238E27FC236}">
                  <a16:creationId xmlns:a16="http://schemas.microsoft.com/office/drawing/2014/main" id="{00000000-0008-0000-0300-00001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PLC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62</xdr:row>
          <xdr:rowOff>47625</xdr:rowOff>
        </xdr:from>
        <xdr:to>
          <xdr:col>5</xdr:col>
          <xdr:colOff>304800</xdr:colOff>
          <xdr:row>63</xdr:row>
          <xdr:rowOff>0</xdr:rowOff>
        </xdr:to>
        <xdr:sp macro="" textlink="">
          <xdr:nvSpPr>
            <xdr:cNvPr id="20499" name="Check Box 19" hidden="1">
              <a:extLst>
                <a:ext uri="{63B3BB69-23CF-44E3-9099-C40C66FF867C}">
                  <a14:compatExt spid="_x0000_s20499"/>
                </a:ext>
                <a:ext uri="{FF2B5EF4-FFF2-40B4-BE49-F238E27FC236}">
                  <a16:creationId xmlns:a16="http://schemas.microsoft.com/office/drawing/2014/main" id="{00000000-0008-0000-0300-00001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iDSnet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62</xdr:row>
          <xdr:rowOff>38100</xdr:rowOff>
        </xdr:from>
        <xdr:to>
          <xdr:col>7</xdr:col>
          <xdr:colOff>257175</xdr:colOff>
          <xdr:row>62</xdr:row>
          <xdr:rowOff>247650</xdr:rowOff>
        </xdr:to>
        <xdr:sp macro="" textlink="">
          <xdr:nvSpPr>
            <xdr:cNvPr id="20500" name="Check Box 20" hidden="1">
              <a:extLst>
                <a:ext uri="{63B3BB69-23CF-44E3-9099-C40C66FF867C}">
                  <a14:compatExt spid="_x0000_s20500"/>
                </a:ext>
                <a:ext uri="{FF2B5EF4-FFF2-40B4-BE49-F238E27FC236}">
                  <a16:creationId xmlns:a16="http://schemas.microsoft.com/office/drawing/2014/main" id="{00000000-0008-0000-0300-00001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PLC</a:t>
              </a:r>
            </a:p>
          </xdr:txBody>
        </xdr:sp>
        <xdr:clientData/>
      </xdr:twoCellAnchor>
    </mc:Choice>
    <mc:Fallback/>
  </mc:AlternateContent>
  <xdr:twoCellAnchor>
    <xdr:from>
      <xdr:col>4</xdr:col>
      <xdr:colOff>266700</xdr:colOff>
      <xdr:row>30</xdr:row>
      <xdr:rowOff>28575</xdr:rowOff>
    </xdr:from>
    <xdr:to>
      <xdr:col>5</xdr:col>
      <xdr:colOff>285750</xdr:colOff>
      <xdr:row>31</xdr:row>
      <xdr:rowOff>142875</xdr:rowOff>
    </xdr:to>
    <xdr:sp macro="" textlink="">
      <xdr:nvSpPr>
        <xdr:cNvPr id="26" name="Rectangle 25">
          <a:extLst>
            <a:ext uri="{FF2B5EF4-FFF2-40B4-BE49-F238E27FC236}">
              <a16:creationId xmlns:a16="http://schemas.microsoft.com/office/drawing/2014/main" id="{00000000-0008-0000-0300-00001A000000}"/>
            </a:ext>
          </a:extLst>
        </xdr:cNvPr>
        <xdr:cNvSpPr/>
      </xdr:nvSpPr>
      <xdr:spPr>
        <a:xfrm>
          <a:off x="4314825" y="5019675"/>
          <a:ext cx="628650" cy="371475"/>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AU" sz="1100"/>
        </a:p>
      </xdr:txBody>
    </xdr:sp>
    <xdr:clientData/>
  </xdr:twoCellAnchor>
  <xdr:twoCellAnchor>
    <xdr:from>
      <xdr:col>6</xdr:col>
      <xdr:colOff>47625</xdr:colOff>
      <xdr:row>30</xdr:row>
      <xdr:rowOff>19050</xdr:rowOff>
    </xdr:from>
    <xdr:to>
      <xdr:col>7</xdr:col>
      <xdr:colOff>66675</xdr:colOff>
      <xdr:row>31</xdr:row>
      <xdr:rowOff>133350</xdr:rowOff>
    </xdr:to>
    <xdr:sp macro="" textlink="">
      <xdr:nvSpPr>
        <xdr:cNvPr id="27" name="Rectangle 26">
          <a:extLst>
            <a:ext uri="{FF2B5EF4-FFF2-40B4-BE49-F238E27FC236}">
              <a16:creationId xmlns:a16="http://schemas.microsoft.com/office/drawing/2014/main" id="{00000000-0008-0000-0300-00001B000000}"/>
            </a:ext>
          </a:extLst>
        </xdr:cNvPr>
        <xdr:cNvSpPr/>
      </xdr:nvSpPr>
      <xdr:spPr>
        <a:xfrm>
          <a:off x="5314950" y="5010150"/>
          <a:ext cx="628650" cy="371475"/>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editAs="oneCell">
        <xdr:from>
          <xdr:col>3</xdr:col>
          <xdr:colOff>333375</xdr:colOff>
          <xdr:row>9</xdr:row>
          <xdr:rowOff>76200</xdr:rowOff>
        </xdr:from>
        <xdr:to>
          <xdr:col>9</xdr:col>
          <xdr:colOff>561975</xdr:colOff>
          <xdr:row>15</xdr:row>
          <xdr:rowOff>228600</xdr:rowOff>
        </xdr:to>
        <xdr:sp macro="" textlink="">
          <xdr:nvSpPr>
            <xdr:cNvPr id="20501" name="Group Box 21" hidden="1">
              <a:extLst>
                <a:ext uri="{63B3BB69-23CF-44E3-9099-C40C66FF867C}">
                  <a14:compatExt spid="_x0000_s20501"/>
                </a:ext>
                <a:ext uri="{FF2B5EF4-FFF2-40B4-BE49-F238E27FC236}">
                  <a16:creationId xmlns:a16="http://schemas.microsoft.com/office/drawing/2014/main" id="{00000000-0008-0000-0300-000015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590550</xdr:colOff>
          <xdr:row>31</xdr:row>
          <xdr:rowOff>209550</xdr:rowOff>
        </xdr:from>
        <xdr:to>
          <xdr:col>7</xdr:col>
          <xdr:colOff>371475</xdr:colOff>
          <xdr:row>32</xdr:row>
          <xdr:rowOff>161925</xdr:rowOff>
        </xdr:to>
        <xdr:sp macro="" textlink="">
          <xdr:nvSpPr>
            <xdr:cNvPr id="20502" name="Option Button 22" hidden="1">
              <a:extLst>
                <a:ext uri="{63B3BB69-23CF-44E3-9099-C40C66FF867C}">
                  <a14:compatExt spid="_x0000_s20502"/>
                </a:ext>
                <a:ext uri="{FF2B5EF4-FFF2-40B4-BE49-F238E27FC236}">
                  <a16:creationId xmlns:a16="http://schemas.microsoft.com/office/drawing/2014/main" id="{00000000-0008-0000-0300-00001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Downwards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31</xdr:row>
          <xdr:rowOff>209550</xdr:rowOff>
        </xdr:from>
        <xdr:to>
          <xdr:col>5</xdr:col>
          <xdr:colOff>304800</xdr:colOff>
          <xdr:row>32</xdr:row>
          <xdr:rowOff>161925</xdr:rowOff>
        </xdr:to>
        <xdr:sp macro="" textlink="">
          <xdr:nvSpPr>
            <xdr:cNvPr id="20503" name="Option Button 23" hidden="1">
              <a:extLst>
                <a:ext uri="{63B3BB69-23CF-44E3-9099-C40C66FF867C}">
                  <a14:compatExt spid="_x0000_s20503"/>
                </a:ext>
                <a:ext uri="{FF2B5EF4-FFF2-40B4-BE49-F238E27FC236}">
                  <a16:creationId xmlns:a16="http://schemas.microsoft.com/office/drawing/2014/main" id="{00000000-0008-0000-0300-00001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Side</a:t>
              </a:r>
            </a:p>
          </xdr:txBody>
        </xdr:sp>
        <xdr:clientData/>
      </xdr:twoCellAnchor>
    </mc:Choice>
    <mc:Fallback/>
  </mc:AlternateContent>
  <xdr:twoCellAnchor>
    <xdr:from>
      <xdr:col>4</xdr:col>
      <xdr:colOff>28575</xdr:colOff>
      <xdr:row>30</xdr:row>
      <xdr:rowOff>219075</xdr:rowOff>
    </xdr:from>
    <xdr:to>
      <xdr:col>4</xdr:col>
      <xdr:colOff>419100</xdr:colOff>
      <xdr:row>30</xdr:row>
      <xdr:rowOff>219075</xdr:rowOff>
    </xdr:to>
    <xdr:cxnSp macro="">
      <xdr:nvCxnSpPr>
        <xdr:cNvPr id="31" name="Straight Arrow Connector 30">
          <a:extLst>
            <a:ext uri="{FF2B5EF4-FFF2-40B4-BE49-F238E27FC236}">
              <a16:creationId xmlns:a16="http://schemas.microsoft.com/office/drawing/2014/main" id="{00000000-0008-0000-0300-00001F000000}"/>
            </a:ext>
          </a:extLst>
        </xdr:cNvPr>
        <xdr:cNvCxnSpPr/>
      </xdr:nvCxnSpPr>
      <xdr:spPr>
        <a:xfrm>
          <a:off x="4076700" y="5210175"/>
          <a:ext cx="390525" cy="0"/>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6</xdr:col>
      <xdr:colOff>361950</xdr:colOff>
      <xdr:row>29</xdr:row>
      <xdr:rowOff>38100</xdr:rowOff>
    </xdr:from>
    <xdr:to>
      <xdr:col>6</xdr:col>
      <xdr:colOff>361950</xdr:colOff>
      <xdr:row>30</xdr:row>
      <xdr:rowOff>171450</xdr:rowOff>
    </xdr:to>
    <xdr:cxnSp macro="">
      <xdr:nvCxnSpPr>
        <xdr:cNvPr id="32" name="Straight Arrow Connector 31">
          <a:extLst>
            <a:ext uri="{FF2B5EF4-FFF2-40B4-BE49-F238E27FC236}">
              <a16:creationId xmlns:a16="http://schemas.microsoft.com/office/drawing/2014/main" id="{00000000-0008-0000-0300-000020000000}"/>
            </a:ext>
          </a:extLst>
        </xdr:cNvPr>
        <xdr:cNvCxnSpPr/>
      </xdr:nvCxnSpPr>
      <xdr:spPr>
        <a:xfrm>
          <a:off x="5629275" y="4772025"/>
          <a:ext cx="0" cy="390525"/>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514349</xdr:colOff>
      <xdr:row>29</xdr:row>
      <xdr:rowOff>142874</xdr:rowOff>
    </xdr:from>
    <xdr:to>
      <xdr:col>8</xdr:col>
      <xdr:colOff>533399</xdr:colOff>
      <xdr:row>30</xdr:row>
      <xdr:rowOff>257174</xdr:rowOff>
    </xdr:to>
    <xdr:sp macro="" textlink="">
      <xdr:nvSpPr>
        <xdr:cNvPr id="33" name="Rectangle 32">
          <a:extLst>
            <a:ext uri="{FF2B5EF4-FFF2-40B4-BE49-F238E27FC236}">
              <a16:creationId xmlns:a16="http://schemas.microsoft.com/office/drawing/2014/main" id="{00000000-0008-0000-0300-000021000000}"/>
            </a:ext>
          </a:extLst>
        </xdr:cNvPr>
        <xdr:cNvSpPr/>
      </xdr:nvSpPr>
      <xdr:spPr>
        <a:xfrm rot="19676307">
          <a:off x="6391274" y="4876799"/>
          <a:ext cx="628650" cy="371475"/>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AU" sz="1100"/>
        </a:p>
      </xdr:txBody>
    </xdr:sp>
    <xdr:clientData/>
  </xdr:twoCellAnchor>
  <xdr:twoCellAnchor>
    <xdr:from>
      <xdr:col>8</xdr:col>
      <xdr:colOff>200024</xdr:colOff>
      <xdr:row>30</xdr:row>
      <xdr:rowOff>103651</xdr:rowOff>
    </xdr:from>
    <xdr:to>
      <xdr:col>9</xdr:col>
      <xdr:colOff>86930</xdr:colOff>
      <xdr:row>30</xdr:row>
      <xdr:rowOff>104774</xdr:rowOff>
    </xdr:to>
    <xdr:cxnSp macro="">
      <xdr:nvCxnSpPr>
        <xdr:cNvPr id="34" name="Straight Arrow Connector 33">
          <a:extLst>
            <a:ext uri="{FF2B5EF4-FFF2-40B4-BE49-F238E27FC236}">
              <a16:creationId xmlns:a16="http://schemas.microsoft.com/office/drawing/2014/main" id="{00000000-0008-0000-0300-000022000000}"/>
            </a:ext>
          </a:extLst>
        </xdr:cNvPr>
        <xdr:cNvCxnSpPr/>
      </xdr:nvCxnSpPr>
      <xdr:spPr>
        <a:xfrm flipH="1">
          <a:off x="6686549" y="5094751"/>
          <a:ext cx="496506" cy="1123"/>
        </a:xfrm>
        <a:prstGeom prst="straightConnector1">
          <a:avLst/>
        </a:prstGeom>
        <a:ln>
          <a:tailEnd type="arrow"/>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7</xdr:col>
          <xdr:colOff>514350</xdr:colOff>
          <xdr:row>31</xdr:row>
          <xdr:rowOff>190500</xdr:rowOff>
        </xdr:from>
        <xdr:to>
          <xdr:col>9</xdr:col>
          <xdr:colOff>247650</xdr:colOff>
          <xdr:row>32</xdr:row>
          <xdr:rowOff>142875</xdr:rowOff>
        </xdr:to>
        <xdr:sp macro="" textlink="">
          <xdr:nvSpPr>
            <xdr:cNvPr id="20504" name="Option Button 24" hidden="1">
              <a:extLst>
                <a:ext uri="{63B3BB69-23CF-44E3-9099-C40C66FF867C}">
                  <a14:compatExt spid="_x0000_s20504"/>
                </a:ext>
                <a:ext uri="{FF2B5EF4-FFF2-40B4-BE49-F238E27FC236}">
                  <a16:creationId xmlns:a16="http://schemas.microsoft.com/office/drawing/2014/main" id="{00000000-0008-0000-0300-00001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Incline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53</xdr:row>
          <xdr:rowOff>190500</xdr:rowOff>
        </xdr:from>
        <xdr:to>
          <xdr:col>5</xdr:col>
          <xdr:colOff>295275</xdr:colOff>
          <xdr:row>54</xdr:row>
          <xdr:rowOff>142875</xdr:rowOff>
        </xdr:to>
        <xdr:sp macro="" textlink="">
          <xdr:nvSpPr>
            <xdr:cNvPr id="20506" name="Check Box 26" hidden="1">
              <a:extLst>
                <a:ext uri="{63B3BB69-23CF-44E3-9099-C40C66FF867C}">
                  <a14:compatExt spid="_x0000_s20506"/>
                </a:ext>
                <a:ext uri="{FF2B5EF4-FFF2-40B4-BE49-F238E27FC236}">
                  <a16:creationId xmlns:a16="http://schemas.microsoft.com/office/drawing/2014/main" id="{00000000-0008-0000-0300-00001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Dusty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9</xdr:row>
          <xdr:rowOff>142875</xdr:rowOff>
        </xdr:from>
        <xdr:to>
          <xdr:col>9</xdr:col>
          <xdr:colOff>285750</xdr:colOff>
          <xdr:row>10</xdr:row>
          <xdr:rowOff>142875</xdr:rowOff>
        </xdr:to>
        <xdr:sp macro="" textlink="">
          <xdr:nvSpPr>
            <xdr:cNvPr id="20510" name="Option Button 30" hidden="1">
              <a:extLst>
                <a:ext uri="{63B3BB69-23CF-44E3-9099-C40C66FF867C}">
                  <a14:compatExt spid="_x0000_s20510"/>
                </a:ext>
                <a:ext uri="{FF2B5EF4-FFF2-40B4-BE49-F238E27FC236}">
                  <a16:creationId xmlns:a16="http://schemas.microsoft.com/office/drawing/2014/main" id="{00000000-0008-0000-0300-00001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Timber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10</xdr:row>
          <xdr:rowOff>104775</xdr:rowOff>
        </xdr:from>
        <xdr:to>
          <xdr:col>9</xdr:col>
          <xdr:colOff>285750</xdr:colOff>
          <xdr:row>11</xdr:row>
          <xdr:rowOff>104775</xdr:rowOff>
        </xdr:to>
        <xdr:sp macro="" textlink="">
          <xdr:nvSpPr>
            <xdr:cNvPr id="20512" name="Option Button 32" hidden="1">
              <a:extLst>
                <a:ext uri="{63B3BB69-23CF-44E3-9099-C40C66FF867C}">
                  <a14:compatExt spid="_x0000_s20512"/>
                </a:ext>
                <a:ext uri="{FF2B5EF4-FFF2-40B4-BE49-F238E27FC236}">
                  <a16:creationId xmlns:a16="http://schemas.microsoft.com/office/drawing/2014/main" id="{00000000-0008-0000-0300-00002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Paper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12</xdr:row>
          <xdr:rowOff>38100</xdr:rowOff>
        </xdr:from>
        <xdr:to>
          <xdr:col>5</xdr:col>
          <xdr:colOff>381000</xdr:colOff>
          <xdr:row>13</xdr:row>
          <xdr:rowOff>38100</xdr:rowOff>
        </xdr:to>
        <xdr:sp macro="" textlink="">
          <xdr:nvSpPr>
            <xdr:cNvPr id="20514" name="Option Button 34" hidden="1">
              <a:extLst>
                <a:ext uri="{63B3BB69-23CF-44E3-9099-C40C66FF867C}">
                  <a14:compatExt spid="_x0000_s20514"/>
                </a:ext>
                <a:ext uri="{FF2B5EF4-FFF2-40B4-BE49-F238E27FC236}">
                  <a16:creationId xmlns:a16="http://schemas.microsoft.com/office/drawing/2014/main" id="{00000000-0008-0000-0300-00002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Metal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13</xdr:row>
          <xdr:rowOff>0</xdr:rowOff>
        </xdr:from>
        <xdr:to>
          <xdr:col>7</xdr:col>
          <xdr:colOff>381000</xdr:colOff>
          <xdr:row>14</xdr:row>
          <xdr:rowOff>0</xdr:rowOff>
        </xdr:to>
        <xdr:sp macro="" textlink="">
          <xdr:nvSpPr>
            <xdr:cNvPr id="20515" name="Option Button 35" hidden="1">
              <a:extLst>
                <a:ext uri="{63B3BB69-23CF-44E3-9099-C40C66FF867C}">
                  <a14:compatExt spid="_x0000_s20515"/>
                </a:ext>
                <a:ext uri="{FF2B5EF4-FFF2-40B4-BE49-F238E27FC236}">
                  <a16:creationId xmlns:a16="http://schemas.microsoft.com/office/drawing/2014/main" id="{00000000-0008-0000-0300-00002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Mixture / Other, please specify below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28</xdr:row>
          <xdr:rowOff>219075</xdr:rowOff>
        </xdr:from>
        <xdr:to>
          <xdr:col>9</xdr:col>
          <xdr:colOff>581025</xdr:colOff>
          <xdr:row>32</xdr:row>
          <xdr:rowOff>209550</xdr:rowOff>
        </xdr:to>
        <xdr:sp macro="" textlink="">
          <xdr:nvSpPr>
            <xdr:cNvPr id="20525" name="Group Box 45" hidden="1">
              <a:extLst>
                <a:ext uri="{63B3BB69-23CF-44E3-9099-C40C66FF867C}">
                  <a14:compatExt spid="_x0000_s20525"/>
                </a:ext>
                <a:ext uri="{FF2B5EF4-FFF2-40B4-BE49-F238E27FC236}">
                  <a16:creationId xmlns:a16="http://schemas.microsoft.com/office/drawing/2014/main" id="{00000000-0008-0000-0300-00002D5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9</xdr:row>
          <xdr:rowOff>142875</xdr:rowOff>
        </xdr:from>
        <xdr:to>
          <xdr:col>5</xdr:col>
          <xdr:colOff>381000</xdr:colOff>
          <xdr:row>10</xdr:row>
          <xdr:rowOff>142875</xdr:rowOff>
        </xdr:to>
        <xdr:sp macro="" textlink="">
          <xdr:nvSpPr>
            <xdr:cNvPr id="20535" name="Option Button 55" hidden="1">
              <a:extLst>
                <a:ext uri="{63B3BB69-23CF-44E3-9099-C40C66FF867C}">
                  <a14:compatExt spid="_x0000_s20535"/>
                </a:ext>
                <a:ext uri="{FF2B5EF4-FFF2-40B4-BE49-F238E27FC236}">
                  <a16:creationId xmlns:a16="http://schemas.microsoft.com/office/drawing/2014/main" id="{00000000-0008-0000-0300-00003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Glass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11</xdr:row>
          <xdr:rowOff>66675</xdr:rowOff>
        </xdr:from>
        <xdr:to>
          <xdr:col>5</xdr:col>
          <xdr:colOff>381000</xdr:colOff>
          <xdr:row>12</xdr:row>
          <xdr:rowOff>66675</xdr:rowOff>
        </xdr:to>
        <xdr:sp macro="" textlink="">
          <xdr:nvSpPr>
            <xdr:cNvPr id="20537" name="Option Button 57" hidden="1">
              <a:extLst>
                <a:ext uri="{63B3BB69-23CF-44E3-9099-C40C66FF867C}">
                  <a14:compatExt spid="_x0000_s20537"/>
                </a:ext>
                <a:ext uri="{FF2B5EF4-FFF2-40B4-BE49-F238E27FC236}">
                  <a16:creationId xmlns:a16="http://schemas.microsoft.com/office/drawing/2014/main" id="{00000000-0008-0000-0300-00003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Flexible Plastic (Film)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11</xdr:row>
          <xdr:rowOff>85725</xdr:rowOff>
        </xdr:from>
        <xdr:to>
          <xdr:col>9</xdr:col>
          <xdr:colOff>285750</xdr:colOff>
          <xdr:row>12</xdr:row>
          <xdr:rowOff>85725</xdr:rowOff>
        </xdr:to>
        <xdr:sp macro="" textlink="">
          <xdr:nvSpPr>
            <xdr:cNvPr id="20538" name="Option Button 58" hidden="1">
              <a:extLst>
                <a:ext uri="{63B3BB69-23CF-44E3-9099-C40C66FF867C}">
                  <a14:compatExt spid="_x0000_s20538"/>
                </a:ext>
                <a:ext uri="{FF2B5EF4-FFF2-40B4-BE49-F238E27FC236}">
                  <a16:creationId xmlns:a16="http://schemas.microsoft.com/office/drawing/2014/main" id="{00000000-0008-0000-0300-00003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Fabric / Carpet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523875</xdr:colOff>
          <xdr:row>10</xdr:row>
          <xdr:rowOff>104775</xdr:rowOff>
        </xdr:from>
        <xdr:to>
          <xdr:col>5</xdr:col>
          <xdr:colOff>381000</xdr:colOff>
          <xdr:row>11</xdr:row>
          <xdr:rowOff>104775</xdr:rowOff>
        </xdr:to>
        <xdr:sp macro="" textlink="">
          <xdr:nvSpPr>
            <xdr:cNvPr id="20540" name="Option Button 60" hidden="1">
              <a:extLst>
                <a:ext uri="{63B3BB69-23CF-44E3-9099-C40C66FF867C}">
                  <a14:compatExt spid="_x0000_s20540"/>
                </a:ext>
                <a:ext uri="{FF2B5EF4-FFF2-40B4-BE49-F238E27FC236}">
                  <a16:creationId xmlns:a16="http://schemas.microsoft.com/office/drawing/2014/main" id="{00000000-0008-0000-0300-00003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Plastic (Solid)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55</xdr:row>
          <xdr:rowOff>104775</xdr:rowOff>
        </xdr:from>
        <xdr:to>
          <xdr:col>7</xdr:col>
          <xdr:colOff>38100</xdr:colOff>
          <xdr:row>56</xdr:row>
          <xdr:rowOff>114300</xdr:rowOff>
        </xdr:to>
        <xdr:sp macro="" textlink="">
          <xdr:nvSpPr>
            <xdr:cNvPr id="20542" name="Check Box 62" hidden="1">
              <a:extLst>
                <a:ext uri="{63B3BB69-23CF-44E3-9099-C40C66FF867C}">
                  <a14:compatExt spid="_x0000_s20542"/>
                </a:ext>
                <a:ext uri="{FF2B5EF4-FFF2-40B4-BE49-F238E27FC236}">
                  <a16:creationId xmlns:a16="http://schemas.microsoft.com/office/drawing/2014/main" id="{00000000-0008-0000-0300-00003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Wet of moisture on substrate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56</xdr:row>
          <xdr:rowOff>142875</xdr:rowOff>
        </xdr:from>
        <xdr:to>
          <xdr:col>8</xdr:col>
          <xdr:colOff>361950</xdr:colOff>
          <xdr:row>57</xdr:row>
          <xdr:rowOff>123825</xdr:rowOff>
        </xdr:to>
        <xdr:sp macro="" textlink="">
          <xdr:nvSpPr>
            <xdr:cNvPr id="20543" name="Check Box 63" hidden="1">
              <a:extLst>
                <a:ext uri="{63B3BB69-23CF-44E3-9099-C40C66FF867C}">
                  <a14:compatExt spid="_x0000_s20543"/>
                </a:ext>
                <a:ext uri="{FF2B5EF4-FFF2-40B4-BE49-F238E27FC236}">
                  <a16:creationId xmlns:a16="http://schemas.microsoft.com/office/drawing/2014/main" id="{00000000-0008-0000-0300-00003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Pre / Post Wash process using chemicals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57</xdr:row>
          <xdr:rowOff>171450</xdr:rowOff>
        </xdr:from>
        <xdr:to>
          <xdr:col>8</xdr:col>
          <xdr:colOff>361950</xdr:colOff>
          <xdr:row>58</xdr:row>
          <xdr:rowOff>152400</xdr:rowOff>
        </xdr:to>
        <xdr:sp macro="" textlink="">
          <xdr:nvSpPr>
            <xdr:cNvPr id="20544" name="Check Box 64" hidden="1">
              <a:extLst>
                <a:ext uri="{63B3BB69-23CF-44E3-9099-C40C66FF867C}">
                  <a14:compatExt spid="_x0000_s20544"/>
                </a:ext>
                <a:ext uri="{FF2B5EF4-FFF2-40B4-BE49-F238E27FC236}">
                  <a16:creationId xmlns:a16="http://schemas.microsoft.com/office/drawing/2014/main" id="{00000000-0008-0000-0300-00004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Packaging is frozen or heated after printing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21</xdr:row>
          <xdr:rowOff>152400</xdr:rowOff>
        </xdr:from>
        <xdr:to>
          <xdr:col>9</xdr:col>
          <xdr:colOff>133350</xdr:colOff>
          <xdr:row>22</xdr:row>
          <xdr:rowOff>104775</xdr:rowOff>
        </xdr:to>
        <xdr:sp macro="" textlink="">
          <xdr:nvSpPr>
            <xdr:cNvPr id="20545" name="Check Box 65" hidden="1">
              <a:extLst>
                <a:ext uri="{63B3BB69-23CF-44E3-9099-C40C66FF867C}">
                  <a14:compatExt spid="_x0000_s20545"/>
                </a:ext>
                <a:ext uri="{FF2B5EF4-FFF2-40B4-BE49-F238E27FC236}">
                  <a16:creationId xmlns:a16="http://schemas.microsoft.com/office/drawing/2014/main" id="{00000000-0008-0000-0300-00004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Metre Marking</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10</xdr:col>
      <xdr:colOff>561975</xdr:colOff>
      <xdr:row>2</xdr:row>
      <xdr:rowOff>0</xdr:rowOff>
    </xdr:from>
    <xdr:to>
      <xdr:col>11</xdr:col>
      <xdr:colOff>236025</xdr:colOff>
      <xdr:row>41</xdr:row>
      <xdr:rowOff>19050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7658100" y="647700"/>
          <a:ext cx="283650" cy="524827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9525</xdr:colOff>
      <xdr:row>40</xdr:row>
      <xdr:rowOff>142875</xdr:rowOff>
    </xdr:from>
    <xdr:to>
      <xdr:col>11</xdr:col>
      <xdr:colOff>221400</xdr:colOff>
      <xdr:row>41</xdr:row>
      <xdr:rowOff>28575</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flipH="1">
          <a:off x="619125" y="5857875"/>
          <a:ext cx="73080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133350</xdr:colOff>
      <xdr:row>2</xdr:row>
      <xdr:rowOff>95250</xdr:rowOff>
    </xdr:from>
    <xdr:ext cx="4351576" cy="468013"/>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742950" y="742950"/>
          <a:ext cx="435157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Special Price Authorisation</a:t>
          </a:r>
          <a:r>
            <a:rPr lang="en-AU" sz="2400" b="1" baseline="0"/>
            <a:t> Form</a:t>
          </a:r>
          <a:endParaRPr lang="en-AU" sz="2400" b="1"/>
        </a:p>
      </xdr:txBody>
    </xdr:sp>
    <xdr:clientData/>
  </xdr:oneCellAnchor>
  <xdr:twoCellAnchor>
    <xdr:from>
      <xdr:col>13</xdr:col>
      <xdr:colOff>2190750</xdr:colOff>
      <xdr:row>5</xdr:row>
      <xdr:rowOff>152400</xdr:rowOff>
    </xdr:from>
    <xdr:to>
      <xdr:col>14</xdr:col>
      <xdr:colOff>245550</xdr:colOff>
      <xdr:row>26</xdr:row>
      <xdr:rowOff>9525</xdr:rowOff>
    </xdr:to>
    <xdr:sp macro="" textlink="">
      <xdr:nvSpPr>
        <xdr:cNvPr id="5" name="Rectangle 4">
          <a:extLst>
            <a:ext uri="{FF2B5EF4-FFF2-40B4-BE49-F238E27FC236}">
              <a16:creationId xmlns:a16="http://schemas.microsoft.com/office/drawing/2014/main" id="{00000000-0008-0000-0400-000005000000}"/>
            </a:ext>
          </a:extLst>
        </xdr:cNvPr>
        <xdr:cNvSpPr/>
      </xdr:nvSpPr>
      <xdr:spPr>
        <a:xfrm>
          <a:off x="11725275" y="962025"/>
          <a:ext cx="283650" cy="46863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13</xdr:col>
      <xdr:colOff>0</xdr:colOff>
      <xdr:row>25</xdr:row>
      <xdr:rowOff>47625</xdr:rowOff>
    </xdr:from>
    <xdr:to>
      <xdr:col>14</xdr:col>
      <xdr:colOff>247950</xdr:colOff>
      <xdr:row>26</xdr:row>
      <xdr:rowOff>28575</xdr:rowOff>
    </xdr:to>
    <xdr:sp macro="" textlink="">
      <xdr:nvSpPr>
        <xdr:cNvPr id="6" name="Rectangle 5">
          <a:extLst>
            <a:ext uri="{FF2B5EF4-FFF2-40B4-BE49-F238E27FC236}">
              <a16:creationId xmlns:a16="http://schemas.microsoft.com/office/drawing/2014/main" id="{00000000-0008-0000-0400-000006000000}"/>
            </a:ext>
          </a:extLst>
        </xdr:cNvPr>
        <xdr:cNvSpPr/>
      </xdr:nvSpPr>
      <xdr:spPr>
        <a:xfrm flipH="1">
          <a:off x="9534525" y="5619750"/>
          <a:ext cx="24768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190500</xdr:colOff>
      <xdr:row>0</xdr:row>
      <xdr:rowOff>142875</xdr:rowOff>
    </xdr:from>
    <xdr:to>
      <xdr:col>1</xdr:col>
      <xdr:colOff>44450</xdr:colOff>
      <xdr:row>3</xdr:row>
      <xdr:rowOff>149225</xdr:rowOff>
    </xdr:to>
    <xdr:pic>
      <xdr:nvPicPr>
        <xdr:cNvPr id="2" name="Graphic 1" descr="Box trolley">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800100" y="142875"/>
          <a:ext cx="463550" cy="492125"/>
        </a:xfrm>
        <a:prstGeom prst="rect">
          <a:avLst/>
        </a:prstGeom>
      </xdr:spPr>
    </xdr:pic>
    <xdr:clientData/>
  </xdr:twoCellAnchor>
  <xdr:oneCellAnchor>
    <xdr:from>
      <xdr:col>1</xdr:col>
      <xdr:colOff>107950</xdr:colOff>
      <xdr:row>1</xdr:row>
      <xdr:rowOff>6350</xdr:rowOff>
    </xdr:from>
    <xdr:ext cx="1949450" cy="446212"/>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327150" y="168275"/>
          <a:ext cx="1949450" cy="4462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2400">
              <a:solidFill>
                <a:schemeClr val="accent1">
                  <a:lumMod val="20000"/>
                  <a:lumOff val="80000"/>
                </a:schemeClr>
              </a:solidFill>
              <a:latin typeface="Arial" panose="020B0604020202020204" pitchFamily="34" charset="0"/>
              <a:cs typeface="Arial" panose="020B0604020202020204" pitchFamily="34" charset="0"/>
            </a:rPr>
            <a:t>Picking Slip</a:t>
          </a:r>
        </a:p>
      </xdr:txBody>
    </xdr:sp>
    <xdr:clientData/>
  </xdr:oneCellAnchor>
  <mc:AlternateContent xmlns:mc="http://schemas.openxmlformats.org/markup-compatibility/2006">
    <mc:Choice xmlns:a14="http://schemas.microsoft.com/office/drawing/2010/main" Requires="a14">
      <xdr:twoCellAnchor>
        <xdr:from>
          <xdr:col>6</xdr:col>
          <xdr:colOff>466725</xdr:colOff>
          <xdr:row>1</xdr:row>
          <xdr:rowOff>28575</xdr:rowOff>
        </xdr:from>
        <xdr:to>
          <xdr:col>10</xdr:col>
          <xdr:colOff>0</xdr:colOff>
          <xdr:row>3</xdr:row>
          <xdr:rowOff>76200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5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Refresh</a:t>
              </a:r>
            </a:p>
          </xdr:txBody>
        </xdr:sp>
        <xdr:clientData fPrintsWithSheet="0"/>
      </xdr:twoCellAnchor>
    </mc:Choice>
    <mc:Fallback/>
  </mc:AlternateContent>
  <xdr:twoCellAnchor>
    <xdr:from>
      <xdr:col>9</xdr:col>
      <xdr:colOff>323850</xdr:colOff>
      <xdr:row>5</xdr:row>
      <xdr:rowOff>0</xdr:rowOff>
    </xdr:from>
    <xdr:to>
      <xdr:col>10</xdr:col>
      <xdr:colOff>74100</xdr:colOff>
      <xdr:row>63</xdr:row>
      <xdr:rowOff>25500</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11220450" y="809625"/>
          <a:ext cx="359850" cy="93600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0</xdr:colOff>
      <xdr:row>63</xdr:row>
      <xdr:rowOff>0</xdr:rowOff>
    </xdr:from>
    <xdr:to>
      <xdr:col>10</xdr:col>
      <xdr:colOff>65400</xdr:colOff>
      <xdr:row>63</xdr:row>
      <xdr:rowOff>47625</xdr:rowOff>
    </xdr:to>
    <xdr:sp macro="" textlink="">
      <xdr:nvSpPr>
        <xdr:cNvPr id="7" name="Rectangle 6">
          <a:extLst>
            <a:ext uri="{FF2B5EF4-FFF2-40B4-BE49-F238E27FC236}">
              <a16:creationId xmlns:a16="http://schemas.microsoft.com/office/drawing/2014/main" id="{00000000-0008-0000-0500-000007000000}"/>
            </a:ext>
          </a:extLst>
        </xdr:cNvPr>
        <xdr:cNvSpPr/>
      </xdr:nvSpPr>
      <xdr:spPr>
        <a:xfrm flipH="1">
          <a:off x="609600" y="10144125"/>
          <a:ext cx="109620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561975</xdr:colOff>
      <xdr:row>2</xdr:row>
      <xdr:rowOff>0</xdr:rowOff>
    </xdr:from>
    <xdr:to>
      <xdr:col>11</xdr:col>
      <xdr:colOff>236025</xdr:colOff>
      <xdr:row>64</xdr:row>
      <xdr:rowOff>19050</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8267700" y="323850"/>
          <a:ext cx="283650" cy="776287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9525</xdr:colOff>
      <xdr:row>63</xdr:row>
      <xdr:rowOff>142875</xdr:rowOff>
    </xdr:from>
    <xdr:to>
      <xdr:col>11</xdr:col>
      <xdr:colOff>221400</xdr:colOff>
      <xdr:row>64</xdr:row>
      <xdr:rowOff>28575</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flipH="1">
          <a:off x="619125" y="8048625"/>
          <a:ext cx="79176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133350</xdr:colOff>
      <xdr:row>2</xdr:row>
      <xdr:rowOff>95250</xdr:rowOff>
    </xdr:from>
    <xdr:ext cx="1973938" cy="468013"/>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742950" y="419100"/>
          <a:ext cx="1973938"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Finance Offer</a:t>
          </a:r>
        </a:p>
      </xdr:txBody>
    </xdr:sp>
    <xdr:clientData/>
  </xdr:oneCellAnchor>
  <xdr:twoCellAnchor>
    <xdr:from>
      <xdr:col>21</xdr:col>
      <xdr:colOff>561975</xdr:colOff>
      <xdr:row>2</xdr:row>
      <xdr:rowOff>0</xdr:rowOff>
    </xdr:from>
    <xdr:to>
      <xdr:col>22</xdr:col>
      <xdr:colOff>236025</xdr:colOff>
      <xdr:row>64</xdr:row>
      <xdr:rowOff>19050</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9356725" y="317500"/>
          <a:ext cx="315400" cy="172974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12</xdr:col>
      <xdr:colOff>9525</xdr:colOff>
      <xdr:row>63</xdr:row>
      <xdr:rowOff>142875</xdr:rowOff>
    </xdr:from>
    <xdr:to>
      <xdr:col>22</xdr:col>
      <xdr:colOff>221400</xdr:colOff>
      <xdr:row>64</xdr:row>
      <xdr:rowOff>28575</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flipH="1">
          <a:off x="650875" y="17579975"/>
          <a:ext cx="9006625" cy="444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12</xdr:col>
      <xdr:colOff>133350</xdr:colOff>
      <xdr:row>2</xdr:row>
      <xdr:rowOff>95250</xdr:rowOff>
    </xdr:from>
    <xdr:ext cx="1973938" cy="468013"/>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774700" y="412750"/>
          <a:ext cx="1973938"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Finance Offer</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238124</xdr:colOff>
      <xdr:row>2</xdr:row>
      <xdr:rowOff>9525</xdr:rowOff>
    </xdr:from>
    <xdr:to>
      <xdr:col>9</xdr:col>
      <xdr:colOff>16949</xdr:colOff>
      <xdr:row>172</xdr:row>
      <xdr:rowOff>0</xdr:rowOff>
    </xdr:to>
    <xdr:sp macro="" textlink="">
      <xdr:nvSpPr>
        <xdr:cNvPr id="2" name="Rectangle 1">
          <a:extLst>
            <a:ext uri="{FF2B5EF4-FFF2-40B4-BE49-F238E27FC236}">
              <a16:creationId xmlns:a16="http://schemas.microsoft.com/office/drawing/2014/main" id="{00000000-0008-0000-0700-000002000000}"/>
            </a:ext>
          </a:extLst>
        </xdr:cNvPr>
        <xdr:cNvSpPr/>
      </xdr:nvSpPr>
      <xdr:spPr>
        <a:xfrm>
          <a:off x="9010649" y="333375"/>
          <a:ext cx="283650" cy="188309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AU"/>
        </a:p>
      </xdr:txBody>
    </xdr:sp>
    <xdr:clientData/>
  </xdr:twoCellAnchor>
  <xdr:oneCellAnchor>
    <xdr:from>
      <xdr:col>1</xdr:col>
      <xdr:colOff>66675</xdr:colOff>
      <xdr:row>2</xdr:row>
      <xdr:rowOff>85725</xdr:rowOff>
    </xdr:from>
    <xdr:ext cx="3048976" cy="468013"/>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676275" y="409575"/>
          <a:ext cx="304897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solidFill>
                <a:sysClr val="windowText" lastClr="000000"/>
              </a:solidFill>
            </a:rPr>
            <a:t>CJ400</a:t>
          </a:r>
          <a:r>
            <a:rPr lang="en-AU" sz="2400" b="1" baseline="0"/>
            <a:t> Bill Of Materials</a:t>
          </a:r>
          <a:endParaRPr lang="en-AU" sz="2400" b="1"/>
        </a:p>
      </xdr:txBody>
    </xdr:sp>
    <xdr:clientData/>
  </xdr:oneCellAnchor>
  <xdr:twoCellAnchor>
    <xdr:from>
      <xdr:col>1</xdr:col>
      <xdr:colOff>38100</xdr:colOff>
      <xdr:row>171</xdr:row>
      <xdr:rowOff>133350</xdr:rowOff>
    </xdr:from>
    <xdr:to>
      <xdr:col>9</xdr:col>
      <xdr:colOff>16650</xdr:colOff>
      <xdr:row>172</xdr:row>
      <xdr:rowOff>19050</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flipH="1">
          <a:off x="647700" y="19135725"/>
          <a:ext cx="86463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AU"/>
        </a:p>
      </xdr:txBody>
    </xdr:sp>
    <xdr:clientData/>
  </xdr:twoCellAnchor>
  <xdr:twoCellAnchor>
    <xdr:from>
      <xdr:col>5</xdr:col>
      <xdr:colOff>104775</xdr:colOff>
      <xdr:row>123</xdr:row>
      <xdr:rowOff>85725</xdr:rowOff>
    </xdr:from>
    <xdr:to>
      <xdr:col>5</xdr:col>
      <xdr:colOff>476250</xdr:colOff>
      <xdr:row>123</xdr:row>
      <xdr:rowOff>87313</xdr:rowOff>
    </xdr:to>
    <xdr:cxnSp macro="">
      <xdr:nvCxnSpPr>
        <xdr:cNvPr id="5" name="Straight Arrow Connector 4">
          <a:extLst>
            <a:ext uri="{FF2B5EF4-FFF2-40B4-BE49-F238E27FC236}">
              <a16:creationId xmlns:a16="http://schemas.microsoft.com/office/drawing/2014/main" id="{00000000-0008-0000-0700-000005000000}"/>
            </a:ext>
          </a:extLst>
        </xdr:cNvPr>
        <xdr:cNvCxnSpPr/>
      </xdr:nvCxnSpPr>
      <xdr:spPr>
        <a:xfrm>
          <a:off x="6734175" y="13535025"/>
          <a:ext cx="371475" cy="0"/>
        </a:xfrm>
        <a:prstGeom prst="straightConnector1">
          <a:avLst/>
        </a:prstGeom>
        <a:ln>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editAs="oneCell">
    <xdr:from>
      <xdr:col>6</xdr:col>
      <xdr:colOff>457200</xdr:colOff>
      <xdr:row>161</xdr:row>
      <xdr:rowOff>19050</xdr:rowOff>
    </xdr:from>
    <xdr:to>
      <xdr:col>8</xdr:col>
      <xdr:colOff>9525</xdr:colOff>
      <xdr:row>162</xdr:row>
      <xdr:rowOff>123825</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700-000006000000}"/>
            </a:ext>
          </a:extLst>
        </xdr:cNvPr>
        <xdr:cNvSpPr/>
      </xdr:nvSpPr>
      <xdr:spPr>
        <a:xfrm>
          <a:off x="7715250" y="19183350"/>
          <a:ext cx="1066800" cy="266700"/>
        </a:xfrm>
        <a:prstGeom prst="roundRect">
          <a:avLst/>
        </a:prstGeom>
        <a:solidFill>
          <a:schemeClr val="bg1">
            <a:lumMod val="8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AU" sz="1050">
              <a:solidFill>
                <a:schemeClr val="tx1">
                  <a:lumMod val="65000"/>
                  <a:lumOff val="35000"/>
                </a:schemeClr>
              </a:solidFill>
            </a:rPr>
            <a:t>Submit</a:t>
          </a:r>
        </a:p>
      </xdr:txBody>
    </xdr:sp>
    <xdr:clientData/>
  </xdr:twoCellAnchor>
  <xdr:twoCellAnchor editAs="oneCell">
    <xdr:from>
      <xdr:col>6</xdr:col>
      <xdr:colOff>200025</xdr:colOff>
      <xdr:row>2</xdr:row>
      <xdr:rowOff>114300</xdr:rowOff>
    </xdr:from>
    <xdr:to>
      <xdr:col>7</xdr:col>
      <xdr:colOff>552450</xdr:colOff>
      <xdr:row>10</xdr:row>
      <xdr:rowOff>152400</xdr:rowOff>
    </xdr:to>
    <xdr:pic>
      <xdr:nvPicPr>
        <xdr:cNvPr id="7" name="Picture 10" descr="LX2525">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2" cstate="email">
          <a:clrChange>
            <a:clrFrom>
              <a:srgbClr val="FFFFFF"/>
            </a:clrFrom>
            <a:clrTo>
              <a:srgbClr val="FFFFFF">
                <a:alpha val="0"/>
              </a:srgbClr>
            </a:clrTo>
          </a:clrChange>
          <a:extLst>
            <a:ext uri="{28A0092B-C50C-407E-A947-70E740481C1C}">
              <a14:useLocalDpi xmlns:a14="http://schemas.microsoft.com/office/drawing/2010/main"/>
            </a:ext>
          </a:extLst>
        </a:blip>
        <a:srcRect/>
        <a:stretch>
          <a:fillRect/>
        </a:stretch>
      </xdr:blipFill>
      <xdr:spPr bwMode="auto">
        <a:xfrm>
          <a:off x="7458075" y="438150"/>
          <a:ext cx="1143000" cy="1304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28575</xdr:colOff>
      <xdr:row>46</xdr:row>
      <xdr:rowOff>0</xdr:rowOff>
    </xdr:from>
    <xdr:to>
      <xdr:col>1</xdr:col>
      <xdr:colOff>530225</xdr:colOff>
      <xdr:row>48</xdr:row>
      <xdr:rowOff>109538</xdr:rowOff>
    </xdr:to>
    <xdr:pic>
      <xdr:nvPicPr>
        <xdr:cNvPr id="8" name="Picture 7" descr="C:\Documents and Settings\TrentM\Local Settings\Temporary Internet Files\Content.IE5\06M4LU5S\MC900433165[1].jpg">
          <a:hlinkClick xmlns:r="http://schemas.openxmlformats.org/officeDocument/2006/relationships" r:id="rId3"/>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38175" y="7067550"/>
          <a:ext cx="501650" cy="376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3248025</xdr:colOff>
      <xdr:row>16</xdr:row>
      <xdr:rowOff>38100</xdr:rowOff>
    </xdr:from>
    <xdr:to>
      <xdr:col>4</xdr:col>
      <xdr:colOff>3400424</xdr:colOff>
      <xdr:row>16</xdr:row>
      <xdr:rowOff>133350</xdr:rowOff>
    </xdr:to>
    <xdr:sp macro="" textlink="">
      <xdr:nvSpPr>
        <xdr:cNvPr id="9" name="Isosceles Triangle 8">
          <a:extLst>
            <a:ext uri="{FF2B5EF4-FFF2-40B4-BE49-F238E27FC236}">
              <a16:creationId xmlns:a16="http://schemas.microsoft.com/office/drawing/2014/main" id="{00000000-0008-0000-0700-000009000000}"/>
            </a:ext>
          </a:extLst>
        </xdr:cNvPr>
        <xdr:cNvSpPr/>
      </xdr:nvSpPr>
      <xdr:spPr>
        <a:xfrm rot="10800000">
          <a:off x="6438900" y="260985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3257550</xdr:colOff>
      <xdr:row>38</xdr:row>
      <xdr:rowOff>133350</xdr:rowOff>
    </xdr:from>
    <xdr:to>
      <xdr:col>4</xdr:col>
      <xdr:colOff>3409949</xdr:colOff>
      <xdr:row>38</xdr:row>
      <xdr:rowOff>228600</xdr:rowOff>
    </xdr:to>
    <xdr:sp macro="" textlink="">
      <xdr:nvSpPr>
        <xdr:cNvPr id="10" name="Isosceles Triangle 9">
          <a:extLst>
            <a:ext uri="{FF2B5EF4-FFF2-40B4-BE49-F238E27FC236}">
              <a16:creationId xmlns:a16="http://schemas.microsoft.com/office/drawing/2014/main" id="{00000000-0008-0000-0700-00000A000000}"/>
            </a:ext>
          </a:extLst>
        </xdr:cNvPr>
        <xdr:cNvSpPr/>
      </xdr:nvSpPr>
      <xdr:spPr>
        <a:xfrm rot="10800000">
          <a:off x="6448425" y="71628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3267075</xdr:colOff>
      <xdr:row>49</xdr:row>
      <xdr:rowOff>76200</xdr:rowOff>
    </xdr:from>
    <xdr:to>
      <xdr:col>4</xdr:col>
      <xdr:colOff>3419474</xdr:colOff>
      <xdr:row>49</xdr:row>
      <xdr:rowOff>171450</xdr:rowOff>
    </xdr:to>
    <xdr:sp macro="" textlink="">
      <xdr:nvSpPr>
        <xdr:cNvPr id="11" name="Isosceles Triangle 10">
          <a:extLst>
            <a:ext uri="{FF2B5EF4-FFF2-40B4-BE49-F238E27FC236}">
              <a16:creationId xmlns:a16="http://schemas.microsoft.com/office/drawing/2014/main" id="{00000000-0008-0000-0700-00000B000000}"/>
            </a:ext>
          </a:extLst>
        </xdr:cNvPr>
        <xdr:cNvSpPr/>
      </xdr:nvSpPr>
      <xdr:spPr>
        <a:xfrm rot="10800000">
          <a:off x="6457950" y="93345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3257550</xdr:colOff>
      <xdr:row>50</xdr:row>
      <xdr:rowOff>47625</xdr:rowOff>
    </xdr:from>
    <xdr:to>
      <xdr:col>4</xdr:col>
      <xdr:colOff>3409949</xdr:colOff>
      <xdr:row>50</xdr:row>
      <xdr:rowOff>142875</xdr:rowOff>
    </xdr:to>
    <xdr:sp macro="" textlink="">
      <xdr:nvSpPr>
        <xdr:cNvPr id="12" name="Isosceles Triangle 11">
          <a:extLst>
            <a:ext uri="{FF2B5EF4-FFF2-40B4-BE49-F238E27FC236}">
              <a16:creationId xmlns:a16="http://schemas.microsoft.com/office/drawing/2014/main" id="{00000000-0008-0000-0700-00000C000000}"/>
            </a:ext>
          </a:extLst>
        </xdr:cNvPr>
        <xdr:cNvSpPr/>
      </xdr:nvSpPr>
      <xdr:spPr>
        <a:xfrm rot="10800000">
          <a:off x="6448425" y="99536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238124</xdr:colOff>
      <xdr:row>2</xdr:row>
      <xdr:rowOff>9525</xdr:rowOff>
    </xdr:from>
    <xdr:to>
      <xdr:col>9</xdr:col>
      <xdr:colOff>16949</xdr:colOff>
      <xdr:row>144</xdr:row>
      <xdr:rowOff>3975</xdr:rowOff>
    </xdr:to>
    <xdr:sp macro="" textlink="">
      <xdr:nvSpPr>
        <xdr:cNvPr id="6" name="Rectangle 5">
          <a:extLst>
            <a:ext uri="{FF2B5EF4-FFF2-40B4-BE49-F238E27FC236}">
              <a16:creationId xmlns:a16="http://schemas.microsoft.com/office/drawing/2014/main" id="{00000000-0008-0000-0800-000006000000}"/>
            </a:ext>
          </a:extLst>
        </xdr:cNvPr>
        <xdr:cNvSpPr/>
      </xdr:nvSpPr>
      <xdr:spPr>
        <a:xfrm>
          <a:off x="9010649" y="333375"/>
          <a:ext cx="283650" cy="113482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66675</xdr:colOff>
      <xdr:row>2</xdr:row>
      <xdr:rowOff>85725</xdr:rowOff>
    </xdr:from>
    <xdr:ext cx="2940164" cy="468013"/>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676275" y="409575"/>
          <a:ext cx="2940164"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4900</a:t>
          </a:r>
          <a:r>
            <a:rPr lang="en-AU" sz="2400" b="1" baseline="0"/>
            <a:t> Bill Of Materials</a:t>
          </a:r>
          <a:endParaRPr lang="en-AU" sz="2400" b="1"/>
        </a:p>
      </xdr:txBody>
    </xdr:sp>
    <xdr:clientData/>
  </xdr:oneCellAnchor>
  <xdr:twoCellAnchor>
    <xdr:from>
      <xdr:col>1</xdr:col>
      <xdr:colOff>38100</xdr:colOff>
      <xdr:row>143</xdr:row>
      <xdr:rowOff>133350</xdr:rowOff>
    </xdr:from>
    <xdr:to>
      <xdr:col>9</xdr:col>
      <xdr:colOff>16650</xdr:colOff>
      <xdr:row>144</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flipH="1">
          <a:off x="647700" y="11649075"/>
          <a:ext cx="86463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5</xdr:col>
      <xdr:colOff>104775</xdr:colOff>
      <xdr:row>116</xdr:row>
      <xdr:rowOff>85725</xdr:rowOff>
    </xdr:from>
    <xdr:to>
      <xdr:col>5</xdr:col>
      <xdr:colOff>476250</xdr:colOff>
      <xdr:row>116</xdr:row>
      <xdr:rowOff>87313</xdr:rowOff>
    </xdr:to>
    <xdr:cxnSp macro="">
      <xdr:nvCxnSpPr>
        <xdr:cNvPr id="10" name="Straight Arrow Connector 9">
          <a:extLst>
            <a:ext uri="{FF2B5EF4-FFF2-40B4-BE49-F238E27FC236}">
              <a16:creationId xmlns:a16="http://schemas.microsoft.com/office/drawing/2014/main" id="{00000000-0008-0000-0800-00000A000000}"/>
            </a:ext>
          </a:extLst>
        </xdr:cNvPr>
        <xdr:cNvCxnSpPr/>
      </xdr:nvCxnSpPr>
      <xdr:spPr>
        <a:xfrm>
          <a:off x="6734175" y="7029450"/>
          <a:ext cx="371475" cy="1588"/>
        </a:xfrm>
        <a:prstGeom prst="straightConnector1">
          <a:avLst/>
        </a:prstGeom>
        <a:ln>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editAs="oneCell">
    <xdr:from>
      <xdr:col>6</xdr:col>
      <xdr:colOff>495300</xdr:colOff>
      <xdr:row>140</xdr:row>
      <xdr:rowOff>133350</xdr:rowOff>
    </xdr:from>
    <xdr:to>
      <xdr:col>7</xdr:col>
      <xdr:colOff>704850</xdr:colOff>
      <xdr:row>142</xdr:row>
      <xdr:rowOff>76200</xdr:rowOff>
    </xdr:to>
    <xdr:sp macro="" textlink="">
      <xdr:nvSpPr>
        <xdr:cNvPr id="25" name="Rounded Rectangle 24">
          <a:hlinkClick xmlns:r="http://schemas.openxmlformats.org/officeDocument/2006/relationships" r:id="rId1"/>
          <a:extLst>
            <a:ext uri="{FF2B5EF4-FFF2-40B4-BE49-F238E27FC236}">
              <a16:creationId xmlns:a16="http://schemas.microsoft.com/office/drawing/2014/main" id="{00000000-0008-0000-0800-000019000000}"/>
            </a:ext>
          </a:extLst>
        </xdr:cNvPr>
        <xdr:cNvSpPr/>
      </xdr:nvSpPr>
      <xdr:spPr>
        <a:xfrm>
          <a:off x="7981950" y="16592550"/>
          <a:ext cx="1066800" cy="266700"/>
        </a:xfrm>
        <a:prstGeom prst="roundRect">
          <a:avLst/>
        </a:prstGeom>
        <a:solidFill>
          <a:schemeClr val="bg1">
            <a:lumMod val="8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AU" sz="1050">
              <a:solidFill>
                <a:schemeClr val="tx1">
                  <a:lumMod val="65000"/>
                  <a:lumOff val="35000"/>
                </a:schemeClr>
              </a:solidFill>
            </a:rPr>
            <a:t>Submit</a:t>
          </a:r>
        </a:p>
      </xdr:txBody>
    </xdr:sp>
    <xdr:clientData/>
  </xdr:twoCellAnchor>
  <xdr:twoCellAnchor editAs="oneCell">
    <xdr:from>
      <xdr:col>5</xdr:col>
      <xdr:colOff>366578</xdr:colOff>
      <xdr:row>3</xdr:row>
      <xdr:rowOff>76200</xdr:rowOff>
    </xdr:from>
    <xdr:to>
      <xdr:col>8</xdr:col>
      <xdr:colOff>113080</xdr:colOff>
      <xdr:row>10</xdr:row>
      <xdr:rowOff>142065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7291253" y="561975"/>
          <a:ext cx="2003927" cy="1332690"/>
        </a:xfrm>
        <a:prstGeom prst="rect">
          <a:avLst/>
        </a:prstGeom>
      </xdr:spPr>
    </xdr:pic>
    <xdr:clientData/>
  </xdr:twoCellAnchor>
  <xdr:twoCellAnchor editAs="oneCell">
    <xdr:from>
      <xdr:col>1</xdr:col>
      <xdr:colOff>47625</xdr:colOff>
      <xdr:row>30</xdr:row>
      <xdr:rowOff>80962</xdr:rowOff>
    </xdr:from>
    <xdr:to>
      <xdr:col>1</xdr:col>
      <xdr:colOff>549275</xdr:colOff>
      <xdr:row>32</xdr:row>
      <xdr:rowOff>104775</xdr:rowOff>
    </xdr:to>
    <xdr:pic>
      <xdr:nvPicPr>
        <xdr:cNvPr id="9" name="Picture 8" descr="C:\Documents and Settings\TrentM\Local Settings\Temporary Internet Files\Content.IE5\06M4LU5S\MC900433165[1].jpg">
          <a:hlinkClick xmlns:r="http://schemas.openxmlformats.org/officeDocument/2006/relationships" r:id="rId3"/>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57225" y="5053012"/>
          <a:ext cx="501650" cy="376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66675</xdr:colOff>
      <xdr:row>15</xdr:row>
      <xdr:rowOff>0</xdr:rowOff>
    </xdr:from>
    <xdr:to>
      <xdr:col>1</xdr:col>
      <xdr:colOff>568325</xdr:colOff>
      <xdr:row>17</xdr:row>
      <xdr:rowOff>23813</xdr:rowOff>
    </xdr:to>
    <xdr:pic>
      <xdr:nvPicPr>
        <xdr:cNvPr id="11" name="Picture 10" descr="C:\Documents and Settings\TrentM\Local Settings\Temporary Internet Files\Content.IE5\06M4LU5S\MC900433165[1].jpg">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76275" y="2543175"/>
          <a:ext cx="501650" cy="376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xdr:colOff>
      <xdr:row>48</xdr:row>
      <xdr:rowOff>9525</xdr:rowOff>
    </xdr:from>
    <xdr:to>
      <xdr:col>1</xdr:col>
      <xdr:colOff>539750</xdr:colOff>
      <xdr:row>50</xdr:row>
      <xdr:rowOff>61913</xdr:rowOff>
    </xdr:to>
    <xdr:pic>
      <xdr:nvPicPr>
        <xdr:cNvPr id="12" name="Picture 11" descr="C:\Documents and Settings\TrentM\Local Settings\Temporary Internet Files\Content.IE5\06M4LU5S\MC900433165[1].jpg">
          <a:hlinkClick xmlns:r="http://schemas.openxmlformats.org/officeDocument/2006/relationships" r:id="rId5"/>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47700" y="7896225"/>
          <a:ext cx="501650" cy="376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xdr:colOff>
      <xdr:row>66</xdr:row>
      <xdr:rowOff>47625</xdr:rowOff>
    </xdr:from>
    <xdr:to>
      <xdr:col>1</xdr:col>
      <xdr:colOff>539750</xdr:colOff>
      <xdr:row>69</xdr:row>
      <xdr:rowOff>42863</xdr:rowOff>
    </xdr:to>
    <xdr:pic>
      <xdr:nvPicPr>
        <xdr:cNvPr id="13" name="Picture 12" descr="C:\Documents and Settings\TrentM\Local Settings\Temporary Internet Files\Content.IE5\06M4LU5S\MC900433165[1].jpg">
          <a:hlinkClick xmlns:r="http://schemas.openxmlformats.org/officeDocument/2006/relationships" r:id="rId5"/>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647700" y="10896600"/>
          <a:ext cx="501650" cy="376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9</xdr:col>
      <xdr:colOff>238124</xdr:colOff>
      <xdr:row>2</xdr:row>
      <xdr:rowOff>9525</xdr:rowOff>
    </xdr:from>
    <xdr:to>
      <xdr:col>10</xdr:col>
      <xdr:colOff>16949</xdr:colOff>
      <xdr:row>181</xdr:row>
      <xdr:rowOff>3975</xdr:rowOff>
    </xdr:to>
    <xdr:sp macro="" textlink="">
      <xdr:nvSpPr>
        <xdr:cNvPr id="2" name="Rectangle 1">
          <a:extLst>
            <a:ext uri="{FF2B5EF4-FFF2-40B4-BE49-F238E27FC236}">
              <a16:creationId xmlns:a16="http://schemas.microsoft.com/office/drawing/2014/main" id="{00000000-0008-0000-0900-000002000000}"/>
            </a:ext>
          </a:extLst>
        </xdr:cNvPr>
        <xdr:cNvSpPr/>
      </xdr:nvSpPr>
      <xdr:spPr>
        <a:xfrm>
          <a:off x="9477374" y="333375"/>
          <a:ext cx="283650" cy="2471737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66675</xdr:colOff>
      <xdr:row>2</xdr:row>
      <xdr:rowOff>85725</xdr:rowOff>
    </xdr:from>
    <xdr:ext cx="2223237" cy="468013"/>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676275" y="409575"/>
          <a:ext cx="2223237"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Linx 5900 Series</a:t>
          </a:r>
        </a:p>
      </xdr:txBody>
    </xdr:sp>
    <xdr:clientData/>
  </xdr:oneCellAnchor>
  <xdr:twoCellAnchor>
    <xdr:from>
      <xdr:col>1</xdr:col>
      <xdr:colOff>38100</xdr:colOff>
      <xdr:row>180</xdr:row>
      <xdr:rowOff>133350</xdr:rowOff>
    </xdr:from>
    <xdr:to>
      <xdr:col>10</xdr:col>
      <xdr:colOff>16650</xdr:colOff>
      <xdr:row>181</xdr:row>
      <xdr:rowOff>19050</xdr:rowOff>
    </xdr:to>
    <xdr:sp macro="" textlink="">
      <xdr:nvSpPr>
        <xdr:cNvPr id="4" name="Rectangle 3">
          <a:extLst>
            <a:ext uri="{FF2B5EF4-FFF2-40B4-BE49-F238E27FC236}">
              <a16:creationId xmlns:a16="http://schemas.microsoft.com/office/drawing/2014/main" id="{00000000-0008-0000-0900-000004000000}"/>
            </a:ext>
          </a:extLst>
        </xdr:cNvPr>
        <xdr:cNvSpPr/>
      </xdr:nvSpPr>
      <xdr:spPr>
        <a:xfrm flipH="1">
          <a:off x="647700" y="25022175"/>
          <a:ext cx="9113025" cy="2857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6</xdr:col>
      <xdr:colOff>104775</xdr:colOff>
      <xdr:row>145</xdr:row>
      <xdr:rowOff>85725</xdr:rowOff>
    </xdr:from>
    <xdr:to>
      <xdr:col>6</xdr:col>
      <xdr:colOff>476250</xdr:colOff>
      <xdr:row>145</xdr:row>
      <xdr:rowOff>87313</xdr:rowOff>
    </xdr:to>
    <xdr:cxnSp macro="">
      <xdr:nvCxnSpPr>
        <xdr:cNvPr id="5" name="Straight Arrow Connector 4">
          <a:extLst>
            <a:ext uri="{FF2B5EF4-FFF2-40B4-BE49-F238E27FC236}">
              <a16:creationId xmlns:a16="http://schemas.microsoft.com/office/drawing/2014/main" id="{00000000-0008-0000-0900-000005000000}"/>
            </a:ext>
          </a:extLst>
        </xdr:cNvPr>
        <xdr:cNvCxnSpPr/>
      </xdr:nvCxnSpPr>
      <xdr:spPr>
        <a:xfrm>
          <a:off x="7086600" y="21497925"/>
          <a:ext cx="371475" cy="0"/>
        </a:xfrm>
        <a:prstGeom prst="straightConnector1">
          <a:avLst/>
        </a:prstGeom>
        <a:ln>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editAs="oneCell">
    <xdr:from>
      <xdr:col>7</xdr:col>
      <xdr:colOff>495300</xdr:colOff>
      <xdr:row>170</xdr:row>
      <xdr:rowOff>133350</xdr:rowOff>
    </xdr:from>
    <xdr:to>
      <xdr:col>8</xdr:col>
      <xdr:colOff>704850</xdr:colOff>
      <xdr:row>172</xdr:row>
      <xdr:rowOff>76200</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900-000006000000}"/>
            </a:ext>
          </a:extLst>
        </xdr:cNvPr>
        <xdr:cNvSpPr/>
      </xdr:nvSpPr>
      <xdr:spPr>
        <a:xfrm>
          <a:off x="8153400" y="24536400"/>
          <a:ext cx="1066800" cy="266700"/>
        </a:xfrm>
        <a:prstGeom prst="roundRect">
          <a:avLst/>
        </a:prstGeom>
        <a:solidFill>
          <a:schemeClr val="bg1">
            <a:lumMod val="8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AU" sz="1050">
              <a:solidFill>
                <a:schemeClr val="tx1">
                  <a:lumMod val="65000"/>
                  <a:lumOff val="35000"/>
                </a:schemeClr>
              </a:solidFill>
            </a:rPr>
            <a:t>Submit</a:t>
          </a:r>
        </a:p>
      </xdr:txBody>
    </xdr:sp>
    <xdr:clientData/>
  </xdr:twoCellAnchor>
  <xdr:twoCellAnchor editAs="oneCell">
    <xdr:from>
      <xdr:col>1</xdr:col>
      <xdr:colOff>123825</xdr:colOff>
      <xdr:row>11</xdr:row>
      <xdr:rowOff>166688</xdr:rowOff>
    </xdr:from>
    <xdr:to>
      <xdr:col>1</xdr:col>
      <xdr:colOff>530225</xdr:colOff>
      <xdr:row>14</xdr:row>
      <xdr:rowOff>33338</xdr:rowOff>
    </xdr:to>
    <xdr:pic>
      <xdr:nvPicPr>
        <xdr:cNvPr id="8" name="Picture 7" descr="C:\Documents and Settings\TrentM\Local Settings\Temporary Internet Files\Content.IE5\06M4LU5S\MC900433165[1].jpg">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733425" y="2081213"/>
          <a:ext cx="4064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114300</xdr:colOff>
      <xdr:row>31</xdr:row>
      <xdr:rowOff>166687</xdr:rowOff>
    </xdr:from>
    <xdr:to>
      <xdr:col>1</xdr:col>
      <xdr:colOff>482600</xdr:colOff>
      <xdr:row>34</xdr:row>
      <xdr:rowOff>4762</xdr:rowOff>
    </xdr:to>
    <xdr:pic>
      <xdr:nvPicPr>
        <xdr:cNvPr id="9" name="Picture 8" descr="C:\Documents and Settings\TrentM\Local Settings\Temporary Internet Files\Content.IE5\06M4LU5S\MC900433165[1].jpg">
          <a:hlinkClick xmlns:r="http://schemas.openxmlformats.org/officeDocument/2006/relationships" r:id="rId3"/>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723900" y="4214812"/>
          <a:ext cx="368300"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127000</xdr:colOff>
      <xdr:row>50</xdr:row>
      <xdr:rowOff>0</xdr:rowOff>
    </xdr:from>
    <xdr:to>
      <xdr:col>1</xdr:col>
      <xdr:colOff>501650</xdr:colOff>
      <xdr:row>52</xdr:row>
      <xdr:rowOff>14288</xdr:rowOff>
    </xdr:to>
    <xdr:pic>
      <xdr:nvPicPr>
        <xdr:cNvPr id="10" name="Picture 9" descr="C:\Documents and Settings\TrentM\Local Settings\Temporary Internet Files\Content.IE5\06M4LU5S\MC900433165[1].jpg">
          <a:hlinkClick xmlns:r="http://schemas.openxmlformats.org/officeDocument/2006/relationships" r:id="rId5"/>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6" cstate="email">
          <a:extLst>
            <a:ext uri="{28A0092B-C50C-407E-A947-70E740481C1C}">
              <a14:useLocalDpi xmlns:a14="http://schemas.microsoft.com/office/drawing/2010/main"/>
            </a:ext>
          </a:extLst>
        </a:blip>
        <a:srcRect/>
        <a:stretch>
          <a:fillRect/>
        </a:stretch>
      </xdr:blipFill>
      <xdr:spPr bwMode="auto">
        <a:xfrm>
          <a:off x="736600" y="7296150"/>
          <a:ext cx="374650" cy="2809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130175</xdr:colOff>
      <xdr:row>73</xdr:row>
      <xdr:rowOff>152399</xdr:rowOff>
    </xdr:from>
    <xdr:to>
      <xdr:col>1</xdr:col>
      <xdr:colOff>492125</xdr:colOff>
      <xdr:row>75</xdr:row>
      <xdr:rowOff>52387</xdr:rowOff>
    </xdr:to>
    <xdr:pic>
      <xdr:nvPicPr>
        <xdr:cNvPr id="11" name="Picture 10" descr="C:\Documents and Settings\TrentM\Local Settings\Temporary Internet Files\Content.IE5\06M4LU5S\MC900433165[1].jpg">
          <a:hlinkClick xmlns:r="http://schemas.openxmlformats.org/officeDocument/2006/relationships" r:id="rId5"/>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bwMode="auto">
        <a:xfrm>
          <a:off x="739775" y="10953749"/>
          <a:ext cx="361950" cy="2714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642703</xdr:colOff>
      <xdr:row>3</xdr:row>
      <xdr:rowOff>9525</xdr:rowOff>
    </xdr:from>
    <xdr:to>
      <xdr:col>9</xdr:col>
      <xdr:colOff>38101</xdr:colOff>
      <xdr:row>11</xdr:row>
      <xdr:rowOff>133350</xdr:rowOff>
    </xdr:to>
    <xdr:pic>
      <xdr:nvPicPr>
        <xdr:cNvPr id="12" name="Picture 11" descr="C:\Documents and Settings\TrentM\My Documents\Downloads\LX2835 (1).jpg">
          <a:extLst>
            <a:ext uri="{FF2B5EF4-FFF2-40B4-BE49-F238E27FC236}">
              <a16:creationId xmlns:a16="http://schemas.microsoft.com/office/drawing/2014/main" id="{00000000-0008-0000-0900-00000C000000}"/>
            </a:ext>
          </a:extLst>
        </xdr:cNvPr>
        <xdr:cNvPicPr>
          <a:picLocks noChangeAspect="1" noChangeArrowheads="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a:stretch/>
      </xdr:blipFill>
      <xdr:spPr bwMode="auto">
        <a:xfrm>
          <a:off x="8624653" y="495300"/>
          <a:ext cx="1652823" cy="1390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47626</xdr:colOff>
      <xdr:row>16</xdr:row>
      <xdr:rowOff>38100</xdr:rowOff>
    </xdr:from>
    <xdr:to>
      <xdr:col>2</xdr:col>
      <xdr:colOff>975924</xdr:colOff>
      <xdr:row>21</xdr:row>
      <xdr:rowOff>9525</xdr:rowOff>
    </xdr:to>
    <xdr:pic>
      <xdr:nvPicPr>
        <xdr:cNvPr id="13" name="Picture 12" descr="C:\Documents and Settings\TrentM\My Documents\Downloads\LX2835 (1).jpg">
          <a:extLst>
            <a:ext uri="{FF2B5EF4-FFF2-40B4-BE49-F238E27FC236}">
              <a16:creationId xmlns:a16="http://schemas.microsoft.com/office/drawing/2014/main" id="{00000000-0008-0000-0900-00000D000000}"/>
            </a:ext>
          </a:extLst>
        </xdr:cNvPr>
        <xdr:cNvPicPr>
          <a:picLocks noChangeAspect="1" noChangeArrowheads="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bwMode="auto">
        <a:xfrm>
          <a:off x="1266826" y="2771775"/>
          <a:ext cx="928298" cy="781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47626</xdr:colOff>
      <xdr:row>35</xdr:row>
      <xdr:rowOff>57150</xdr:rowOff>
    </xdr:from>
    <xdr:to>
      <xdr:col>2</xdr:col>
      <xdr:colOff>904878</xdr:colOff>
      <xdr:row>36</xdr:row>
      <xdr:rowOff>0</xdr:rowOff>
    </xdr:to>
    <xdr:pic>
      <xdr:nvPicPr>
        <xdr:cNvPr id="14" name="Picture 24">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rot="-5400000">
          <a:off x="1428752" y="5219699"/>
          <a:ext cx="533400" cy="857252"/>
        </a:xfrm>
        <a:prstGeom prst="rect">
          <a:avLst/>
        </a:prstGeom>
        <a:noFill/>
        <a:ln w="9525">
          <a:noFill/>
          <a:miter lim="800000"/>
          <a:headEnd/>
          <a:tailEnd/>
        </a:ln>
      </xdr:spPr>
    </xdr:pic>
    <xdr:clientData/>
  </xdr:twoCellAnchor>
  <xdr:twoCellAnchor editAs="oneCell">
    <xdr:from>
      <xdr:col>2</xdr:col>
      <xdr:colOff>19050</xdr:colOff>
      <xdr:row>52</xdr:row>
      <xdr:rowOff>66675</xdr:rowOff>
    </xdr:from>
    <xdr:to>
      <xdr:col>2</xdr:col>
      <xdr:colOff>880386</xdr:colOff>
      <xdr:row>57</xdr:row>
      <xdr:rowOff>123825</xdr:rowOff>
    </xdr:to>
    <xdr:pic>
      <xdr:nvPicPr>
        <xdr:cNvPr id="15" name="Picture 14" descr="C:\Documents and Settings\TrentM\Desktop\Matthews Australia\Product Management\Technical Information\Parts\Local Parts\Trolleys\Trolley.jpg">
          <a:extLst>
            <a:ext uri="{FF2B5EF4-FFF2-40B4-BE49-F238E27FC236}">
              <a16:creationId xmlns:a16="http://schemas.microsoft.com/office/drawing/2014/main" id="{00000000-0008-0000-0900-00000F000000}"/>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1238250" y="7629525"/>
          <a:ext cx="861336" cy="866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66675</xdr:colOff>
      <xdr:row>76</xdr:row>
      <xdr:rowOff>57150</xdr:rowOff>
    </xdr:from>
    <xdr:to>
      <xdr:col>2</xdr:col>
      <xdr:colOff>904875</xdr:colOff>
      <xdr:row>78</xdr:row>
      <xdr:rowOff>204940</xdr:rowOff>
    </xdr:to>
    <xdr:pic>
      <xdr:nvPicPr>
        <xdr:cNvPr id="16" name="Picture 15" descr="C:\Documents and Settings\TrentM\My Documents\Downloads\LX2182.jpg">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bwMode="auto">
        <a:xfrm>
          <a:off x="1285875" y="11287125"/>
          <a:ext cx="838200" cy="633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114300</xdr:colOff>
      <xdr:row>39</xdr:row>
      <xdr:rowOff>123825</xdr:rowOff>
    </xdr:from>
    <xdr:to>
      <xdr:col>2</xdr:col>
      <xdr:colOff>846728</xdr:colOff>
      <xdr:row>43</xdr:row>
      <xdr:rowOff>152400</xdr:rowOff>
    </xdr:to>
    <xdr:pic>
      <xdr:nvPicPr>
        <xdr:cNvPr id="17" name="Picture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33500" y="5800725"/>
          <a:ext cx="732428" cy="676275"/>
        </a:xfrm>
        <a:prstGeom prst="rect">
          <a:avLst/>
        </a:prstGeom>
      </xdr:spPr>
    </xdr:pic>
    <xdr:clientData/>
  </xdr:twoCellAnchor>
  <xdr:twoCellAnchor>
    <xdr:from>
      <xdr:col>5</xdr:col>
      <xdr:colOff>3305175</xdr:colOff>
      <xdr:row>22</xdr:row>
      <xdr:rowOff>47625</xdr:rowOff>
    </xdr:from>
    <xdr:to>
      <xdr:col>5</xdr:col>
      <xdr:colOff>3457574</xdr:colOff>
      <xdr:row>22</xdr:row>
      <xdr:rowOff>142875</xdr:rowOff>
    </xdr:to>
    <xdr:sp macro="" textlink="">
      <xdr:nvSpPr>
        <xdr:cNvPr id="18" name="Isosceles Triangle 17">
          <a:extLst>
            <a:ext uri="{FF2B5EF4-FFF2-40B4-BE49-F238E27FC236}">
              <a16:creationId xmlns:a16="http://schemas.microsoft.com/office/drawing/2014/main" id="{00000000-0008-0000-0900-000012000000}"/>
            </a:ext>
          </a:extLst>
        </xdr:cNvPr>
        <xdr:cNvSpPr/>
      </xdr:nvSpPr>
      <xdr:spPr>
        <a:xfrm rot="10800000">
          <a:off x="7781925" y="35909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3305175</xdr:colOff>
      <xdr:row>23</xdr:row>
      <xdr:rowOff>38100</xdr:rowOff>
    </xdr:from>
    <xdr:to>
      <xdr:col>5</xdr:col>
      <xdr:colOff>3457574</xdr:colOff>
      <xdr:row>23</xdr:row>
      <xdr:rowOff>133350</xdr:rowOff>
    </xdr:to>
    <xdr:sp macro="" textlink="">
      <xdr:nvSpPr>
        <xdr:cNvPr id="19" name="Isosceles Triangle 18">
          <a:extLst>
            <a:ext uri="{FF2B5EF4-FFF2-40B4-BE49-F238E27FC236}">
              <a16:creationId xmlns:a16="http://schemas.microsoft.com/office/drawing/2014/main" id="{00000000-0008-0000-0900-000013000000}"/>
            </a:ext>
          </a:extLst>
        </xdr:cNvPr>
        <xdr:cNvSpPr/>
      </xdr:nvSpPr>
      <xdr:spPr>
        <a:xfrm rot="10800000">
          <a:off x="7781925" y="37433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3295650</xdr:colOff>
      <xdr:row>35</xdr:row>
      <xdr:rowOff>47625</xdr:rowOff>
    </xdr:from>
    <xdr:to>
      <xdr:col>5</xdr:col>
      <xdr:colOff>3448049</xdr:colOff>
      <xdr:row>35</xdr:row>
      <xdr:rowOff>142875</xdr:rowOff>
    </xdr:to>
    <xdr:sp macro="" textlink="">
      <xdr:nvSpPr>
        <xdr:cNvPr id="21" name="Isosceles Triangle 20">
          <a:extLst>
            <a:ext uri="{FF2B5EF4-FFF2-40B4-BE49-F238E27FC236}">
              <a16:creationId xmlns:a16="http://schemas.microsoft.com/office/drawing/2014/main" id="{00000000-0008-0000-0900-000015000000}"/>
            </a:ext>
          </a:extLst>
        </xdr:cNvPr>
        <xdr:cNvSpPr/>
      </xdr:nvSpPr>
      <xdr:spPr>
        <a:xfrm rot="10800000">
          <a:off x="7772400" y="52101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3295650</xdr:colOff>
      <xdr:row>36</xdr:row>
      <xdr:rowOff>47625</xdr:rowOff>
    </xdr:from>
    <xdr:to>
      <xdr:col>5</xdr:col>
      <xdr:colOff>3448049</xdr:colOff>
      <xdr:row>36</xdr:row>
      <xdr:rowOff>142875</xdr:rowOff>
    </xdr:to>
    <xdr:sp macro="" textlink="">
      <xdr:nvSpPr>
        <xdr:cNvPr id="22" name="Isosceles Triangle 21">
          <a:extLst>
            <a:ext uri="{FF2B5EF4-FFF2-40B4-BE49-F238E27FC236}">
              <a16:creationId xmlns:a16="http://schemas.microsoft.com/office/drawing/2014/main" id="{00000000-0008-0000-0900-000016000000}"/>
            </a:ext>
          </a:extLst>
        </xdr:cNvPr>
        <xdr:cNvSpPr/>
      </xdr:nvSpPr>
      <xdr:spPr>
        <a:xfrm rot="10800000">
          <a:off x="7772400" y="569595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3324225</xdr:colOff>
      <xdr:row>53</xdr:row>
      <xdr:rowOff>47625</xdr:rowOff>
    </xdr:from>
    <xdr:to>
      <xdr:col>5</xdr:col>
      <xdr:colOff>3476624</xdr:colOff>
      <xdr:row>53</xdr:row>
      <xdr:rowOff>142875</xdr:rowOff>
    </xdr:to>
    <xdr:sp macro="" textlink="">
      <xdr:nvSpPr>
        <xdr:cNvPr id="23" name="Isosceles Triangle 22">
          <a:extLst>
            <a:ext uri="{FF2B5EF4-FFF2-40B4-BE49-F238E27FC236}">
              <a16:creationId xmlns:a16="http://schemas.microsoft.com/office/drawing/2014/main" id="{00000000-0008-0000-0900-000017000000}"/>
            </a:ext>
          </a:extLst>
        </xdr:cNvPr>
        <xdr:cNvSpPr/>
      </xdr:nvSpPr>
      <xdr:spPr>
        <a:xfrm rot="10800000">
          <a:off x="7800975" y="82581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3333750</xdr:colOff>
      <xdr:row>116</xdr:row>
      <xdr:rowOff>57150</xdr:rowOff>
    </xdr:from>
    <xdr:to>
      <xdr:col>5</xdr:col>
      <xdr:colOff>3486149</xdr:colOff>
      <xdr:row>116</xdr:row>
      <xdr:rowOff>152400</xdr:rowOff>
    </xdr:to>
    <xdr:sp macro="" textlink="">
      <xdr:nvSpPr>
        <xdr:cNvPr id="24" name="Isosceles Triangle 23">
          <a:extLst>
            <a:ext uri="{FF2B5EF4-FFF2-40B4-BE49-F238E27FC236}">
              <a16:creationId xmlns:a16="http://schemas.microsoft.com/office/drawing/2014/main" id="{00000000-0008-0000-0900-000018000000}"/>
            </a:ext>
          </a:extLst>
        </xdr:cNvPr>
        <xdr:cNvSpPr/>
      </xdr:nvSpPr>
      <xdr:spPr>
        <a:xfrm rot="10800000">
          <a:off x="7810500" y="185547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119</xdr:row>
      <xdr:rowOff>47625</xdr:rowOff>
    </xdr:from>
    <xdr:to>
      <xdr:col>5</xdr:col>
      <xdr:colOff>3467099</xdr:colOff>
      <xdr:row>119</xdr:row>
      <xdr:rowOff>142875</xdr:rowOff>
    </xdr:to>
    <xdr:sp macro="" textlink="">
      <xdr:nvSpPr>
        <xdr:cNvPr id="25" name="Isosceles Triangle 24">
          <a:extLst>
            <a:ext uri="{FF2B5EF4-FFF2-40B4-BE49-F238E27FC236}">
              <a16:creationId xmlns:a16="http://schemas.microsoft.com/office/drawing/2014/main" id="{00000000-0008-0000-0900-000019000000}"/>
            </a:ext>
          </a:extLst>
        </xdr:cNvPr>
        <xdr:cNvSpPr/>
      </xdr:nvSpPr>
      <xdr:spPr>
        <a:xfrm rot="10800000">
          <a:off x="7791450" y="1922145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3305175</xdr:colOff>
      <xdr:row>123</xdr:row>
      <xdr:rowOff>38100</xdr:rowOff>
    </xdr:from>
    <xdr:to>
      <xdr:col>5</xdr:col>
      <xdr:colOff>3457574</xdr:colOff>
      <xdr:row>123</xdr:row>
      <xdr:rowOff>133350</xdr:rowOff>
    </xdr:to>
    <xdr:sp macro="" textlink="">
      <xdr:nvSpPr>
        <xdr:cNvPr id="26" name="Isosceles Triangle 25">
          <a:extLst>
            <a:ext uri="{FF2B5EF4-FFF2-40B4-BE49-F238E27FC236}">
              <a16:creationId xmlns:a16="http://schemas.microsoft.com/office/drawing/2014/main" id="{00000000-0008-0000-0900-00001A000000}"/>
            </a:ext>
          </a:extLst>
        </xdr:cNvPr>
        <xdr:cNvSpPr/>
      </xdr:nvSpPr>
      <xdr:spPr>
        <a:xfrm rot="10800000">
          <a:off x="7781925" y="200501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238124</xdr:colOff>
      <xdr:row>2</xdr:row>
      <xdr:rowOff>9525</xdr:rowOff>
    </xdr:from>
    <xdr:to>
      <xdr:col>10</xdr:col>
      <xdr:colOff>16949</xdr:colOff>
      <xdr:row>193</xdr:row>
      <xdr:rowOff>3975</xdr:rowOff>
    </xdr:to>
    <xdr:sp macro="" textlink="">
      <xdr:nvSpPr>
        <xdr:cNvPr id="2" name="Rectangle 1">
          <a:extLst>
            <a:ext uri="{FF2B5EF4-FFF2-40B4-BE49-F238E27FC236}">
              <a16:creationId xmlns:a16="http://schemas.microsoft.com/office/drawing/2014/main" id="{00000000-0008-0000-0A00-000002000000}"/>
            </a:ext>
          </a:extLst>
        </xdr:cNvPr>
        <xdr:cNvSpPr/>
      </xdr:nvSpPr>
      <xdr:spPr>
        <a:xfrm>
          <a:off x="9477374" y="333375"/>
          <a:ext cx="283650" cy="241689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66675</xdr:colOff>
      <xdr:row>2</xdr:row>
      <xdr:rowOff>85725</xdr:rowOff>
    </xdr:from>
    <xdr:ext cx="2223237" cy="468013"/>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676275" y="409575"/>
          <a:ext cx="2223237"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Linx</a:t>
          </a:r>
          <a:r>
            <a:rPr lang="en-AU" sz="2400" b="1" baseline="0"/>
            <a:t> </a:t>
          </a:r>
          <a:r>
            <a:rPr lang="en-AU" sz="2400" b="1"/>
            <a:t>7900</a:t>
          </a:r>
          <a:r>
            <a:rPr lang="en-AU" sz="2400" b="1" baseline="0"/>
            <a:t> Series</a:t>
          </a:r>
          <a:endParaRPr lang="en-AU" sz="2400" b="1"/>
        </a:p>
      </xdr:txBody>
    </xdr:sp>
    <xdr:clientData/>
  </xdr:oneCellAnchor>
  <xdr:twoCellAnchor>
    <xdr:from>
      <xdr:col>1</xdr:col>
      <xdr:colOff>38100</xdr:colOff>
      <xdr:row>192</xdr:row>
      <xdr:rowOff>133350</xdr:rowOff>
    </xdr:from>
    <xdr:to>
      <xdr:col>10</xdr:col>
      <xdr:colOff>16650</xdr:colOff>
      <xdr:row>193</xdr:row>
      <xdr:rowOff>19050</xdr:rowOff>
    </xdr:to>
    <xdr:sp macro="" textlink="">
      <xdr:nvSpPr>
        <xdr:cNvPr id="4" name="Rectangle 3">
          <a:extLst>
            <a:ext uri="{FF2B5EF4-FFF2-40B4-BE49-F238E27FC236}">
              <a16:creationId xmlns:a16="http://schemas.microsoft.com/office/drawing/2014/main" id="{00000000-0008-0000-0A00-000004000000}"/>
            </a:ext>
          </a:extLst>
        </xdr:cNvPr>
        <xdr:cNvSpPr/>
      </xdr:nvSpPr>
      <xdr:spPr>
        <a:xfrm flipH="1">
          <a:off x="647700" y="24469725"/>
          <a:ext cx="9113025"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6</xdr:col>
      <xdr:colOff>104775</xdr:colOff>
      <xdr:row>144</xdr:row>
      <xdr:rowOff>85725</xdr:rowOff>
    </xdr:from>
    <xdr:to>
      <xdr:col>6</xdr:col>
      <xdr:colOff>476250</xdr:colOff>
      <xdr:row>144</xdr:row>
      <xdr:rowOff>87313</xdr:rowOff>
    </xdr:to>
    <xdr:cxnSp macro="">
      <xdr:nvCxnSpPr>
        <xdr:cNvPr id="5" name="Straight Arrow Connector 4">
          <a:extLst>
            <a:ext uri="{FF2B5EF4-FFF2-40B4-BE49-F238E27FC236}">
              <a16:creationId xmlns:a16="http://schemas.microsoft.com/office/drawing/2014/main" id="{00000000-0008-0000-0A00-000005000000}"/>
            </a:ext>
          </a:extLst>
        </xdr:cNvPr>
        <xdr:cNvCxnSpPr/>
      </xdr:nvCxnSpPr>
      <xdr:spPr>
        <a:xfrm>
          <a:off x="7086600" y="19011900"/>
          <a:ext cx="371475" cy="0"/>
        </a:xfrm>
        <a:prstGeom prst="straightConnector1">
          <a:avLst/>
        </a:prstGeom>
        <a:ln>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editAs="oneCell">
    <xdr:from>
      <xdr:col>7</xdr:col>
      <xdr:colOff>495300</xdr:colOff>
      <xdr:row>168</xdr:row>
      <xdr:rowOff>133350</xdr:rowOff>
    </xdr:from>
    <xdr:to>
      <xdr:col>8</xdr:col>
      <xdr:colOff>704850</xdr:colOff>
      <xdr:row>170</xdr:row>
      <xdr:rowOff>76200</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A00-000006000000}"/>
            </a:ext>
          </a:extLst>
        </xdr:cNvPr>
        <xdr:cNvSpPr/>
      </xdr:nvSpPr>
      <xdr:spPr>
        <a:xfrm>
          <a:off x="8982075" y="25850850"/>
          <a:ext cx="1066800" cy="266700"/>
        </a:xfrm>
        <a:prstGeom prst="roundRect">
          <a:avLst/>
        </a:prstGeom>
        <a:solidFill>
          <a:schemeClr val="bg1">
            <a:lumMod val="8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AU" sz="1050">
              <a:solidFill>
                <a:schemeClr val="tx1">
                  <a:lumMod val="65000"/>
                  <a:lumOff val="35000"/>
                </a:schemeClr>
              </a:solidFill>
            </a:rPr>
            <a:t>CoverSheet</a:t>
          </a:r>
        </a:p>
      </xdr:txBody>
    </xdr:sp>
    <xdr:clientData/>
  </xdr:twoCellAnchor>
  <xdr:twoCellAnchor editAs="oneCell">
    <xdr:from>
      <xdr:col>6</xdr:col>
      <xdr:colOff>457199</xdr:colOff>
      <xdr:row>3</xdr:row>
      <xdr:rowOff>95250</xdr:rowOff>
    </xdr:from>
    <xdr:to>
      <xdr:col>8</xdr:col>
      <xdr:colOff>685799</xdr:colOff>
      <xdr:row>11</xdr:row>
      <xdr:rowOff>40783</xdr:rowOff>
    </xdr:to>
    <xdr:pic>
      <xdr:nvPicPr>
        <xdr:cNvPr id="9" name="Picture 8" descr="C:\Documents and Settings\TrentM\My Documents\Downloads\LX2675.jpg">
          <a:extLst>
            <a:ext uri="{FF2B5EF4-FFF2-40B4-BE49-F238E27FC236}">
              <a16:creationId xmlns:a16="http://schemas.microsoft.com/office/drawing/2014/main" id="{00000000-0008-0000-0A00-000009000000}"/>
            </a:ext>
          </a:extLst>
        </xdr:cNvPr>
        <xdr:cNvPicPr>
          <a:picLocks noChangeAspect="1" noChangeArrowheads="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xdr:blipFill>
      <xdr:spPr bwMode="auto">
        <a:xfrm flipH="1">
          <a:off x="8267699" y="581025"/>
          <a:ext cx="1762125" cy="12409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28575</xdr:colOff>
      <xdr:row>20</xdr:row>
      <xdr:rowOff>76201</xdr:rowOff>
    </xdr:from>
    <xdr:to>
      <xdr:col>2</xdr:col>
      <xdr:colOff>933450</xdr:colOff>
      <xdr:row>24</xdr:row>
      <xdr:rowOff>65737</xdr:rowOff>
    </xdr:to>
    <xdr:pic>
      <xdr:nvPicPr>
        <xdr:cNvPr id="13" name="Picture 12" descr="C:\Documents and Settings\TrentM\My Documents\Downloads\LX2675.jpg">
          <a:extLst>
            <a:ext uri="{FF2B5EF4-FFF2-40B4-BE49-F238E27FC236}">
              <a16:creationId xmlns:a16="http://schemas.microsoft.com/office/drawing/2014/main" id="{00000000-0008-0000-0A00-00000D000000}"/>
            </a:ext>
          </a:extLst>
        </xdr:cNvPr>
        <xdr:cNvPicPr>
          <a:picLocks noChangeAspect="1" noChangeArrowheads="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bwMode="auto">
        <a:xfrm flipH="1">
          <a:off x="1123950" y="3486151"/>
          <a:ext cx="904875" cy="6372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114300</xdr:colOff>
      <xdr:row>35</xdr:row>
      <xdr:rowOff>76200</xdr:rowOff>
    </xdr:from>
    <xdr:to>
      <xdr:col>2</xdr:col>
      <xdr:colOff>800100</xdr:colOff>
      <xdr:row>36</xdr:row>
      <xdr:rowOff>0</xdr:rowOff>
    </xdr:to>
    <xdr:pic>
      <xdr:nvPicPr>
        <xdr:cNvPr id="14" name="Picture 24">
          <a:extLst>
            <a:ext uri="{FF2B5EF4-FFF2-40B4-BE49-F238E27FC236}">
              <a16:creationId xmlns:a16="http://schemas.microsoft.com/office/drawing/2014/main" id="{00000000-0008-0000-0A00-00000E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rot="-5400000">
          <a:off x="1381125" y="5743575"/>
          <a:ext cx="342900" cy="685800"/>
        </a:xfrm>
        <a:prstGeom prst="rect">
          <a:avLst/>
        </a:prstGeom>
        <a:noFill/>
        <a:ln w="9525">
          <a:noFill/>
          <a:miter lim="800000"/>
          <a:headEnd/>
          <a:tailEnd/>
        </a:ln>
      </xdr:spPr>
    </xdr:pic>
    <xdr:clientData/>
  </xdr:twoCellAnchor>
  <xdr:twoCellAnchor editAs="oneCell">
    <xdr:from>
      <xdr:col>2</xdr:col>
      <xdr:colOff>57151</xdr:colOff>
      <xdr:row>76</xdr:row>
      <xdr:rowOff>38100</xdr:rowOff>
    </xdr:from>
    <xdr:to>
      <xdr:col>2</xdr:col>
      <xdr:colOff>895351</xdr:colOff>
      <xdr:row>78</xdr:row>
      <xdr:rowOff>23965</xdr:rowOff>
    </xdr:to>
    <xdr:pic>
      <xdr:nvPicPr>
        <xdr:cNvPr id="18" name="Picture 17" descr="C:\Documents and Settings\TrentM\My Documents\Downloads\LX2182.jpg">
          <a:extLst>
            <a:ext uri="{FF2B5EF4-FFF2-40B4-BE49-F238E27FC236}">
              <a16:creationId xmlns:a16="http://schemas.microsoft.com/office/drawing/2014/main" id="{00000000-0008-0000-0A00-000012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1152526" y="12268200"/>
          <a:ext cx="838200" cy="6335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69850</xdr:colOff>
      <xdr:row>31</xdr:row>
      <xdr:rowOff>171449</xdr:rowOff>
    </xdr:from>
    <xdr:to>
      <xdr:col>1</xdr:col>
      <xdr:colOff>406400</xdr:colOff>
      <xdr:row>33</xdr:row>
      <xdr:rowOff>42862</xdr:rowOff>
    </xdr:to>
    <xdr:pic>
      <xdr:nvPicPr>
        <xdr:cNvPr id="12" name="Picture 11" descr="C:\Documents and Settings\TrentM\Local Settings\Temporary Internet Files\Content.IE5\06M4LU5S\MC900433165[1].jpg">
          <a:hlinkClick xmlns:r="http://schemas.openxmlformats.org/officeDocument/2006/relationships" r:id="rId6"/>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bwMode="auto">
        <a:xfrm>
          <a:off x="679450" y="5381624"/>
          <a:ext cx="336550" cy="2524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47625</xdr:colOff>
      <xdr:row>49</xdr:row>
      <xdr:rowOff>19050</xdr:rowOff>
    </xdr:from>
    <xdr:to>
      <xdr:col>1</xdr:col>
      <xdr:colOff>447675</xdr:colOff>
      <xdr:row>51</xdr:row>
      <xdr:rowOff>52388</xdr:rowOff>
    </xdr:to>
    <xdr:pic>
      <xdr:nvPicPr>
        <xdr:cNvPr id="16" name="Picture 15" descr="C:\Documents and Settings\TrentM\Local Settings\Temporary Internet Files\Content.IE5\06M4LU5S\MC900433165[1].jpg">
          <a:hlinkClick xmlns:r="http://schemas.openxmlformats.org/officeDocument/2006/relationships" r:id="rId8"/>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9" cstate="email">
          <a:extLst>
            <a:ext uri="{28A0092B-C50C-407E-A947-70E740481C1C}">
              <a14:useLocalDpi xmlns:a14="http://schemas.microsoft.com/office/drawing/2010/main"/>
            </a:ext>
          </a:extLst>
        </a:blip>
        <a:srcRect/>
        <a:stretch>
          <a:fillRect/>
        </a:stretch>
      </xdr:blipFill>
      <xdr:spPr bwMode="auto">
        <a:xfrm>
          <a:off x="657225" y="8315325"/>
          <a:ext cx="400050" cy="3000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xdr:colOff>
      <xdr:row>72</xdr:row>
      <xdr:rowOff>152400</xdr:rowOff>
    </xdr:from>
    <xdr:to>
      <xdr:col>1</xdr:col>
      <xdr:colOff>431799</xdr:colOff>
      <xdr:row>75</xdr:row>
      <xdr:rowOff>19050</xdr:rowOff>
    </xdr:to>
    <xdr:pic>
      <xdr:nvPicPr>
        <xdr:cNvPr id="17" name="Picture 16" descr="C:\Documents and Settings\TrentM\Local Settings\Temporary Internet Files\Content.IE5\06M4LU5S\MC900433165[1].jpg">
          <a:hlinkClick xmlns:r="http://schemas.openxmlformats.org/officeDocument/2006/relationships" r:id="rId8"/>
          <a:extLst>
            <a:ext uri="{FF2B5EF4-FFF2-40B4-BE49-F238E27FC236}">
              <a16:creationId xmlns:a16="http://schemas.microsoft.com/office/drawing/2014/main" id="{00000000-0008-0000-0A00-000011000000}"/>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a:off x="647700" y="11953875"/>
          <a:ext cx="393699"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85725</xdr:colOff>
      <xdr:row>39</xdr:row>
      <xdr:rowOff>123825</xdr:rowOff>
    </xdr:from>
    <xdr:to>
      <xdr:col>2</xdr:col>
      <xdr:colOff>818153</xdr:colOff>
      <xdr:row>43</xdr:row>
      <xdr:rowOff>152400</xdr:rowOff>
    </xdr:to>
    <xdr:pic>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181100" y="6638925"/>
          <a:ext cx="732428" cy="676275"/>
        </a:xfrm>
        <a:prstGeom prst="rect">
          <a:avLst/>
        </a:prstGeom>
      </xdr:spPr>
    </xdr:pic>
    <xdr:clientData/>
  </xdr:twoCellAnchor>
  <xdr:twoCellAnchor>
    <xdr:from>
      <xdr:col>5</xdr:col>
      <xdr:colOff>3314700</xdr:colOff>
      <xdr:row>16</xdr:row>
      <xdr:rowOff>38100</xdr:rowOff>
    </xdr:from>
    <xdr:to>
      <xdr:col>5</xdr:col>
      <xdr:colOff>3467099</xdr:colOff>
      <xdr:row>16</xdr:row>
      <xdr:rowOff>133350</xdr:rowOff>
    </xdr:to>
    <xdr:sp macro="" textlink="">
      <xdr:nvSpPr>
        <xdr:cNvPr id="7" name="Isosceles Triangle 6">
          <a:extLst>
            <a:ext uri="{FF2B5EF4-FFF2-40B4-BE49-F238E27FC236}">
              <a16:creationId xmlns:a16="http://schemas.microsoft.com/office/drawing/2014/main" id="{00000000-0008-0000-0A00-000007000000}"/>
            </a:ext>
          </a:extLst>
        </xdr:cNvPr>
        <xdr:cNvSpPr/>
      </xdr:nvSpPr>
      <xdr:spPr>
        <a:xfrm rot="10800000">
          <a:off x="7620000" y="26384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17</xdr:row>
      <xdr:rowOff>47625</xdr:rowOff>
    </xdr:from>
    <xdr:to>
      <xdr:col>5</xdr:col>
      <xdr:colOff>3467099</xdr:colOff>
      <xdr:row>17</xdr:row>
      <xdr:rowOff>142875</xdr:rowOff>
    </xdr:to>
    <xdr:sp macro="" textlink="">
      <xdr:nvSpPr>
        <xdr:cNvPr id="20" name="Isosceles Triangle 19">
          <a:extLst>
            <a:ext uri="{FF2B5EF4-FFF2-40B4-BE49-F238E27FC236}">
              <a16:creationId xmlns:a16="http://schemas.microsoft.com/office/drawing/2014/main" id="{00000000-0008-0000-0A00-000014000000}"/>
            </a:ext>
          </a:extLst>
        </xdr:cNvPr>
        <xdr:cNvSpPr/>
      </xdr:nvSpPr>
      <xdr:spPr>
        <a:xfrm rot="10800000">
          <a:off x="7620000" y="28098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18</xdr:row>
      <xdr:rowOff>47625</xdr:rowOff>
    </xdr:from>
    <xdr:to>
      <xdr:col>5</xdr:col>
      <xdr:colOff>3467099</xdr:colOff>
      <xdr:row>18</xdr:row>
      <xdr:rowOff>142875</xdr:rowOff>
    </xdr:to>
    <xdr:sp macro="" textlink="">
      <xdr:nvSpPr>
        <xdr:cNvPr id="21" name="Isosceles Triangle 20">
          <a:extLst>
            <a:ext uri="{FF2B5EF4-FFF2-40B4-BE49-F238E27FC236}">
              <a16:creationId xmlns:a16="http://schemas.microsoft.com/office/drawing/2014/main" id="{00000000-0008-0000-0A00-000015000000}"/>
            </a:ext>
          </a:extLst>
        </xdr:cNvPr>
        <xdr:cNvSpPr/>
      </xdr:nvSpPr>
      <xdr:spPr>
        <a:xfrm rot="10800000">
          <a:off x="7620000" y="29718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19</xdr:row>
      <xdr:rowOff>47625</xdr:rowOff>
    </xdr:from>
    <xdr:to>
      <xdr:col>5</xdr:col>
      <xdr:colOff>3467099</xdr:colOff>
      <xdr:row>19</xdr:row>
      <xdr:rowOff>142875</xdr:rowOff>
    </xdr:to>
    <xdr:sp macro="" textlink="">
      <xdr:nvSpPr>
        <xdr:cNvPr id="22" name="Isosceles Triangle 21">
          <a:extLst>
            <a:ext uri="{FF2B5EF4-FFF2-40B4-BE49-F238E27FC236}">
              <a16:creationId xmlns:a16="http://schemas.microsoft.com/office/drawing/2014/main" id="{00000000-0008-0000-0A00-000016000000}"/>
            </a:ext>
          </a:extLst>
        </xdr:cNvPr>
        <xdr:cNvSpPr/>
      </xdr:nvSpPr>
      <xdr:spPr>
        <a:xfrm rot="10800000">
          <a:off x="7620000" y="31337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21</xdr:row>
      <xdr:rowOff>47625</xdr:rowOff>
    </xdr:from>
    <xdr:to>
      <xdr:col>5</xdr:col>
      <xdr:colOff>3467099</xdr:colOff>
      <xdr:row>21</xdr:row>
      <xdr:rowOff>142875</xdr:rowOff>
    </xdr:to>
    <xdr:sp macro="" textlink="">
      <xdr:nvSpPr>
        <xdr:cNvPr id="23" name="Isosceles Triangle 22">
          <a:extLst>
            <a:ext uri="{FF2B5EF4-FFF2-40B4-BE49-F238E27FC236}">
              <a16:creationId xmlns:a16="http://schemas.microsoft.com/office/drawing/2014/main" id="{00000000-0008-0000-0A00-000017000000}"/>
            </a:ext>
          </a:extLst>
        </xdr:cNvPr>
        <xdr:cNvSpPr/>
      </xdr:nvSpPr>
      <xdr:spPr>
        <a:xfrm rot="10800000">
          <a:off x="7620000" y="34575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3324225</xdr:colOff>
      <xdr:row>22</xdr:row>
      <xdr:rowOff>47625</xdr:rowOff>
    </xdr:from>
    <xdr:to>
      <xdr:col>5</xdr:col>
      <xdr:colOff>3476624</xdr:colOff>
      <xdr:row>22</xdr:row>
      <xdr:rowOff>142875</xdr:rowOff>
    </xdr:to>
    <xdr:sp macro="" textlink="">
      <xdr:nvSpPr>
        <xdr:cNvPr id="24" name="Isosceles Triangle 23">
          <a:extLst>
            <a:ext uri="{FF2B5EF4-FFF2-40B4-BE49-F238E27FC236}">
              <a16:creationId xmlns:a16="http://schemas.microsoft.com/office/drawing/2014/main" id="{00000000-0008-0000-0A00-000018000000}"/>
            </a:ext>
          </a:extLst>
        </xdr:cNvPr>
        <xdr:cNvSpPr/>
      </xdr:nvSpPr>
      <xdr:spPr>
        <a:xfrm rot="10800000">
          <a:off x="7629525" y="36195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23</xdr:row>
      <xdr:rowOff>38100</xdr:rowOff>
    </xdr:from>
    <xdr:to>
      <xdr:col>5</xdr:col>
      <xdr:colOff>3467099</xdr:colOff>
      <xdr:row>23</xdr:row>
      <xdr:rowOff>133350</xdr:rowOff>
    </xdr:to>
    <xdr:sp macro="" textlink="">
      <xdr:nvSpPr>
        <xdr:cNvPr id="25" name="Isosceles Triangle 24">
          <a:extLst>
            <a:ext uri="{FF2B5EF4-FFF2-40B4-BE49-F238E27FC236}">
              <a16:creationId xmlns:a16="http://schemas.microsoft.com/office/drawing/2014/main" id="{00000000-0008-0000-0A00-000019000000}"/>
            </a:ext>
          </a:extLst>
        </xdr:cNvPr>
        <xdr:cNvSpPr/>
      </xdr:nvSpPr>
      <xdr:spPr>
        <a:xfrm rot="10800000">
          <a:off x="7620000" y="37719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3305175</xdr:colOff>
      <xdr:row>26</xdr:row>
      <xdr:rowOff>47625</xdr:rowOff>
    </xdr:from>
    <xdr:to>
      <xdr:col>5</xdr:col>
      <xdr:colOff>3457574</xdr:colOff>
      <xdr:row>26</xdr:row>
      <xdr:rowOff>142875</xdr:rowOff>
    </xdr:to>
    <xdr:sp macro="" textlink="">
      <xdr:nvSpPr>
        <xdr:cNvPr id="26" name="Isosceles Triangle 25">
          <a:extLst>
            <a:ext uri="{FF2B5EF4-FFF2-40B4-BE49-F238E27FC236}">
              <a16:creationId xmlns:a16="http://schemas.microsoft.com/office/drawing/2014/main" id="{00000000-0008-0000-0A00-00001A000000}"/>
            </a:ext>
          </a:extLst>
        </xdr:cNvPr>
        <xdr:cNvSpPr/>
      </xdr:nvSpPr>
      <xdr:spPr>
        <a:xfrm rot="10800000">
          <a:off x="7610475" y="42672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3295650</xdr:colOff>
      <xdr:row>35</xdr:row>
      <xdr:rowOff>38100</xdr:rowOff>
    </xdr:from>
    <xdr:to>
      <xdr:col>5</xdr:col>
      <xdr:colOff>3448049</xdr:colOff>
      <xdr:row>35</xdr:row>
      <xdr:rowOff>133350</xdr:rowOff>
    </xdr:to>
    <xdr:sp macro="" textlink="">
      <xdr:nvSpPr>
        <xdr:cNvPr id="27" name="Isosceles Triangle 26">
          <a:extLst>
            <a:ext uri="{FF2B5EF4-FFF2-40B4-BE49-F238E27FC236}">
              <a16:creationId xmlns:a16="http://schemas.microsoft.com/office/drawing/2014/main" id="{00000000-0008-0000-0A00-00001B000000}"/>
            </a:ext>
          </a:extLst>
        </xdr:cNvPr>
        <xdr:cNvSpPr/>
      </xdr:nvSpPr>
      <xdr:spPr>
        <a:xfrm rot="10800000">
          <a:off x="7600950" y="571500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3295650</xdr:colOff>
      <xdr:row>36</xdr:row>
      <xdr:rowOff>47625</xdr:rowOff>
    </xdr:from>
    <xdr:to>
      <xdr:col>5</xdr:col>
      <xdr:colOff>3448049</xdr:colOff>
      <xdr:row>36</xdr:row>
      <xdr:rowOff>142875</xdr:rowOff>
    </xdr:to>
    <xdr:sp macro="" textlink="">
      <xdr:nvSpPr>
        <xdr:cNvPr id="28" name="Isosceles Triangle 27">
          <a:extLst>
            <a:ext uri="{FF2B5EF4-FFF2-40B4-BE49-F238E27FC236}">
              <a16:creationId xmlns:a16="http://schemas.microsoft.com/office/drawing/2014/main" id="{00000000-0008-0000-0A00-00001C000000}"/>
            </a:ext>
          </a:extLst>
        </xdr:cNvPr>
        <xdr:cNvSpPr/>
      </xdr:nvSpPr>
      <xdr:spPr>
        <a:xfrm rot="10800000">
          <a:off x="7600950" y="588645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52</xdr:row>
      <xdr:rowOff>47625</xdr:rowOff>
    </xdr:from>
    <xdr:to>
      <xdr:col>5</xdr:col>
      <xdr:colOff>3467099</xdr:colOff>
      <xdr:row>52</xdr:row>
      <xdr:rowOff>142875</xdr:rowOff>
    </xdr:to>
    <xdr:sp macro="" textlink="">
      <xdr:nvSpPr>
        <xdr:cNvPr id="29" name="Isosceles Triangle 28">
          <a:extLst>
            <a:ext uri="{FF2B5EF4-FFF2-40B4-BE49-F238E27FC236}">
              <a16:creationId xmlns:a16="http://schemas.microsoft.com/office/drawing/2014/main" id="{00000000-0008-0000-0A00-00001D000000}"/>
            </a:ext>
          </a:extLst>
        </xdr:cNvPr>
        <xdr:cNvSpPr/>
      </xdr:nvSpPr>
      <xdr:spPr>
        <a:xfrm rot="10800000">
          <a:off x="7620000" y="84486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3286125</xdr:colOff>
      <xdr:row>115</xdr:row>
      <xdr:rowOff>114300</xdr:rowOff>
    </xdr:from>
    <xdr:to>
      <xdr:col>5</xdr:col>
      <xdr:colOff>3438524</xdr:colOff>
      <xdr:row>115</xdr:row>
      <xdr:rowOff>209550</xdr:rowOff>
    </xdr:to>
    <xdr:sp macro="" textlink="">
      <xdr:nvSpPr>
        <xdr:cNvPr id="30" name="Isosceles Triangle 29">
          <a:extLst>
            <a:ext uri="{FF2B5EF4-FFF2-40B4-BE49-F238E27FC236}">
              <a16:creationId xmlns:a16="http://schemas.microsoft.com/office/drawing/2014/main" id="{00000000-0008-0000-0A00-00001E000000}"/>
            </a:ext>
          </a:extLst>
        </xdr:cNvPr>
        <xdr:cNvSpPr/>
      </xdr:nvSpPr>
      <xdr:spPr>
        <a:xfrm rot="10800000">
          <a:off x="7591425" y="18802350"/>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3267075</xdr:colOff>
      <xdr:row>118</xdr:row>
      <xdr:rowOff>114300</xdr:rowOff>
    </xdr:from>
    <xdr:to>
      <xdr:col>5</xdr:col>
      <xdr:colOff>3419474</xdr:colOff>
      <xdr:row>118</xdr:row>
      <xdr:rowOff>209550</xdr:rowOff>
    </xdr:to>
    <xdr:sp macro="" textlink="">
      <xdr:nvSpPr>
        <xdr:cNvPr id="31" name="Isosceles Triangle 30">
          <a:extLst>
            <a:ext uri="{FF2B5EF4-FFF2-40B4-BE49-F238E27FC236}">
              <a16:creationId xmlns:a16="http://schemas.microsoft.com/office/drawing/2014/main" id="{00000000-0008-0000-0A00-00001F000000}"/>
            </a:ext>
          </a:extLst>
        </xdr:cNvPr>
        <xdr:cNvSpPr/>
      </xdr:nvSpPr>
      <xdr:spPr>
        <a:xfrm rot="10800000">
          <a:off x="7572375" y="1947862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122</xdr:row>
      <xdr:rowOff>57150</xdr:rowOff>
    </xdr:from>
    <xdr:to>
      <xdr:col>5</xdr:col>
      <xdr:colOff>3467099</xdr:colOff>
      <xdr:row>122</xdr:row>
      <xdr:rowOff>152400</xdr:rowOff>
    </xdr:to>
    <xdr:sp macro="" textlink="">
      <xdr:nvSpPr>
        <xdr:cNvPr id="32" name="Isosceles Triangle 31">
          <a:extLst>
            <a:ext uri="{FF2B5EF4-FFF2-40B4-BE49-F238E27FC236}">
              <a16:creationId xmlns:a16="http://schemas.microsoft.com/office/drawing/2014/main" id="{00000000-0008-0000-0A00-000020000000}"/>
            </a:ext>
          </a:extLst>
        </xdr:cNvPr>
        <xdr:cNvSpPr/>
      </xdr:nvSpPr>
      <xdr:spPr>
        <a:xfrm rot="10800000">
          <a:off x="7620000" y="202596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3314700</xdr:colOff>
      <xdr:row>123</xdr:row>
      <xdr:rowOff>47625</xdr:rowOff>
    </xdr:from>
    <xdr:to>
      <xdr:col>5</xdr:col>
      <xdr:colOff>3467099</xdr:colOff>
      <xdr:row>123</xdr:row>
      <xdr:rowOff>142875</xdr:rowOff>
    </xdr:to>
    <xdr:sp macro="" textlink="">
      <xdr:nvSpPr>
        <xdr:cNvPr id="33" name="Isosceles Triangle 32">
          <a:extLst>
            <a:ext uri="{FF2B5EF4-FFF2-40B4-BE49-F238E27FC236}">
              <a16:creationId xmlns:a16="http://schemas.microsoft.com/office/drawing/2014/main" id="{00000000-0008-0000-0A00-000021000000}"/>
            </a:ext>
          </a:extLst>
        </xdr:cNvPr>
        <xdr:cNvSpPr/>
      </xdr:nvSpPr>
      <xdr:spPr>
        <a:xfrm rot="10800000">
          <a:off x="7620000" y="20412075"/>
          <a:ext cx="152399" cy="952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1</xdr:col>
      <xdr:colOff>104775</xdr:colOff>
      <xdr:row>2</xdr:row>
      <xdr:rowOff>85725</xdr:rowOff>
    </xdr:from>
    <xdr:ext cx="4721036" cy="468013"/>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714375" y="409575"/>
          <a:ext cx="472103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solidFill>
                <a:schemeClr val="accent2">
                  <a:lumMod val="75000"/>
                </a:schemeClr>
              </a:solidFill>
            </a:rPr>
            <a:t>Installation Guide &amp; Considerations</a:t>
          </a:r>
        </a:p>
      </xdr:txBody>
    </xdr:sp>
    <xdr:clientData/>
  </xdr:oneCellAnchor>
  <xdr:twoCellAnchor>
    <xdr:from>
      <xdr:col>14</xdr:col>
      <xdr:colOff>590550</xdr:colOff>
      <xdr:row>2</xdr:row>
      <xdr:rowOff>0</xdr:rowOff>
    </xdr:from>
    <xdr:to>
      <xdr:col>15</xdr:col>
      <xdr:colOff>16950</xdr:colOff>
      <xdr:row>75</xdr:row>
      <xdr:rowOff>146850</xdr:rowOff>
    </xdr:to>
    <xdr:sp macro="" textlink="">
      <xdr:nvSpPr>
        <xdr:cNvPr id="5" name="Rectangle 4">
          <a:extLst>
            <a:ext uri="{FF2B5EF4-FFF2-40B4-BE49-F238E27FC236}">
              <a16:creationId xmlns:a16="http://schemas.microsoft.com/office/drawing/2014/main" id="{00000000-0008-0000-0B00-000005000000}"/>
            </a:ext>
          </a:extLst>
        </xdr:cNvPr>
        <xdr:cNvSpPr/>
      </xdr:nvSpPr>
      <xdr:spPr>
        <a:xfrm>
          <a:off x="9201150" y="323850"/>
          <a:ext cx="36000" cy="108720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0</xdr:col>
      <xdr:colOff>609598</xdr:colOff>
      <xdr:row>75</xdr:row>
      <xdr:rowOff>133350</xdr:rowOff>
    </xdr:from>
    <xdr:to>
      <xdr:col>15</xdr:col>
      <xdr:colOff>19049</xdr:colOff>
      <xdr:row>77</xdr:row>
      <xdr:rowOff>133350</xdr:rowOff>
    </xdr:to>
    <xdr:sp macro="" textlink="">
      <xdr:nvSpPr>
        <xdr:cNvPr id="6" name="Rectangle 5">
          <a:extLst>
            <a:ext uri="{FF2B5EF4-FFF2-40B4-BE49-F238E27FC236}">
              <a16:creationId xmlns:a16="http://schemas.microsoft.com/office/drawing/2014/main" id="{00000000-0008-0000-0B00-000006000000}"/>
            </a:ext>
          </a:extLst>
        </xdr:cNvPr>
        <xdr:cNvSpPr/>
      </xdr:nvSpPr>
      <xdr:spPr>
        <a:xfrm flipH="1">
          <a:off x="609598" y="11182350"/>
          <a:ext cx="8629651" cy="3238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editAs="oneCell">
    <xdr:from>
      <xdr:col>2</xdr:col>
      <xdr:colOff>359532</xdr:colOff>
      <xdr:row>30</xdr:row>
      <xdr:rowOff>28575</xdr:rowOff>
    </xdr:from>
    <xdr:to>
      <xdr:col>14</xdr:col>
      <xdr:colOff>104775</xdr:colOff>
      <xdr:row>48</xdr:row>
      <xdr:rowOff>133350</xdr:rowOff>
    </xdr:to>
    <xdr:pic>
      <xdr:nvPicPr>
        <xdr:cNvPr id="5121" name="Picture 1">
          <a:extLst>
            <a:ext uri="{FF2B5EF4-FFF2-40B4-BE49-F238E27FC236}">
              <a16:creationId xmlns:a16="http://schemas.microsoft.com/office/drawing/2014/main" id="{00000000-0008-0000-0B00-00000114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1578732" y="5086350"/>
          <a:ext cx="7193793" cy="301942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2</xdr:col>
          <xdr:colOff>571500</xdr:colOff>
          <xdr:row>54</xdr:row>
          <xdr:rowOff>57150</xdr:rowOff>
        </xdr:from>
        <xdr:to>
          <xdr:col>4</xdr:col>
          <xdr:colOff>266700</xdr:colOff>
          <xdr:row>58</xdr:row>
          <xdr:rowOff>95250</xdr:rowOff>
        </xdr:to>
        <xdr:sp macro="" textlink="">
          <xdr:nvSpPr>
            <xdr:cNvPr id="5122" name="Object 2" descr="TTO Site Inspection Sheet" hidden="1">
              <a:extLst>
                <a:ext uri="{63B3BB69-23CF-44E3-9099-C40C66FF867C}">
                  <a14:compatExt spid="_x0000_s5122"/>
                </a:ext>
                <a:ext uri="{FF2B5EF4-FFF2-40B4-BE49-F238E27FC236}">
                  <a16:creationId xmlns:a16="http://schemas.microsoft.com/office/drawing/2014/main" id="{00000000-0008-0000-0B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7</xdr:col>
      <xdr:colOff>152400</xdr:colOff>
      <xdr:row>17</xdr:row>
      <xdr:rowOff>19050</xdr:rowOff>
    </xdr:from>
    <xdr:to>
      <xdr:col>8</xdr:col>
      <xdr:colOff>66675</xdr:colOff>
      <xdr:row>20</xdr:row>
      <xdr:rowOff>114300</xdr:rowOff>
    </xdr:to>
    <xdr:sp macro="" textlink="">
      <xdr:nvSpPr>
        <xdr:cNvPr id="2" name="Right Brace 1">
          <a:extLst>
            <a:ext uri="{FF2B5EF4-FFF2-40B4-BE49-F238E27FC236}">
              <a16:creationId xmlns:a16="http://schemas.microsoft.com/office/drawing/2014/main" id="{00000000-0008-0000-0C00-000002000000}"/>
            </a:ext>
          </a:extLst>
        </xdr:cNvPr>
        <xdr:cNvSpPr/>
      </xdr:nvSpPr>
      <xdr:spPr>
        <a:xfrm>
          <a:off x="7753350" y="2409825"/>
          <a:ext cx="171450" cy="904875"/>
        </a:xfrm>
        <a:prstGeom prst="rightBrace">
          <a:avLst/>
        </a:prstGeom>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AU" sz="1100"/>
        </a:p>
      </xdr:txBody>
    </xdr:sp>
    <xdr:clientData/>
  </xdr:twoCellAnchor>
  <xdr:oneCellAnchor>
    <xdr:from>
      <xdr:col>8</xdr:col>
      <xdr:colOff>142875</xdr:colOff>
      <xdr:row>17</xdr:row>
      <xdr:rowOff>314325</xdr:rowOff>
    </xdr:from>
    <xdr:ext cx="1173142" cy="436786"/>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8001000" y="2705100"/>
          <a:ext cx="1173142"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AU" sz="1100" b="1"/>
            <a:t>A </a:t>
          </a:r>
          <a:r>
            <a:rPr lang="en-AU" sz="1100" b="1" u="sng"/>
            <a:t>CPM</a:t>
          </a:r>
          <a:r>
            <a:rPr lang="en-AU" sz="1100" b="1"/>
            <a:t> will</a:t>
          </a:r>
          <a:r>
            <a:rPr lang="en-AU" sz="1100" b="1" baseline="0"/>
            <a:t> need </a:t>
          </a:r>
        </a:p>
        <a:p>
          <a:pPr algn="ctr"/>
          <a:r>
            <a:rPr lang="en-AU" sz="1100" b="1" baseline="0"/>
            <a:t>to be created</a:t>
          </a:r>
          <a:endParaRPr lang="en-AU" sz="1100" b="1"/>
        </a:p>
      </xdr:txBody>
    </xdr:sp>
    <xdr:clientData/>
  </xdr:oneCellAnchor>
  <xdr:twoCellAnchor editAs="oneCell">
    <xdr:from>
      <xdr:col>4</xdr:col>
      <xdr:colOff>171450</xdr:colOff>
      <xdr:row>2</xdr:row>
      <xdr:rowOff>19050</xdr:rowOff>
    </xdr:from>
    <xdr:to>
      <xdr:col>6</xdr:col>
      <xdr:colOff>657225</xdr:colOff>
      <xdr:row>7</xdr:row>
      <xdr:rowOff>123825</xdr:rowOff>
    </xdr:to>
    <xdr:pic>
      <xdr:nvPicPr>
        <xdr:cNvPr id="6" name="Picture 2">
          <a:extLst>
            <a:ext uri="{FF2B5EF4-FFF2-40B4-BE49-F238E27FC236}">
              <a16:creationId xmlns:a16="http://schemas.microsoft.com/office/drawing/2014/main" id="{00000000-0008-0000-0C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715000" y="485775"/>
          <a:ext cx="1905000" cy="914400"/>
        </a:xfrm>
        <a:prstGeom prst="rect">
          <a:avLst/>
        </a:prstGeom>
        <a:noFill/>
        <a:ln w="1">
          <a:noFill/>
          <a:miter lim="800000"/>
          <a:headEnd/>
          <a:tailEnd type="none" w="med" len="med"/>
        </a:ln>
        <a:effec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9</xdr:col>
      <xdr:colOff>238124</xdr:colOff>
      <xdr:row>2</xdr:row>
      <xdr:rowOff>19050</xdr:rowOff>
    </xdr:from>
    <xdr:to>
      <xdr:col>10</xdr:col>
      <xdr:colOff>16949</xdr:colOff>
      <xdr:row>256</xdr:row>
      <xdr:rowOff>3974</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10477499" y="342900"/>
          <a:ext cx="359850" cy="25388099"/>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66675</xdr:colOff>
      <xdr:row>2</xdr:row>
      <xdr:rowOff>85725</xdr:rowOff>
    </xdr:from>
    <xdr:ext cx="2223237" cy="468013"/>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708025" y="403225"/>
          <a:ext cx="2223237"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Linx 8900 Series</a:t>
          </a:r>
        </a:p>
      </xdr:txBody>
    </xdr:sp>
    <xdr:clientData/>
  </xdr:oneCellAnchor>
  <xdr:twoCellAnchor>
    <xdr:from>
      <xdr:col>1</xdr:col>
      <xdr:colOff>38100</xdr:colOff>
      <xdr:row>255</xdr:row>
      <xdr:rowOff>133350</xdr:rowOff>
    </xdr:from>
    <xdr:to>
      <xdr:col>10</xdr:col>
      <xdr:colOff>16650</xdr:colOff>
      <xdr:row>256</xdr:row>
      <xdr:rowOff>19050</xdr:rowOff>
    </xdr:to>
    <xdr:sp macro="" textlink="">
      <xdr:nvSpPr>
        <xdr:cNvPr id="4" name="Rectangle 3">
          <a:extLst>
            <a:ext uri="{FF2B5EF4-FFF2-40B4-BE49-F238E27FC236}">
              <a16:creationId xmlns:a16="http://schemas.microsoft.com/office/drawing/2014/main" id="{00000000-0008-0000-0E00-000004000000}"/>
            </a:ext>
          </a:extLst>
        </xdr:cNvPr>
        <xdr:cNvSpPr/>
      </xdr:nvSpPr>
      <xdr:spPr>
        <a:xfrm flipH="1">
          <a:off x="679450" y="26371550"/>
          <a:ext cx="10579100" cy="444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6</xdr:col>
      <xdr:colOff>104775</xdr:colOff>
      <xdr:row>190</xdr:row>
      <xdr:rowOff>85725</xdr:rowOff>
    </xdr:from>
    <xdr:to>
      <xdr:col>6</xdr:col>
      <xdr:colOff>476250</xdr:colOff>
      <xdr:row>190</xdr:row>
      <xdr:rowOff>87313</xdr:rowOff>
    </xdr:to>
    <xdr:cxnSp macro="">
      <xdr:nvCxnSpPr>
        <xdr:cNvPr id="5" name="Straight Arrow Connector 4">
          <a:extLst>
            <a:ext uri="{FF2B5EF4-FFF2-40B4-BE49-F238E27FC236}">
              <a16:creationId xmlns:a16="http://schemas.microsoft.com/office/drawing/2014/main" id="{00000000-0008-0000-0E00-000005000000}"/>
            </a:ext>
          </a:extLst>
        </xdr:cNvPr>
        <xdr:cNvCxnSpPr/>
      </xdr:nvCxnSpPr>
      <xdr:spPr>
        <a:xfrm>
          <a:off x="8474075" y="23107650"/>
          <a:ext cx="371475" cy="0"/>
        </a:xfrm>
        <a:prstGeom prst="straightConnector1">
          <a:avLst/>
        </a:prstGeom>
        <a:ln>
          <a:tailEnd type="arrow"/>
        </a:ln>
      </xdr:spPr>
      <xdr:style>
        <a:lnRef idx="1">
          <a:schemeClr val="accent3"/>
        </a:lnRef>
        <a:fillRef idx="0">
          <a:schemeClr val="accent3"/>
        </a:fillRef>
        <a:effectRef idx="0">
          <a:schemeClr val="accent3"/>
        </a:effectRef>
        <a:fontRef idx="minor">
          <a:schemeClr val="tx1"/>
        </a:fontRef>
      </xdr:style>
    </xdr:cxnSp>
    <xdr:clientData/>
  </xdr:twoCellAnchor>
  <xdr:twoCellAnchor editAs="oneCell">
    <xdr:from>
      <xdr:col>7</xdr:col>
      <xdr:colOff>495300</xdr:colOff>
      <xdr:row>215</xdr:row>
      <xdr:rowOff>133350</xdr:rowOff>
    </xdr:from>
    <xdr:to>
      <xdr:col>8</xdr:col>
      <xdr:colOff>704850</xdr:colOff>
      <xdr:row>217</xdr:row>
      <xdr:rowOff>76200</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E00-000006000000}"/>
            </a:ext>
          </a:extLst>
        </xdr:cNvPr>
        <xdr:cNvSpPr/>
      </xdr:nvSpPr>
      <xdr:spPr>
        <a:xfrm>
          <a:off x="9575800" y="24822150"/>
          <a:ext cx="1104900" cy="273050"/>
        </a:xfrm>
        <a:prstGeom prst="roundRect">
          <a:avLst/>
        </a:prstGeom>
        <a:solidFill>
          <a:schemeClr val="bg1">
            <a:lumMod val="8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AU" sz="1050">
              <a:solidFill>
                <a:schemeClr val="tx1">
                  <a:lumMod val="65000"/>
                  <a:lumOff val="35000"/>
                </a:schemeClr>
              </a:solidFill>
            </a:rPr>
            <a:t>Coversheet</a:t>
          </a:r>
        </a:p>
      </xdr:txBody>
    </xdr:sp>
    <xdr:clientData/>
  </xdr:twoCellAnchor>
  <xdr:twoCellAnchor editAs="oneCell">
    <xdr:from>
      <xdr:col>1</xdr:col>
      <xdr:colOff>114300</xdr:colOff>
      <xdr:row>42</xdr:row>
      <xdr:rowOff>166687</xdr:rowOff>
    </xdr:from>
    <xdr:to>
      <xdr:col>1</xdr:col>
      <xdr:colOff>482600</xdr:colOff>
      <xdr:row>45</xdr:row>
      <xdr:rowOff>4762</xdr:rowOff>
    </xdr:to>
    <xdr:pic>
      <xdr:nvPicPr>
        <xdr:cNvPr id="8" name="Picture 7" descr="C:\Documents and Settings\TrentM\Local Settings\Temporary Internet Files\Content.IE5\06M4LU5S\MC900433165[1].jpg">
          <a:hlinkClick xmlns:r="http://schemas.openxmlformats.org/officeDocument/2006/relationships" r:id="rId2"/>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755650" y="4618037"/>
          <a:ext cx="368300" cy="263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47626</xdr:colOff>
      <xdr:row>46</xdr:row>
      <xdr:rowOff>57150</xdr:rowOff>
    </xdr:from>
    <xdr:to>
      <xdr:col>2</xdr:col>
      <xdr:colOff>904878</xdr:colOff>
      <xdr:row>47</xdr:row>
      <xdr:rowOff>104775</xdr:rowOff>
    </xdr:to>
    <xdr:pic>
      <xdr:nvPicPr>
        <xdr:cNvPr id="13" name="Picture 24">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rot="-5400000">
          <a:off x="1497014" y="4945062"/>
          <a:ext cx="523875" cy="857252"/>
        </a:xfrm>
        <a:prstGeom prst="rect">
          <a:avLst/>
        </a:prstGeom>
        <a:noFill/>
        <a:ln w="9525">
          <a:noFill/>
          <a:miter lim="800000"/>
          <a:headEnd/>
          <a:tailEnd/>
        </a:ln>
      </xdr:spPr>
    </xdr:pic>
    <xdr:clientData/>
  </xdr:twoCellAnchor>
  <xdr:twoCellAnchor editAs="oneCell">
    <xdr:from>
      <xdr:col>2</xdr:col>
      <xdr:colOff>66675</xdr:colOff>
      <xdr:row>88</xdr:row>
      <xdr:rowOff>57150</xdr:rowOff>
    </xdr:from>
    <xdr:to>
      <xdr:col>2</xdr:col>
      <xdr:colOff>904875</xdr:colOff>
      <xdr:row>91</xdr:row>
      <xdr:rowOff>43015</xdr:rowOff>
    </xdr:to>
    <xdr:pic>
      <xdr:nvPicPr>
        <xdr:cNvPr id="15" name="Picture 14" descr="C:\Documents and Settings\TrentM\My Documents\Downloads\LX2182.jpg">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1349375" y="11684000"/>
          <a:ext cx="838200" cy="624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514679</xdr:colOff>
      <xdr:row>3</xdr:row>
      <xdr:rowOff>21480</xdr:rowOff>
    </xdr:from>
    <xdr:to>
      <xdr:col>8</xdr:col>
      <xdr:colOff>673100</xdr:colOff>
      <xdr:row>11</xdr:row>
      <xdr:rowOff>134471</xdr:rowOff>
    </xdr:to>
    <xdr:pic>
      <xdr:nvPicPr>
        <xdr:cNvPr id="17" name="Picture 16" descr="C:\Documents and Settings\TrentM\My Documents\Downloads\LX3008.jpg">
          <a:extLst>
            <a:ext uri="{FF2B5EF4-FFF2-40B4-BE49-F238E27FC236}">
              <a16:creationId xmlns:a16="http://schemas.microsoft.com/office/drawing/2014/main" id="{00000000-0008-0000-0E00-000011000000}"/>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a:ext>
          </a:extLst>
        </a:blip>
        <a:srcRect/>
        <a:stretch/>
      </xdr:blipFill>
      <xdr:spPr bwMode="auto">
        <a:xfrm>
          <a:off x="9165620" y="492127"/>
          <a:ext cx="1021274" cy="11887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3479800</xdr:colOff>
      <xdr:row>18</xdr:row>
      <xdr:rowOff>28575</xdr:rowOff>
    </xdr:from>
    <xdr:to>
      <xdr:col>5</xdr:col>
      <xdr:colOff>3556000</xdr:colOff>
      <xdr:row>18</xdr:row>
      <xdr:rowOff>123825</xdr:rowOff>
    </xdr:to>
    <xdr:sp macro="" textlink="">
      <xdr:nvSpPr>
        <xdr:cNvPr id="18" name="Down Arrow 17">
          <a:extLst>
            <a:ext uri="{FF2B5EF4-FFF2-40B4-BE49-F238E27FC236}">
              <a16:creationId xmlns:a16="http://schemas.microsoft.com/office/drawing/2014/main" id="{00000000-0008-0000-0E00-000012000000}"/>
            </a:ext>
          </a:extLst>
        </xdr:cNvPr>
        <xdr:cNvSpPr/>
      </xdr:nvSpPr>
      <xdr:spPr>
        <a:xfrm>
          <a:off x="8178800" y="255587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3479800</xdr:colOff>
      <xdr:row>46</xdr:row>
      <xdr:rowOff>19050</xdr:rowOff>
    </xdr:from>
    <xdr:to>
      <xdr:col>5</xdr:col>
      <xdr:colOff>3556000</xdr:colOff>
      <xdr:row>46</xdr:row>
      <xdr:rowOff>114300</xdr:rowOff>
    </xdr:to>
    <xdr:sp macro="" textlink="">
      <xdr:nvSpPr>
        <xdr:cNvPr id="19" name="Down Arrow 18">
          <a:extLst>
            <a:ext uri="{FF2B5EF4-FFF2-40B4-BE49-F238E27FC236}">
              <a16:creationId xmlns:a16="http://schemas.microsoft.com/office/drawing/2014/main" id="{00000000-0008-0000-0E00-000013000000}"/>
            </a:ext>
          </a:extLst>
        </xdr:cNvPr>
        <xdr:cNvSpPr/>
      </xdr:nvSpPr>
      <xdr:spPr>
        <a:xfrm>
          <a:off x="8178800" y="4800600"/>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3479800</xdr:colOff>
      <xdr:row>47</xdr:row>
      <xdr:rowOff>28575</xdr:rowOff>
    </xdr:from>
    <xdr:to>
      <xdr:col>5</xdr:col>
      <xdr:colOff>3556000</xdr:colOff>
      <xdr:row>47</xdr:row>
      <xdr:rowOff>123825</xdr:rowOff>
    </xdr:to>
    <xdr:sp macro="" textlink="">
      <xdr:nvSpPr>
        <xdr:cNvPr id="20" name="Down Arrow 19">
          <a:extLst>
            <a:ext uri="{FF2B5EF4-FFF2-40B4-BE49-F238E27FC236}">
              <a16:creationId xmlns:a16="http://schemas.microsoft.com/office/drawing/2014/main" id="{00000000-0008-0000-0E00-000014000000}"/>
            </a:ext>
          </a:extLst>
        </xdr:cNvPr>
        <xdr:cNvSpPr/>
      </xdr:nvSpPr>
      <xdr:spPr>
        <a:xfrm>
          <a:off x="8178800" y="496887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3352800</xdr:colOff>
      <xdr:row>64</xdr:row>
      <xdr:rowOff>28575</xdr:rowOff>
    </xdr:from>
    <xdr:to>
      <xdr:col>5</xdr:col>
      <xdr:colOff>3429000</xdr:colOff>
      <xdr:row>64</xdr:row>
      <xdr:rowOff>123825</xdr:rowOff>
    </xdr:to>
    <xdr:sp macro="" textlink="">
      <xdr:nvSpPr>
        <xdr:cNvPr id="21" name="Down Arrow 20">
          <a:extLst>
            <a:ext uri="{FF2B5EF4-FFF2-40B4-BE49-F238E27FC236}">
              <a16:creationId xmlns:a16="http://schemas.microsoft.com/office/drawing/2014/main" id="{00000000-0008-0000-0E00-000015000000}"/>
            </a:ext>
          </a:extLst>
        </xdr:cNvPr>
        <xdr:cNvSpPr/>
      </xdr:nvSpPr>
      <xdr:spPr>
        <a:xfrm>
          <a:off x="7829550" y="759142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3333750</xdr:colOff>
      <xdr:row>143</xdr:row>
      <xdr:rowOff>19050</xdr:rowOff>
    </xdr:from>
    <xdr:to>
      <xdr:col>5</xdr:col>
      <xdr:colOff>3438525</xdr:colOff>
      <xdr:row>143</xdr:row>
      <xdr:rowOff>152400</xdr:rowOff>
    </xdr:to>
    <xdr:sp macro="" textlink="">
      <xdr:nvSpPr>
        <xdr:cNvPr id="24" name="Down Arrow 17">
          <a:extLst>
            <a:ext uri="{FF2B5EF4-FFF2-40B4-BE49-F238E27FC236}">
              <a16:creationId xmlns:a16="http://schemas.microsoft.com/office/drawing/2014/main" id="{00000000-0008-0000-0E00-000018000000}"/>
            </a:ext>
          </a:extLst>
        </xdr:cNvPr>
        <xdr:cNvSpPr/>
      </xdr:nvSpPr>
      <xdr:spPr>
        <a:xfrm>
          <a:off x="7810500" y="16735425"/>
          <a:ext cx="104775" cy="1333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3333750</xdr:colOff>
      <xdr:row>162</xdr:row>
      <xdr:rowOff>19050</xdr:rowOff>
    </xdr:from>
    <xdr:to>
      <xdr:col>5</xdr:col>
      <xdr:colOff>3438525</xdr:colOff>
      <xdr:row>162</xdr:row>
      <xdr:rowOff>152400</xdr:rowOff>
    </xdr:to>
    <xdr:sp macro="" textlink="">
      <xdr:nvSpPr>
        <xdr:cNvPr id="22" name="Down Arrow 17">
          <a:extLst>
            <a:ext uri="{FF2B5EF4-FFF2-40B4-BE49-F238E27FC236}">
              <a16:creationId xmlns:a16="http://schemas.microsoft.com/office/drawing/2014/main" id="{00000000-0008-0000-0E00-000016000000}"/>
            </a:ext>
          </a:extLst>
        </xdr:cNvPr>
        <xdr:cNvSpPr/>
      </xdr:nvSpPr>
      <xdr:spPr>
        <a:xfrm>
          <a:off x="7810500" y="16411575"/>
          <a:ext cx="104775" cy="1333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219075</xdr:colOff>
      <xdr:row>221</xdr:row>
      <xdr:rowOff>19050</xdr:rowOff>
    </xdr:from>
    <xdr:to>
      <xdr:col>5</xdr:col>
      <xdr:colOff>3000375</xdr:colOff>
      <xdr:row>232</xdr:row>
      <xdr:rowOff>123825</xdr:rowOff>
    </xdr:to>
    <xdr:graphicFrame macro="">
      <xdr:nvGraphicFramePr>
        <xdr:cNvPr id="7" name="Chart 6">
          <a:extLst>
            <a:ext uri="{FF2B5EF4-FFF2-40B4-BE49-F238E27FC236}">
              <a16:creationId xmlns:a16="http://schemas.microsoft.com/office/drawing/2014/main" id="{00000000-0008-0000-0E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2733674</xdr:colOff>
      <xdr:row>220</xdr:row>
      <xdr:rowOff>95250</xdr:rowOff>
    </xdr:from>
    <xdr:to>
      <xdr:col>9</xdr:col>
      <xdr:colOff>223836</xdr:colOff>
      <xdr:row>231</xdr:row>
      <xdr:rowOff>133350</xdr:rowOff>
    </xdr:to>
    <xdr:graphicFrame macro="">
      <xdr:nvGraphicFramePr>
        <xdr:cNvPr id="9" name="Chart 8">
          <a:extLst>
            <a:ext uri="{FF2B5EF4-FFF2-40B4-BE49-F238E27FC236}">
              <a16:creationId xmlns:a16="http://schemas.microsoft.com/office/drawing/2014/main" id="{00000000-0008-0000-0E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3479800</xdr:colOff>
      <xdr:row>33</xdr:row>
      <xdr:rowOff>28575</xdr:rowOff>
    </xdr:from>
    <xdr:to>
      <xdr:col>5</xdr:col>
      <xdr:colOff>3556000</xdr:colOff>
      <xdr:row>33</xdr:row>
      <xdr:rowOff>123825</xdr:rowOff>
    </xdr:to>
    <xdr:sp macro="" textlink="">
      <xdr:nvSpPr>
        <xdr:cNvPr id="23" name="Down Arrow 17">
          <a:extLst>
            <a:ext uri="{FF2B5EF4-FFF2-40B4-BE49-F238E27FC236}">
              <a16:creationId xmlns:a16="http://schemas.microsoft.com/office/drawing/2014/main" id="{00000000-0008-0000-0E00-000017000000}"/>
            </a:ext>
          </a:extLst>
        </xdr:cNvPr>
        <xdr:cNvSpPr/>
      </xdr:nvSpPr>
      <xdr:spPr>
        <a:xfrm>
          <a:off x="8178800" y="304482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2</xdr:col>
      <xdr:colOff>171450</xdr:colOff>
      <xdr:row>121</xdr:row>
      <xdr:rowOff>76200</xdr:rowOff>
    </xdr:from>
    <xdr:to>
      <xdr:col>2</xdr:col>
      <xdr:colOff>755650</xdr:colOff>
      <xdr:row>125</xdr:row>
      <xdr:rowOff>19438</xdr:rowOff>
    </xdr:to>
    <xdr:pic>
      <xdr:nvPicPr>
        <xdr:cNvPr id="25" name="Graphic 24" descr="Mining Tools">
          <a:extLst>
            <a:ext uri="{FF2B5EF4-FFF2-40B4-BE49-F238E27FC236}">
              <a16:creationId xmlns:a16="http://schemas.microsoft.com/office/drawing/2014/main" id="{00000000-0008-0000-0E00-00001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a:ext>
            <a:ext uri="{96DAC541-7B7A-43D3-8B79-37D633B846F1}">
              <asvg:svgBlip xmlns:asvg="http://schemas.microsoft.com/office/drawing/2016/SVG/main" r:embed="rId10"/>
            </a:ext>
          </a:extLst>
        </a:blip>
        <a:stretch>
          <a:fillRect/>
        </a:stretch>
      </xdr:blipFill>
      <xdr:spPr>
        <a:xfrm>
          <a:off x="1390650" y="14497050"/>
          <a:ext cx="584200" cy="590938"/>
        </a:xfrm>
        <a:prstGeom prst="rect">
          <a:avLst/>
        </a:prstGeom>
      </xdr:spPr>
    </xdr:pic>
    <xdr:clientData/>
  </xdr:twoCellAnchor>
  <xdr:twoCellAnchor>
    <xdr:from>
      <xdr:col>5</xdr:col>
      <xdr:colOff>3479800</xdr:colOff>
      <xdr:row>20</xdr:row>
      <xdr:rowOff>28575</xdr:rowOff>
    </xdr:from>
    <xdr:to>
      <xdr:col>5</xdr:col>
      <xdr:colOff>3556000</xdr:colOff>
      <xdr:row>20</xdr:row>
      <xdr:rowOff>123825</xdr:rowOff>
    </xdr:to>
    <xdr:sp macro="" textlink="">
      <xdr:nvSpPr>
        <xdr:cNvPr id="26" name="Down Arrow 17">
          <a:extLst>
            <a:ext uri="{FF2B5EF4-FFF2-40B4-BE49-F238E27FC236}">
              <a16:creationId xmlns:a16="http://schemas.microsoft.com/office/drawing/2014/main" id="{00000000-0008-0000-0E00-00001A000000}"/>
            </a:ext>
          </a:extLst>
        </xdr:cNvPr>
        <xdr:cNvSpPr/>
      </xdr:nvSpPr>
      <xdr:spPr>
        <a:xfrm>
          <a:off x="8178800" y="272097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3479800</xdr:colOff>
      <xdr:row>35</xdr:row>
      <xdr:rowOff>28575</xdr:rowOff>
    </xdr:from>
    <xdr:to>
      <xdr:col>5</xdr:col>
      <xdr:colOff>3556000</xdr:colOff>
      <xdr:row>35</xdr:row>
      <xdr:rowOff>123825</xdr:rowOff>
    </xdr:to>
    <xdr:sp macro="" textlink="">
      <xdr:nvSpPr>
        <xdr:cNvPr id="27" name="Down Arrow 17">
          <a:extLst>
            <a:ext uri="{FF2B5EF4-FFF2-40B4-BE49-F238E27FC236}">
              <a16:creationId xmlns:a16="http://schemas.microsoft.com/office/drawing/2014/main" id="{00000000-0008-0000-0E00-00001B000000}"/>
            </a:ext>
          </a:extLst>
        </xdr:cNvPr>
        <xdr:cNvSpPr/>
      </xdr:nvSpPr>
      <xdr:spPr>
        <a:xfrm>
          <a:off x="8178800" y="320992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3479800</xdr:colOff>
      <xdr:row>19</xdr:row>
      <xdr:rowOff>28575</xdr:rowOff>
    </xdr:from>
    <xdr:to>
      <xdr:col>5</xdr:col>
      <xdr:colOff>3556000</xdr:colOff>
      <xdr:row>19</xdr:row>
      <xdr:rowOff>123825</xdr:rowOff>
    </xdr:to>
    <xdr:sp macro="" textlink="">
      <xdr:nvSpPr>
        <xdr:cNvPr id="28" name="Down Arrow 17">
          <a:extLst>
            <a:ext uri="{FF2B5EF4-FFF2-40B4-BE49-F238E27FC236}">
              <a16:creationId xmlns:a16="http://schemas.microsoft.com/office/drawing/2014/main" id="{00000000-0008-0000-0E00-00001C000000}"/>
            </a:ext>
          </a:extLst>
        </xdr:cNvPr>
        <xdr:cNvSpPr/>
      </xdr:nvSpPr>
      <xdr:spPr>
        <a:xfrm>
          <a:off x="8178800" y="254952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3479800</xdr:colOff>
      <xdr:row>21</xdr:row>
      <xdr:rowOff>28575</xdr:rowOff>
    </xdr:from>
    <xdr:to>
      <xdr:col>5</xdr:col>
      <xdr:colOff>3556000</xdr:colOff>
      <xdr:row>21</xdr:row>
      <xdr:rowOff>123825</xdr:rowOff>
    </xdr:to>
    <xdr:sp macro="" textlink="">
      <xdr:nvSpPr>
        <xdr:cNvPr id="29" name="Down Arrow 17">
          <a:extLst>
            <a:ext uri="{FF2B5EF4-FFF2-40B4-BE49-F238E27FC236}">
              <a16:creationId xmlns:a16="http://schemas.microsoft.com/office/drawing/2014/main" id="{00000000-0008-0000-0E00-00001D000000}"/>
            </a:ext>
          </a:extLst>
        </xdr:cNvPr>
        <xdr:cNvSpPr/>
      </xdr:nvSpPr>
      <xdr:spPr>
        <a:xfrm>
          <a:off x="8178800" y="286702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3479800</xdr:colOff>
      <xdr:row>19</xdr:row>
      <xdr:rowOff>28575</xdr:rowOff>
    </xdr:from>
    <xdr:to>
      <xdr:col>5</xdr:col>
      <xdr:colOff>3556000</xdr:colOff>
      <xdr:row>19</xdr:row>
      <xdr:rowOff>123825</xdr:rowOff>
    </xdr:to>
    <xdr:sp macro="" textlink="">
      <xdr:nvSpPr>
        <xdr:cNvPr id="30" name="Down Arrow 17">
          <a:extLst>
            <a:ext uri="{FF2B5EF4-FFF2-40B4-BE49-F238E27FC236}">
              <a16:creationId xmlns:a16="http://schemas.microsoft.com/office/drawing/2014/main" id="{00000000-0008-0000-0E00-00001E000000}"/>
            </a:ext>
          </a:extLst>
        </xdr:cNvPr>
        <xdr:cNvSpPr/>
      </xdr:nvSpPr>
      <xdr:spPr>
        <a:xfrm>
          <a:off x="8178800" y="254952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3479800</xdr:colOff>
      <xdr:row>21</xdr:row>
      <xdr:rowOff>28575</xdr:rowOff>
    </xdr:from>
    <xdr:to>
      <xdr:col>5</xdr:col>
      <xdr:colOff>3556000</xdr:colOff>
      <xdr:row>21</xdr:row>
      <xdr:rowOff>123825</xdr:rowOff>
    </xdr:to>
    <xdr:sp macro="" textlink="">
      <xdr:nvSpPr>
        <xdr:cNvPr id="31" name="Down Arrow 17">
          <a:extLst>
            <a:ext uri="{FF2B5EF4-FFF2-40B4-BE49-F238E27FC236}">
              <a16:creationId xmlns:a16="http://schemas.microsoft.com/office/drawing/2014/main" id="{00000000-0008-0000-0E00-00001F000000}"/>
            </a:ext>
          </a:extLst>
        </xdr:cNvPr>
        <xdr:cNvSpPr/>
      </xdr:nvSpPr>
      <xdr:spPr>
        <a:xfrm>
          <a:off x="8178800" y="286702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3479800</xdr:colOff>
      <xdr:row>22</xdr:row>
      <xdr:rowOff>28575</xdr:rowOff>
    </xdr:from>
    <xdr:to>
      <xdr:col>5</xdr:col>
      <xdr:colOff>3556000</xdr:colOff>
      <xdr:row>22</xdr:row>
      <xdr:rowOff>123825</xdr:rowOff>
    </xdr:to>
    <xdr:sp macro="" textlink="">
      <xdr:nvSpPr>
        <xdr:cNvPr id="32" name="Down Arrow 17">
          <a:extLst>
            <a:ext uri="{FF2B5EF4-FFF2-40B4-BE49-F238E27FC236}">
              <a16:creationId xmlns:a16="http://schemas.microsoft.com/office/drawing/2014/main" id="{00000000-0008-0000-0E00-000020000000}"/>
            </a:ext>
          </a:extLst>
        </xdr:cNvPr>
        <xdr:cNvSpPr/>
      </xdr:nvSpPr>
      <xdr:spPr>
        <a:xfrm>
          <a:off x="8178800" y="302577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3479800</xdr:colOff>
      <xdr:row>22</xdr:row>
      <xdr:rowOff>28575</xdr:rowOff>
    </xdr:from>
    <xdr:to>
      <xdr:col>5</xdr:col>
      <xdr:colOff>3556000</xdr:colOff>
      <xdr:row>22</xdr:row>
      <xdr:rowOff>123825</xdr:rowOff>
    </xdr:to>
    <xdr:sp macro="" textlink="">
      <xdr:nvSpPr>
        <xdr:cNvPr id="33" name="Down Arrow 17">
          <a:extLst>
            <a:ext uri="{FF2B5EF4-FFF2-40B4-BE49-F238E27FC236}">
              <a16:creationId xmlns:a16="http://schemas.microsoft.com/office/drawing/2014/main" id="{00000000-0008-0000-0E00-000021000000}"/>
            </a:ext>
          </a:extLst>
        </xdr:cNvPr>
        <xdr:cNvSpPr/>
      </xdr:nvSpPr>
      <xdr:spPr>
        <a:xfrm>
          <a:off x="8178800" y="302577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3479800</xdr:colOff>
      <xdr:row>34</xdr:row>
      <xdr:rowOff>28575</xdr:rowOff>
    </xdr:from>
    <xdr:to>
      <xdr:col>5</xdr:col>
      <xdr:colOff>3556000</xdr:colOff>
      <xdr:row>34</xdr:row>
      <xdr:rowOff>123825</xdr:rowOff>
    </xdr:to>
    <xdr:sp macro="" textlink="">
      <xdr:nvSpPr>
        <xdr:cNvPr id="34" name="Down Arrow 17">
          <a:extLst>
            <a:ext uri="{FF2B5EF4-FFF2-40B4-BE49-F238E27FC236}">
              <a16:creationId xmlns:a16="http://schemas.microsoft.com/office/drawing/2014/main" id="{00000000-0008-0000-0E00-000022000000}"/>
            </a:ext>
          </a:extLst>
        </xdr:cNvPr>
        <xdr:cNvSpPr/>
      </xdr:nvSpPr>
      <xdr:spPr>
        <a:xfrm>
          <a:off x="8178800" y="350202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3479800</xdr:colOff>
      <xdr:row>36</xdr:row>
      <xdr:rowOff>28575</xdr:rowOff>
    </xdr:from>
    <xdr:to>
      <xdr:col>5</xdr:col>
      <xdr:colOff>3556000</xdr:colOff>
      <xdr:row>36</xdr:row>
      <xdr:rowOff>123825</xdr:rowOff>
    </xdr:to>
    <xdr:sp macro="" textlink="">
      <xdr:nvSpPr>
        <xdr:cNvPr id="35" name="Down Arrow 17">
          <a:extLst>
            <a:ext uri="{FF2B5EF4-FFF2-40B4-BE49-F238E27FC236}">
              <a16:creationId xmlns:a16="http://schemas.microsoft.com/office/drawing/2014/main" id="{00000000-0008-0000-0E00-000023000000}"/>
            </a:ext>
          </a:extLst>
        </xdr:cNvPr>
        <xdr:cNvSpPr/>
      </xdr:nvSpPr>
      <xdr:spPr>
        <a:xfrm>
          <a:off x="8178800" y="3819525"/>
          <a:ext cx="76200" cy="95250"/>
        </a:xfrm>
        <a:prstGeom prst="downArrow">
          <a:avLst/>
        </a:prstGeom>
        <a:solidFill>
          <a:schemeClr val="accent2"/>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3</xdr:col>
      <xdr:colOff>476250</xdr:colOff>
      <xdr:row>62</xdr:row>
      <xdr:rowOff>123825</xdr:rowOff>
    </xdr:from>
    <xdr:to>
      <xdr:col>3</xdr:col>
      <xdr:colOff>1171575</xdr:colOff>
      <xdr:row>64</xdr:row>
      <xdr:rowOff>66675</xdr:rowOff>
    </xdr:to>
    <xdr:pic>
      <xdr:nvPicPr>
        <xdr:cNvPr id="2" name="Picture 73">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3095625" y="22221825"/>
          <a:ext cx="695325" cy="876300"/>
        </a:xfrm>
        <a:prstGeom prst="rect">
          <a:avLst/>
        </a:prstGeom>
        <a:noFill/>
        <a:ln w="9525">
          <a:noFill/>
          <a:miter lim="800000"/>
          <a:headEnd/>
          <a:tailEnd/>
        </a:ln>
      </xdr:spPr>
    </xdr:pic>
    <xdr:clientData/>
  </xdr:twoCellAnchor>
  <xdr:twoCellAnchor editAs="oneCell">
    <xdr:from>
      <xdr:col>3</xdr:col>
      <xdr:colOff>466725</xdr:colOff>
      <xdr:row>20</xdr:row>
      <xdr:rowOff>85725</xdr:rowOff>
    </xdr:from>
    <xdr:to>
      <xdr:col>4</xdr:col>
      <xdr:colOff>28575</xdr:colOff>
      <xdr:row>21</xdr:row>
      <xdr:rowOff>219075</xdr:rowOff>
    </xdr:to>
    <xdr:pic>
      <xdr:nvPicPr>
        <xdr:cNvPr id="3" name="Picture 1" descr="WL8G-N2131">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3086100" y="7505700"/>
          <a:ext cx="942975" cy="561975"/>
        </a:xfrm>
        <a:prstGeom prst="rect">
          <a:avLst/>
        </a:prstGeom>
        <a:noFill/>
        <a:ln w="9525">
          <a:noFill/>
          <a:miter lim="800000"/>
          <a:headEnd/>
          <a:tailEnd/>
        </a:ln>
      </xdr:spPr>
    </xdr:pic>
    <xdr:clientData/>
  </xdr:twoCellAnchor>
  <xdr:twoCellAnchor editAs="oneCell">
    <xdr:from>
      <xdr:col>3</xdr:col>
      <xdr:colOff>466725</xdr:colOff>
      <xdr:row>37</xdr:row>
      <xdr:rowOff>171450</xdr:rowOff>
    </xdr:from>
    <xdr:to>
      <xdr:col>3</xdr:col>
      <xdr:colOff>1266825</xdr:colOff>
      <xdr:row>38</xdr:row>
      <xdr:rowOff>0</xdr:rowOff>
    </xdr:to>
    <xdr:pic>
      <xdr:nvPicPr>
        <xdr:cNvPr id="4" name="Picture 3" descr="WLL170-2N330">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3086100" y="13354050"/>
          <a:ext cx="800100" cy="504825"/>
        </a:xfrm>
        <a:prstGeom prst="rect">
          <a:avLst/>
        </a:prstGeom>
        <a:noFill/>
        <a:ln w="9525">
          <a:noFill/>
          <a:miter lim="800000"/>
          <a:headEnd/>
          <a:tailEnd/>
        </a:ln>
      </xdr:spPr>
    </xdr:pic>
    <xdr:clientData/>
  </xdr:twoCellAnchor>
  <xdr:twoCellAnchor editAs="oneCell">
    <xdr:from>
      <xdr:col>3</xdr:col>
      <xdr:colOff>476250</xdr:colOff>
      <xdr:row>18</xdr:row>
      <xdr:rowOff>76200</xdr:rowOff>
    </xdr:from>
    <xdr:to>
      <xdr:col>4</xdr:col>
      <xdr:colOff>28575</xdr:colOff>
      <xdr:row>19</xdr:row>
      <xdr:rowOff>47625</xdr:rowOff>
    </xdr:to>
    <xdr:pic>
      <xdr:nvPicPr>
        <xdr:cNvPr id="5" name="Picture 4" descr="WL8G-N2131">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3095625" y="6629400"/>
          <a:ext cx="933450" cy="542925"/>
        </a:xfrm>
        <a:prstGeom prst="rect">
          <a:avLst/>
        </a:prstGeom>
        <a:noFill/>
        <a:ln w="9525">
          <a:noFill/>
          <a:miter lim="800000"/>
          <a:headEnd/>
          <a:tailEnd/>
        </a:ln>
      </xdr:spPr>
    </xdr:pic>
    <xdr:clientData/>
  </xdr:twoCellAnchor>
  <xdr:twoCellAnchor editAs="oneCell">
    <xdr:from>
      <xdr:col>3</xdr:col>
      <xdr:colOff>600075</xdr:colOff>
      <xdr:row>42</xdr:row>
      <xdr:rowOff>47625</xdr:rowOff>
    </xdr:from>
    <xdr:to>
      <xdr:col>3</xdr:col>
      <xdr:colOff>1047750</xdr:colOff>
      <xdr:row>43</xdr:row>
      <xdr:rowOff>228600</xdr:rowOff>
    </xdr:to>
    <xdr:pic>
      <xdr:nvPicPr>
        <xdr:cNvPr id="6" name="Picture 20" descr="im0023965">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3219450" y="14925675"/>
          <a:ext cx="447675" cy="676275"/>
        </a:xfrm>
        <a:prstGeom prst="rect">
          <a:avLst/>
        </a:prstGeom>
        <a:noFill/>
        <a:ln w="9525">
          <a:noFill/>
          <a:miter lim="800000"/>
          <a:headEnd/>
          <a:tailEnd/>
        </a:ln>
      </xdr:spPr>
    </xdr:pic>
    <xdr:clientData/>
  </xdr:twoCellAnchor>
  <xdr:twoCellAnchor editAs="oneCell">
    <xdr:from>
      <xdr:col>3</xdr:col>
      <xdr:colOff>504825</xdr:colOff>
      <xdr:row>8</xdr:row>
      <xdr:rowOff>28575</xdr:rowOff>
    </xdr:from>
    <xdr:to>
      <xdr:col>3</xdr:col>
      <xdr:colOff>1371600</xdr:colOff>
      <xdr:row>8</xdr:row>
      <xdr:rowOff>638175</xdr:rowOff>
    </xdr:to>
    <xdr:pic>
      <xdr:nvPicPr>
        <xdr:cNvPr id="7" name="Picture 21" descr="VTE18-4N4240">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6" cstate="email">
          <a:extLst>
            <a:ext uri="{28A0092B-C50C-407E-A947-70E740481C1C}">
              <a14:useLocalDpi xmlns:a14="http://schemas.microsoft.com/office/drawing/2010/main"/>
            </a:ext>
          </a:extLst>
        </a:blip>
        <a:srcRect/>
        <a:stretch>
          <a:fillRect/>
        </a:stretch>
      </xdr:blipFill>
      <xdr:spPr bwMode="auto">
        <a:xfrm>
          <a:off x="3124200" y="2505075"/>
          <a:ext cx="866775" cy="609600"/>
        </a:xfrm>
        <a:prstGeom prst="rect">
          <a:avLst/>
        </a:prstGeom>
        <a:noFill/>
        <a:ln w="9525">
          <a:noFill/>
          <a:miter lim="800000"/>
          <a:headEnd/>
          <a:tailEnd/>
        </a:ln>
      </xdr:spPr>
    </xdr:pic>
    <xdr:clientData/>
  </xdr:twoCellAnchor>
  <xdr:twoCellAnchor editAs="oneCell">
    <xdr:from>
      <xdr:col>3</xdr:col>
      <xdr:colOff>695325</xdr:colOff>
      <xdr:row>11</xdr:row>
      <xdr:rowOff>66675</xdr:rowOff>
    </xdr:from>
    <xdr:to>
      <xdr:col>3</xdr:col>
      <xdr:colOff>1266825</xdr:colOff>
      <xdr:row>12</xdr:row>
      <xdr:rowOff>28575</xdr:rowOff>
    </xdr:to>
    <xdr:pic>
      <xdr:nvPicPr>
        <xdr:cNvPr id="8" name="Picture 22">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bwMode="auto">
        <a:xfrm>
          <a:off x="3314700" y="3924300"/>
          <a:ext cx="571500" cy="685800"/>
        </a:xfrm>
        <a:prstGeom prst="rect">
          <a:avLst/>
        </a:prstGeom>
        <a:noFill/>
        <a:ln w="9525">
          <a:noFill/>
          <a:miter lim="800000"/>
          <a:headEnd/>
          <a:tailEnd/>
        </a:ln>
      </xdr:spPr>
    </xdr:pic>
    <xdr:clientData/>
  </xdr:twoCellAnchor>
  <xdr:twoCellAnchor editAs="oneCell">
    <xdr:from>
      <xdr:col>3</xdr:col>
      <xdr:colOff>514350</xdr:colOff>
      <xdr:row>5</xdr:row>
      <xdr:rowOff>28575</xdr:rowOff>
    </xdr:from>
    <xdr:to>
      <xdr:col>4</xdr:col>
      <xdr:colOff>0</xdr:colOff>
      <xdr:row>6</xdr:row>
      <xdr:rowOff>104775</xdr:rowOff>
    </xdr:to>
    <xdr:pic>
      <xdr:nvPicPr>
        <xdr:cNvPr id="9" name="Picture 23" descr="VTE18-4N4240">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8" cstate="email">
          <a:extLst>
            <a:ext uri="{28A0092B-C50C-407E-A947-70E740481C1C}">
              <a14:useLocalDpi xmlns:a14="http://schemas.microsoft.com/office/drawing/2010/main"/>
            </a:ext>
          </a:extLst>
        </a:blip>
        <a:srcRect/>
        <a:stretch>
          <a:fillRect/>
        </a:stretch>
      </xdr:blipFill>
      <xdr:spPr bwMode="auto">
        <a:xfrm>
          <a:off x="3133725" y="1304925"/>
          <a:ext cx="866775" cy="552450"/>
        </a:xfrm>
        <a:prstGeom prst="rect">
          <a:avLst/>
        </a:prstGeom>
        <a:noFill/>
        <a:ln w="9525">
          <a:noFill/>
          <a:miter lim="800000"/>
          <a:headEnd/>
          <a:tailEnd/>
        </a:ln>
      </xdr:spPr>
    </xdr:pic>
    <xdr:clientData/>
  </xdr:twoCellAnchor>
  <xdr:twoCellAnchor editAs="oneCell">
    <xdr:from>
      <xdr:col>3</xdr:col>
      <xdr:colOff>514350</xdr:colOff>
      <xdr:row>14</xdr:row>
      <xdr:rowOff>114300</xdr:rowOff>
    </xdr:from>
    <xdr:to>
      <xdr:col>3</xdr:col>
      <xdr:colOff>1200150</xdr:colOff>
      <xdr:row>14</xdr:row>
      <xdr:rowOff>457200</xdr:rowOff>
    </xdr:to>
    <xdr:pic>
      <xdr:nvPicPr>
        <xdr:cNvPr id="10" name="Picture 24">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9" cstate="email">
          <a:extLst>
            <a:ext uri="{28A0092B-C50C-407E-A947-70E740481C1C}">
              <a14:useLocalDpi xmlns:a14="http://schemas.microsoft.com/office/drawing/2010/main"/>
            </a:ext>
          </a:extLst>
        </a:blip>
        <a:srcRect/>
        <a:stretch>
          <a:fillRect/>
        </a:stretch>
      </xdr:blipFill>
      <xdr:spPr bwMode="auto">
        <a:xfrm rot="-5400000">
          <a:off x="3305175" y="5191125"/>
          <a:ext cx="342900" cy="685800"/>
        </a:xfrm>
        <a:prstGeom prst="rect">
          <a:avLst/>
        </a:prstGeom>
        <a:noFill/>
        <a:ln w="9525">
          <a:noFill/>
          <a:miter lim="800000"/>
          <a:headEnd/>
          <a:tailEnd/>
        </a:ln>
      </xdr:spPr>
    </xdr:pic>
    <xdr:clientData/>
  </xdr:twoCellAnchor>
  <xdr:twoCellAnchor editAs="oneCell">
    <xdr:from>
      <xdr:col>3</xdr:col>
      <xdr:colOff>723900</xdr:colOff>
      <xdr:row>23</xdr:row>
      <xdr:rowOff>76200</xdr:rowOff>
    </xdr:from>
    <xdr:to>
      <xdr:col>3</xdr:col>
      <xdr:colOff>1057275</xdr:colOff>
      <xdr:row>25</xdr:row>
      <xdr:rowOff>190500</xdr:rowOff>
    </xdr:to>
    <xdr:pic>
      <xdr:nvPicPr>
        <xdr:cNvPr id="11" name="Picture 27">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a:off x="3343275" y="8572500"/>
          <a:ext cx="333375" cy="904875"/>
        </a:xfrm>
        <a:prstGeom prst="rect">
          <a:avLst/>
        </a:prstGeom>
        <a:noFill/>
        <a:ln w="9525">
          <a:noFill/>
          <a:miter lim="800000"/>
          <a:headEnd/>
          <a:tailEnd/>
        </a:ln>
      </xdr:spPr>
    </xdr:pic>
    <xdr:clientData/>
  </xdr:twoCellAnchor>
  <xdr:twoCellAnchor editAs="oneCell">
    <xdr:from>
      <xdr:col>3</xdr:col>
      <xdr:colOff>657225</xdr:colOff>
      <xdr:row>26</xdr:row>
      <xdr:rowOff>114300</xdr:rowOff>
    </xdr:from>
    <xdr:to>
      <xdr:col>3</xdr:col>
      <xdr:colOff>1028700</xdr:colOff>
      <xdr:row>28</xdr:row>
      <xdr:rowOff>47625</xdr:rowOff>
    </xdr:to>
    <xdr:pic>
      <xdr:nvPicPr>
        <xdr:cNvPr id="12" name="Picture 28" descr="WT250-N460">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3276600" y="9705975"/>
          <a:ext cx="371475" cy="666750"/>
        </a:xfrm>
        <a:prstGeom prst="rect">
          <a:avLst/>
        </a:prstGeom>
        <a:noFill/>
        <a:ln w="9525">
          <a:noFill/>
          <a:miter lim="800000"/>
          <a:headEnd/>
          <a:tailEnd/>
        </a:ln>
      </xdr:spPr>
    </xdr:pic>
    <xdr:clientData/>
  </xdr:twoCellAnchor>
  <xdr:twoCellAnchor editAs="oneCell">
    <xdr:from>
      <xdr:col>3</xdr:col>
      <xdr:colOff>657225</xdr:colOff>
      <xdr:row>29</xdr:row>
      <xdr:rowOff>114300</xdr:rowOff>
    </xdr:from>
    <xdr:to>
      <xdr:col>3</xdr:col>
      <xdr:colOff>1028700</xdr:colOff>
      <xdr:row>30</xdr:row>
      <xdr:rowOff>276225</xdr:rowOff>
    </xdr:to>
    <xdr:pic>
      <xdr:nvPicPr>
        <xdr:cNvPr id="13" name="Picture 29" descr="WT250-N460">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3276600" y="10744200"/>
          <a:ext cx="371475" cy="666750"/>
        </a:xfrm>
        <a:prstGeom prst="rect">
          <a:avLst/>
        </a:prstGeom>
        <a:noFill/>
        <a:ln w="9525">
          <a:noFill/>
          <a:miter lim="800000"/>
          <a:headEnd/>
          <a:tailEnd/>
        </a:ln>
      </xdr:spPr>
    </xdr:pic>
    <xdr:clientData/>
  </xdr:twoCellAnchor>
  <xdr:twoCellAnchor editAs="oneCell">
    <xdr:from>
      <xdr:col>3</xdr:col>
      <xdr:colOff>590550</xdr:colOff>
      <xdr:row>58</xdr:row>
      <xdr:rowOff>114300</xdr:rowOff>
    </xdr:from>
    <xdr:to>
      <xdr:col>3</xdr:col>
      <xdr:colOff>1095375</xdr:colOff>
      <xdr:row>60</xdr:row>
      <xdr:rowOff>238125</xdr:rowOff>
    </xdr:to>
    <xdr:pic>
      <xdr:nvPicPr>
        <xdr:cNvPr id="14" name="Picture 31" descr="im0008786">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bwMode="auto">
        <a:xfrm>
          <a:off x="3209925" y="20878800"/>
          <a:ext cx="504825" cy="923925"/>
        </a:xfrm>
        <a:prstGeom prst="rect">
          <a:avLst/>
        </a:prstGeom>
        <a:noFill/>
        <a:ln w="9525">
          <a:noFill/>
          <a:miter lim="800000"/>
          <a:headEnd/>
          <a:tailEnd/>
        </a:ln>
      </xdr:spPr>
    </xdr:pic>
    <xdr:clientData/>
  </xdr:twoCellAnchor>
  <xdr:twoCellAnchor editAs="oneCell">
    <xdr:from>
      <xdr:col>3</xdr:col>
      <xdr:colOff>600075</xdr:colOff>
      <xdr:row>38</xdr:row>
      <xdr:rowOff>323850</xdr:rowOff>
    </xdr:from>
    <xdr:to>
      <xdr:col>3</xdr:col>
      <xdr:colOff>1085850</xdr:colOff>
      <xdr:row>39</xdr:row>
      <xdr:rowOff>571500</xdr:rowOff>
    </xdr:to>
    <xdr:pic>
      <xdr:nvPicPr>
        <xdr:cNvPr id="15" name="Picture 32" descr="im0001062">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bwMode="auto">
        <a:xfrm>
          <a:off x="3219450" y="14182725"/>
          <a:ext cx="485775" cy="581025"/>
        </a:xfrm>
        <a:prstGeom prst="rect">
          <a:avLst/>
        </a:prstGeom>
        <a:noFill/>
        <a:ln w="9525">
          <a:noFill/>
          <a:miter lim="800000"/>
          <a:headEnd/>
          <a:tailEnd/>
        </a:ln>
      </xdr:spPr>
    </xdr:pic>
    <xdr:clientData/>
  </xdr:twoCellAnchor>
  <xdr:twoCellAnchor editAs="oneCell">
    <xdr:from>
      <xdr:col>5</xdr:col>
      <xdr:colOff>0</xdr:colOff>
      <xdr:row>40</xdr:row>
      <xdr:rowOff>171450</xdr:rowOff>
    </xdr:from>
    <xdr:to>
      <xdr:col>5</xdr:col>
      <xdr:colOff>800100</xdr:colOff>
      <xdr:row>41</xdr:row>
      <xdr:rowOff>0</xdr:rowOff>
    </xdr:to>
    <xdr:pic>
      <xdr:nvPicPr>
        <xdr:cNvPr id="16" name="Picture 3" descr="WLL170-2N330">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4"/>
        <a:srcRect/>
        <a:stretch>
          <a:fillRect/>
        </a:stretch>
      </xdr:blipFill>
      <xdr:spPr bwMode="auto">
        <a:xfrm>
          <a:off x="5067300" y="14878050"/>
          <a:ext cx="800100" cy="0"/>
        </a:xfrm>
        <a:prstGeom prst="rect">
          <a:avLst/>
        </a:prstGeom>
        <a:noFill/>
        <a:ln w="9525">
          <a:noFill/>
          <a:miter lim="800000"/>
          <a:headEnd/>
          <a:tailEnd/>
        </a:ln>
      </xdr:spPr>
    </xdr:pic>
    <xdr:clientData/>
  </xdr:twoCellAnchor>
  <xdr:twoCellAnchor editAs="oneCell">
    <xdr:from>
      <xdr:col>3</xdr:col>
      <xdr:colOff>666750</xdr:colOff>
      <xdr:row>32</xdr:row>
      <xdr:rowOff>114300</xdr:rowOff>
    </xdr:from>
    <xdr:to>
      <xdr:col>3</xdr:col>
      <xdr:colOff>1095375</xdr:colOff>
      <xdr:row>34</xdr:row>
      <xdr:rowOff>76200</xdr:rowOff>
    </xdr:to>
    <xdr:pic>
      <xdr:nvPicPr>
        <xdr:cNvPr id="17" name="Picture 33" descr="im0028357">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5" cstate="email">
          <a:extLst>
            <a:ext uri="{28A0092B-C50C-407E-A947-70E740481C1C}">
              <a14:useLocalDpi xmlns:a14="http://schemas.microsoft.com/office/drawing/2010/main"/>
            </a:ext>
          </a:extLst>
        </a:blip>
        <a:srcRect/>
        <a:stretch>
          <a:fillRect/>
        </a:stretch>
      </xdr:blipFill>
      <xdr:spPr bwMode="auto">
        <a:xfrm>
          <a:off x="3286125" y="11858625"/>
          <a:ext cx="428625" cy="676275"/>
        </a:xfrm>
        <a:prstGeom prst="rect">
          <a:avLst/>
        </a:prstGeom>
        <a:noFill/>
        <a:ln w="9525">
          <a:noFill/>
          <a:miter lim="800000"/>
          <a:headEnd/>
          <a:tailEnd/>
        </a:ln>
      </xdr:spPr>
    </xdr:pic>
    <xdr:clientData/>
  </xdr:twoCellAnchor>
  <xdr:twoCellAnchor editAs="oneCell">
    <xdr:from>
      <xdr:col>3</xdr:col>
      <xdr:colOff>581026</xdr:colOff>
      <xdr:row>45</xdr:row>
      <xdr:rowOff>123527</xdr:rowOff>
    </xdr:from>
    <xdr:to>
      <xdr:col>3</xdr:col>
      <xdr:colOff>882432</xdr:colOff>
      <xdr:row>47</xdr:row>
      <xdr:rowOff>209550</xdr:rowOff>
    </xdr:to>
    <xdr:pic>
      <xdr:nvPicPr>
        <xdr:cNvPr id="18" name="Picture 17" descr="im0020575.jpg">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3200401" y="15992177"/>
          <a:ext cx="301406" cy="819448"/>
        </a:xfrm>
        <a:prstGeom prst="rect">
          <a:avLst/>
        </a:prstGeom>
      </xdr:spPr>
    </xdr:pic>
    <xdr:clientData/>
  </xdr:twoCellAnchor>
  <xdr:twoCellAnchor editAs="oneCell">
    <xdr:from>
      <xdr:col>3</xdr:col>
      <xdr:colOff>581025</xdr:colOff>
      <xdr:row>48</xdr:row>
      <xdr:rowOff>171450</xdr:rowOff>
    </xdr:from>
    <xdr:to>
      <xdr:col>3</xdr:col>
      <xdr:colOff>882431</xdr:colOff>
      <xdr:row>50</xdr:row>
      <xdr:rowOff>209848</xdr:rowOff>
    </xdr:to>
    <xdr:pic>
      <xdr:nvPicPr>
        <xdr:cNvPr id="19" name="Picture 18" descr="im0020575.jpg">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3200400" y="17106900"/>
          <a:ext cx="301406" cy="819448"/>
        </a:xfrm>
        <a:prstGeom prst="rect">
          <a:avLst/>
        </a:prstGeom>
      </xdr:spPr>
    </xdr:pic>
    <xdr:clientData/>
  </xdr:twoCellAnchor>
  <xdr:twoCellAnchor editAs="oneCell">
    <xdr:from>
      <xdr:col>3</xdr:col>
      <xdr:colOff>581025</xdr:colOff>
      <xdr:row>51</xdr:row>
      <xdr:rowOff>171450</xdr:rowOff>
    </xdr:from>
    <xdr:to>
      <xdr:col>3</xdr:col>
      <xdr:colOff>882431</xdr:colOff>
      <xdr:row>53</xdr:row>
      <xdr:rowOff>143173</xdr:rowOff>
    </xdr:to>
    <xdr:pic>
      <xdr:nvPicPr>
        <xdr:cNvPr id="20" name="Picture 19" descr="im0020575.jpg">
          <a:extLst>
            <a:ext uri="{FF2B5EF4-FFF2-40B4-BE49-F238E27FC236}">
              <a16:creationId xmlns:a16="http://schemas.microsoft.com/office/drawing/2014/main" id="{00000000-0008-0000-1000-000014000000}"/>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3200400" y="18249900"/>
          <a:ext cx="301406" cy="762298"/>
        </a:xfrm>
        <a:prstGeom prst="rect">
          <a:avLst/>
        </a:prstGeom>
      </xdr:spPr>
    </xdr:pic>
    <xdr:clientData/>
  </xdr:twoCellAnchor>
  <xdr:twoCellAnchor editAs="oneCell">
    <xdr:from>
      <xdr:col>3</xdr:col>
      <xdr:colOff>581025</xdr:colOff>
      <xdr:row>54</xdr:row>
      <xdr:rowOff>171450</xdr:rowOff>
    </xdr:from>
    <xdr:to>
      <xdr:col>3</xdr:col>
      <xdr:colOff>882431</xdr:colOff>
      <xdr:row>55</xdr:row>
      <xdr:rowOff>228898</xdr:rowOff>
    </xdr:to>
    <xdr:pic>
      <xdr:nvPicPr>
        <xdr:cNvPr id="21" name="Picture 20" descr="im0020575.jpg">
          <a:extLst>
            <a:ext uri="{FF2B5EF4-FFF2-40B4-BE49-F238E27FC236}">
              <a16:creationId xmlns:a16="http://schemas.microsoft.com/office/drawing/2014/main" id="{00000000-0008-0000-1000-000015000000}"/>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200400" y="19402425"/>
          <a:ext cx="301406" cy="69562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104775</xdr:colOff>
      <xdr:row>4</xdr:row>
      <xdr:rowOff>0</xdr:rowOff>
    </xdr:from>
    <xdr:to>
      <xdr:col>6</xdr:col>
      <xdr:colOff>555179</xdr:colOff>
      <xdr:row>9</xdr:row>
      <xdr:rowOff>0</xdr:rowOff>
    </xdr:to>
    <xdr:grpSp>
      <xdr:nvGrpSpPr>
        <xdr:cNvPr id="6" name="Group 5">
          <a:hlinkClick xmlns:r="http://schemas.openxmlformats.org/officeDocument/2006/relationships" r:id="rId1"/>
          <a:extLst>
            <a:ext uri="{FF2B5EF4-FFF2-40B4-BE49-F238E27FC236}">
              <a16:creationId xmlns:a16="http://schemas.microsoft.com/office/drawing/2014/main" id="{00000000-0008-0000-1300-000006000000}"/>
            </a:ext>
          </a:extLst>
        </xdr:cNvPr>
        <xdr:cNvGrpSpPr/>
      </xdr:nvGrpSpPr>
      <xdr:grpSpPr>
        <a:xfrm>
          <a:off x="1771650" y="733425"/>
          <a:ext cx="1669604" cy="809625"/>
          <a:chOff x="1381125" y="552450"/>
          <a:chExt cx="1669604" cy="809625"/>
        </a:xfrm>
      </xdr:grpSpPr>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81125" y="552450"/>
            <a:ext cx="809625" cy="809625"/>
          </a:xfrm>
          <a:prstGeom prst="rect">
            <a:avLst/>
          </a:prstGeom>
        </xdr:spPr>
      </xdr:pic>
      <xdr:sp macro="" textlink="">
        <xdr:nvSpPr>
          <xdr:cNvPr id="4" name="TextBox 3">
            <a:extLst>
              <a:ext uri="{FF2B5EF4-FFF2-40B4-BE49-F238E27FC236}">
                <a16:creationId xmlns:a16="http://schemas.microsoft.com/office/drawing/2014/main" id="{00000000-0008-0000-1300-000004000000}"/>
              </a:ext>
            </a:extLst>
          </xdr:cNvPr>
          <xdr:cNvSpPr txBox="1"/>
        </xdr:nvSpPr>
        <xdr:spPr>
          <a:xfrm>
            <a:off x="2190750" y="723900"/>
            <a:ext cx="859979"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t>SharePoint</a:t>
            </a:r>
            <a:r>
              <a:rPr lang="en-AU" sz="1100" b="1" baseline="0"/>
              <a:t> </a:t>
            </a:r>
          </a:p>
          <a:p>
            <a:r>
              <a:rPr lang="en-AU" sz="1100" b="1" baseline="0"/>
              <a:t>Photos</a:t>
            </a:r>
            <a:endParaRPr lang="en-AU" sz="1100" b="1"/>
          </a:p>
        </xdr:txBody>
      </xdr:sp>
    </xdr:grpSp>
    <xdr:clientData/>
  </xdr:twoCellAnchor>
  <xdr:twoCellAnchor editAs="oneCell">
    <xdr:from>
      <xdr:col>7</xdr:col>
      <xdr:colOff>352425</xdr:colOff>
      <xdr:row>4</xdr:row>
      <xdr:rowOff>28575</xdr:rowOff>
    </xdr:from>
    <xdr:to>
      <xdr:col>10</xdr:col>
      <xdr:colOff>72665</xdr:colOff>
      <xdr:row>9</xdr:row>
      <xdr:rowOff>66675</xdr:rowOff>
    </xdr:to>
    <xdr:grpSp>
      <xdr:nvGrpSpPr>
        <xdr:cNvPr id="24" name="Group 23">
          <a:hlinkClick xmlns:r="http://schemas.openxmlformats.org/officeDocument/2006/relationships" r:id="rId3"/>
          <a:extLst>
            <a:ext uri="{FF2B5EF4-FFF2-40B4-BE49-F238E27FC236}">
              <a16:creationId xmlns:a16="http://schemas.microsoft.com/office/drawing/2014/main" id="{00000000-0008-0000-1300-000018000000}"/>
            </a:ext>
          </a:extLst>
        </xdr:cNvPr>
        <xdr:cNvGrpSpPr/>
      </xdr:nvGrpSpPr>
      <xdr:grpSpPr>
        <a:xfrm>
          <a:off x="3848100" y="762000"/>
          <a:ext cx="1682390" cy="847725"/>
          <a:chOff x="3400425" y="676275"/>
          <a:chExt cx="1682390" cy="847725"/>
        </a:xfrm>
      </xdr:grpSpPr>
      <xdr:pic>
        <xdr:nvPicPr>
          <xdr:cNvPr id="22" name="Picture 21">
            <a:extLst>
              <a:ext uri="{FF2B5EF4-FFF2-40B4-BE49-F238E27FC236}">
                <a16:creationId xmlns:a16="http://schemas.microsoft.com/office/drawing/2014/main" id="{00000000-0008-0000-1300-00001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400425" y="676275"/>
            <a:ext cx="847725" cy="847725"/>
          </a:xfrm>
          <a:prstGeom prst="rect">
            <a:avLst/>
          </a:prstGeom>
        </xdr:spPr>
      </xdr:pic>
      <xdr:sp macro="" textlink="">
        <xdr:nvSpPr>
          <xdr:cNvPr id="23" name="TextBox 22">
            <a:extLst>
              <a:ext uri="{FF2B5EF4-FFF2-40B4-BE49-F238E27FC236}">
                <a16:creationId xmlns:a16="http://schemas.microsoft.com/office/drawing/2014/main" id="{00000000-0008-0000-1300-000017000000}"/>
              </a:ext>
            </a:extLst>
          </xdr:cNvPr>
          <xdr:cNvSpPr txBox="1"/>
        </xdr:nvSpPr>
        <xdr:spPr>
          <a:xfrm>
            <a:off x="4286250" y="819150"/>
            <a:ext cx="796565" cy="6433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100" b="1"/>
              <a:t>Quote </a:t>
            </a:r>
          </a:p>
          <a:p>
            <a:r>
              <a:rPr lang="en-AU" sz="1100" b="1"/>
              <a:t>Templates</a:t>
            </a:r>
          </a:p>
        </xdr:txBody>
      </xdr:sp>
    </xdr:grpSp>
    <xdr:clientData/>
  </xdr:twoCellAnchor>
  <xdr:twoCellAnchor editAs="oneCell">
    <xdr:from>
      <xdr:col>14</xdr:col>
      <xdr:colOff>361950</xdr:colOff>
      <xdr:row>4</xdr:row>
      <xdr:rowOff>38100</xdr:rowOff>
    </xdr:from>
    <xdr:to>
      <xdr:col>18</xdr:col>
      <xdr:colOff>27396</xdr:colOff>
      <xdr:row>8</xdr:row>
      <xdr:rowOff>12701</xdr:rowOff>
    </xdr:to>
    <xdr:grpSp>
      <xdr:nvGrpSpPr>
        <xdr:cNvPr id="28" name="Group 27">
          <a:hlinkClick xmlns:r="http://schemas.openxmlformats.org/officeDocument/2006/relationships" r:id="rId5"/>
          <a:extLst>
            <a:ext uri="{FF2B5EF4-FFF2-40B4-BE49-F238E27FC236}">
              <a16:creationId xmlns:a16="http://schemas.microsoft.com/office/drawing/2014/main" id="{00000000-0008-0000-1300-00001C000000}"/>
            </a:ext>
          </a:extLst>
        </xdr:cNvPr>
        <xdr:cNvGrpSpPr/>
      </xdr:nvGrpSpPr>
      <xdr:grpSpPr>
        <a:xfrm>
          <a:off x="8658225" y="771525"/>
          <a:ext cx="2103846" cy="622301"/>
          <a:chOff x="7899400" y="793750"/>
          <a:chExt cx="2103846" cy="609601"/>
        </a:xfrm>
      </xdr:grpSpPr>
      <xdr:sp macro="" textlink="">
        <xdr:nvSpPr>
          <xdr:cNvPr id="26" name="TextBox 25">
            <a:extLst>
              <a:ext uri="{FF2B5EF4-FFF2-40B4-BE49-F238E27FC236}">
                <a16:creationId xmlns:a16="http://schemas.microsoft.com/office/drawing/2014/main" id="{00000000-0008-0000-1300-00001A000000}"/>
              </a:ext>
            </a:extLst>
          </xdr:cNvPr>
          <xdr:cNvSpPr txBox="1"/>
        </xdr:nvSpPr>
        <xdr:spPr>
          <a:xfrm>
            <a:off x="9061450" y="793750"/>
            <a:ext cx="941796"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t>Print</a:t>
            </a:r>
            <a:r>
              <a:rPr lang="en-AU" sz="1100" b="1" baseline="0"/>
              <a:t> </a:t>
            </a:r>
          </a:p>
          <a:p>
            <a:r>
              <a:rPr lang="en-AU" sz="1100" b="1" baseline="0"/>
              <a:t>Performance</a:t>
            </a:r>
          </a:p>
          <a:p>
            <a:r>
              <a:rPr lang="en-AU" sz="1100" b="1" baseline="0"/>
              <a:t>Guide</a:t>
            </a:r>
            <a:endParaRPr lang="en-AU" sz="1100" b="1"/>
          </a:p>
        </xdr:txBody>
      </xdr:sp>
      <xdr:pic>
        <xdr:nvPicPr>
          <xdr:cNvPr id="27" name="Picture 26">
            <a:extLst>
              <a:ext uri="{FF2B5EF4-FFF2-40B4-BE49-F238E27FC236}">
                <a16:creationId xmlns:a16="http://schemas.microsoft.com/office/drawing/2014/main" id="{00000000-0008-0000-1300-00001B000000}"/>
              </a:ext>
            </a:extLst>
          </xdr:cNvPr>
          <xdr:cNvPicPr>
            <a:picLocks noChangeAspect="1" noChangeArrowheads="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1778" r="733"/>
          <a:stretch/>
        </xdr:blipFill>
        <xdr:spPr bwMode="auto">
          <a:xfrm>
            <a:off x="7899400" y="852633"/>
            <a:ext cx="1179857" cy="55071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10</xdr:col>
      <xdr:colOff>603250</xdr:colOff>
      <xdr:row>4</xdr:row>
      <xdr:rowOff>19050</xdr:rowOff>
    </xdr:from>
    <xdr:to>
      <xdr:col>13</xdr:col>
      <xdr:colOff>221442</xdr:colOff>
      <xdr:row>8</xdr:row>
      <xdr:rowOff>130956</xdr:rowOff>
    </xdr:to>
    <xdr:grpSp>
      <xdr:nvGrpSpPr>
        <xdr:cNvPr id="30" name="Group 29">
          <a:hlinkClick xmlns:r="http://schemas.openxmlformats.org/officeDocument/2006/relationships" r:id="rId7"/>
          <a:extLst>
            <a:ext uri="{FF2B5EF4-FFF2-40B4-BE49-F238E27FC236}">
              <a16:creationId xmlns:a16="http://schemas.microsoft.com/office/drawing/2014/main" id="{00000000-0008-0000-1300-00001E000000}"/>
            </a:ext>
          </a:extLst>
        </xdr:cNvPr>
        <xdr:cNvGrpSpPr/>
      </xdr:nvGrpSpPr>
      <xdr:grpSpPr>
        <a:xfrm>
          <a:off x="6061075" y="752475"/>
          <a:ext cx="1847042" cy="759606"/>
          <a:chOff x="5810250" y="742950"/>
          <a:chExt cx="1847042" cy="746906"/>
        </a:xfrm>
      </xdr:grpSpPr>
      <xdr:sp macro="" textlink="">
        <xdr:nvSpPr>
          <xdr:cNvPr id="25" name="TextBox 24">
            <a:extLst>
              <a:ext uri="{FF2B5EF4-FFF2-40B4-BE49-F238E27FC236}">
                <a16:creationId xmlns:a16="http://schemas.microsoft.com/office/drawing/2014/main" id="{00000000-0008-0000-1300-000019000000}"/>
              </a:ext>
            </a:extLst>
          </xdr:cNvPr>
          <xdr:cNvSpPr txBox="1"/>
        </xdr:nvSpPr>
        <xdr:spPr>
          <a:xfrm>
            <a:off x="6769100" y="863600"/>
            <a:ext cx="888192"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t>Technical</a:t>
            </a:r>
            <a:r>
              <a:rPr lang="en-AU" sz="1100" b="1" baseline="0"/>
              <a:t> </a:t>
            </a:r>
          </a:p>
          <a:p>
            <a:r>
              <a:rPr lang="en-AU" sz="1100" b="1" baseline="0"/>
              <a:t>Information</a:t>
            </a:r>
            <a:endParaRPr lang="en-AU" sz="1100" b="1"/>
          </a:p>
        </xdr:txBody>
      </xdr:sp>
      <xdr:pic>
        <xdr:nvPicPr>
          <xdr:cNvPr id="29" name="Picture 28" descr="C:\Documents and Settings\TrentM\My Documents\Downloads\LX2835 (1).jpg">
            <a:extLst>
              <a:ext uri="{FF2B5EF4-FFF2-40B4-BE49-F238E27FC236}">
                <a16:creationId xmlns:a16="http://schemas.microsoft.com/office/drawing/2014/main" id="{00000000-0008-0000-1300-00001D000000}"/>
              </a:ext>
            </a:extLst>
          </xdr:cNvPr>
          <xdr:cNvPicPr>
            <a:picLocks noChangeAspect="1" noChangeArrowheads="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a:stretch/>
        </xdr:blipFill>
        <xdr:spPr bwMode="auto">
          <a:xfrm>
            <a:off x="5810250" y="742950"/>
            <a:ext cx="946150" cy="74690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18</xdr:col>
      <xdr:colOff>338664</xdr:colOff>
      <xdr:row>4</xdr:row>
      <xdr:rowOff>38100</xdr:rowOff>
    </xdr:from>
    <xdr:to>
      <xdr:col>22</xdr:col>
      <xdr:colOff>8346</xdr:colOff>
      <xdr:row>8</xdr:row>
      <xdr:rowOff>95250</xdr:rowOff>
    </xdr:to>
    <xdr:grpSp>
      <xdr:nvGrpSpPr>
        <xdr:cNvPr id="33" name="Group 32">
          <a:extLst>
            <a:ext uri="{FF2B5EF4-FFF2-40B4-BE49-F238E27FC236}">
              <a16:creationId xmlns:a16="http://schemas.microsoft.com/office/drawing/2014/main" id="{00000000-0008-0000-1300-000021000000}"/>
            </a:ext>
          </a:extLst>
        </xdr:cNvPr>
        <xdr:cNvGrpSpPr/>
      </xdr:nvGrpSpPr>
      <xdr:grpSpPr>
        <a:xfrm>
          <a:off x="11073339" y="771525"/>
          <a:ext cx="2108082" cy="704850"/>
          <a:chOff x="10539939" y="771525"/>
          <a:chExt cx="2108082" cy="704850"/>
        </a:xfrm>
      </xdr:grpSpPr>
      <xdr:sp macro="" textlink="">
        <xdr:nvSpPr>
          <xdr:cNvPr id="31" name="TextBox 30">
            <a:hlinkClick xmlns:r="http://schemas.openxmlformats.org/officeDocument/2006/relationships" r:id="rId9"/>
            <a:extLst>
              <a:ext uri="{FF2B5EF4-FFF2-40B4-BE49-F238E27FC236}">
                <a16:creationId xmlns:a16="http://schemas.microsoft.com/office/drawing/2014/main" id="{00000000-0008-0000-1300-00001F000000}"/>
              </a:ext>
            </a:extLst>
          </xdr:cNvPr>
          <xdr:cNvSpPr txBox="1"/>
        </xdr:nvSpPr>
        <xdr:spPr>
          <a:xfrm>
            <a:off x="11706225" y="942975"/>
            <a:ext cx="941796" cy="440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100" b="1"/>
              <a:t>Ink Chart</a:t>
            </a:r>
          </a:p>
        </xdr:txBody>
      </xdr:sp>
      <xdr:pic>
        <xdr:nvPicPr>
          <xdr:cNvPr id="32" name="Picture 31">
            <a:hlinkClick xmlns:r="http://schemas.openxmlformats.org/officeDocument/2006/relationships" r:id="rId9"/>
            <a:extLst>
              <a:ext uri="{FF2B5EF4-FFF2-40B4-BE49-F238E27FC236}">
                <a16:creationId xmlns:a16="http://schemas.microsoft.com/office/drawing/2014/main" id="{00000000-0008-0000-1300-00002000000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xdr:blipFill>
        <xdr:spPr>
          <a:xfrm>
            <a:off x="10539939" y="771525"/>
            <a:ext cx="1105870" cy="70485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ent Munro" refreshedDate="43616.718762037039" createdVersion="6" refreshedVersion="6" minRefreshableVersion="3" recordCount="172" xr:uid="{00000000-000A-0000-FFFF-FFFF00000000}">
  <cacheSource type="worksheet">
    <worksheetSource ref="U16:AC188" sheet="8900"/>
  </cacheSource>
  <cacheFields count="9">
    <cacheField name="Class" numFmtId="0">
      <sharedItems containsBlank="1" containsMixedTypes="1" containsNumber="1" containsInteger="1" minValue="0" maxValue="0" count="8">
        <s v="CIJ01"/>
        <m/>
        <s v="Installation"/>
        <s v="Travel &amp; Accomodation"/>
        <s v="QC"/>
        <s v="Project Management Fee"/>
        <s v="Essential Service Package"/>
        <n v="0"/>
      </sharedItems>
    </cacheField>
    <cacheField name="PG" numFmtId="0">
      <sharedItems containsBlank="1" containsMixedTypes="1" containsNumber="1" containsInteger="1" minValue="12080015" maxValue="99990167"/>
    </cacheField>
    <cacheField name="Supplier#" numFmtId="0">
      <sharedItems containsBlank="1" containsMixedTypes="1" containsNumber="1" containsInteger="1" minValue="0" maxValue="6013254" count="51">
        <s v="P890-U0-17-SSC"/>
        <m/>
        <s v="P891-U0-17-HPC"/>
        <s v="P892-U0-17-HPC"/>
        <s v="P894-U0-17-HPC"/>
        <s v="P891-W0-72-HPC"/>
        <s v="P892-W0-72-HPC"/>
        <s v="P891-U0-71-HPC"/>
        <s v="P892-U0-71-HPC"/>
        <n v="6013254"/>
        <s v="MU01478"/>
        <s v="1036721"/>
        <n v="5318678"/>
        <s v="SKME2046\01"/>
        <s v="6032867"/>
        <s v="6032868"/>
        <s v="CG003"/>
        <s v="8900 TROLLEY"/>
        <s v="FA69002"/>
        <s v="TSTAWBP30431.75-1.6A"/>
        <s v="FA62048"/>
        <s v="FA62047"/>
        <s v="FA62044"/>
        <s v="FA62046"/>
        <s v="FA62050"/>
        <s v="FA62049"/>
        <s v="FA62051"/>
        <s v="MAT-2010-0881-001"/>
        <s v="FA62052"/>
        <s v="SK-MECH-602"/>
        <s v="FA74276"/>
        <s v="LCE-102A-Y"/>
        <s v="LCE-202FB-BA, 489-532"/>
        <s v="LCE-302-BYG"/>
        <s v="07061701"/>
        <s v="FF11216"/>
        <s v="FA11207"/>
        <s v="FA11206"/>
        <s v="GD4130-BK"/>
        <s v="GM4130-BK-433K2"/>
        <s v="02020538"/>
        <s v="FF67101"/>
        <s v="FF67050"/>
        <s v="FA62068"/>
        <n v="0"/>
        <s v="FAC1240/5L"/>
        <s v="FAC1512/5L"/>
        <s v="FA90105/1L"/>
        <s v="FAC1014/5L"/>
        <s v="FAC1505/5L"/>
        <s v="FAC1079/5L"/>
      </sharedItems>
    </cacheField>
    <cacheField name="Matthews#" numFmtId="0">
      <sharedItems containsBlank="1" containsMixedTypes="1" containsNumber="1" containsInteger="1" minValue="0" maxValue="99990167" count="59">
        <s v="02010093"/>
        <m/>
        <s v="02010102"/>
        <s v="02010105"/>
        <s v="02010108"/>
        <s v="02010112"/>
        <s v="02010111"/>
        <s v="02010116"/>
        <s v="02010117"/>
        <n v="11060010"/>
        <s v="11060038"/>
        <n v="11050023"/>
        <n v="11990007"/>
        <n v="13120007"/>
        <s v="11050024"/>
        <s v="11050025"/>
        <n v="13120016"/>
        <n v="13110007"/>
        <s v="02020422"/>
        <s v="02020036"/>
        <s v="02020035"/>
        <s v="02020124"/>
        <s v="02020123"/>
        <s v="02020121"/>
        <s v="02020122"/>
        <s v="02020126"/>
        <s v="02020125"/>
        <s v="02020127"/>
        <n v="13090026"/>
        <s v="02020128"/>
        <n v="13080029"/>
        <s v="02020389"/>
        <s v="99990085, 03020034"/>
        <s v="13080149 _x000a_03020034"/>
        <n v="13080094"/>
        <n v="13020168"/>
        <s v="02020532"/>
        <s v="02020527"/>
        <s v="02020524"/>
        <s v="10040032"/>
        <s v="10040052"/>
        <s v="02020538"/>
        <s v="02020151"/>
        <s v="ERROR"/>
        <s v="02020132"/>
        <n v="99990132"/>
        <n v="99990167"/>
        <n v="0"/>
        <n v="99990151"/>
        <n v="12080015"/>
        <n v="99990166"/>
        <n v="15140077"/>
        <n v="16140057"/>
        <n v="16140064"/>
        <n v="15140083"/>
        <n v="16140061"/>
        <n v="15140091"/>
        <n v="19810039"/>
        <s v="Matt#"/>
      </sharedItems>
    </cacheField>
    <cacheField name="Product Description" numFmtId="0">
      <sharedItems containsBlank="1" count="65">
        <s v="8900 2m Midi Mk11 (Standard Speed)"/>
        <m/>
        <s v="8910 IP55 MIDI 2M (High Speed) "/>
        <s v="8920 IP55 MIDI 2M (High Speed)"/>
        <s v="8940 IP65 MIDI 2M (High Speed)"/>
        <s v="8910c IP55 MIDI PLUS 2M+ (High Speed) - Yellow"/>
        <s v="8920c IP55 MIDI PLUS 2M+ (High Speed) - Yellow"/>
        <s v="8910 IP55 MIDI 2M (High Speed) - Thermochromic"/>
        <s v="8920 IP55 MIDI 2M (High Speed) - Thermochromic"/>
        <s v="P/E Proximity Energetic - VTE18-4N4240 (Barrel 18mm)"/>
        <s v="PE Cable - 5m"/>
        <s v="Programmable Encoder"/>
        <s v="Encoder Wheel"/>
        <s v="Encoder Mount - Spring Loaded"/>
        <s v="Encoder Cable Length - 5 metres"/>
        <s v="Encoder Cable Length - 10 metres"/>
        <s v="Encoder Mount - Free Fall"/>
        <s v="8900 Linx Trolley"/>
        <s v="Linx Marking Table"/>
        <s v="Printhead Mounting Pole (1500mm)"/>
        <s v="Printhead Mounting Pole (700mm)"/>
        <s v="Cross Joint"/>
        <s v="Printhead Bracket, Adjustable - Pole Mount"/>
        <s v="Printhead Bracket, Fixed - Direct Mount"/>
        <s v="Printhead Bracket, Fixed - Pole Mount"/>
        <s v="Base - Direct Horizontal Mount, Fixed"/>
        <s v="Base - Direct Vertical Mount, Fixed"/>
        <s v="Base - Floor Mount, Fixed"/>
        <s v="Base - Floor Mount, Fixed (For Washdown Environment)"/>
        <s v="Base - Floor Mount, Mobile"/>
        <s v="Mounting Bracket Spacer Plate"/>
        <s v="Air Knife &amp; Bracket Kit"/>
        <s v="Alarm Beacon with Pole"/>
        <s v="Audible and Visible Alarm"/>
        <s v="Alarm Beacon (3 colour B/A/G) with pole"/>
        <s v="Alarm Beacon Mounting Bracket"/>
        <s v="Multistage Alarm 24V"/>
        <s v="RS232 and VFC - Dual Alarm Config"/>
        <s v="RS232 Connection"/>
        <s v="Hand Scanner Corded"/>
        <s v="Hand Scanner Cordless"/>
        <s v="8900 Plastic Cover"/>
        <s v="Positive Air Upgrade (8900, 8910, 8920)"/>
        <s v="Positive Air Upgrade (8940 Only)"/>
        <s v="Printhead Wash Station"/>
        <s v="Installation, Commissioning &amp; Training - CTO/New Line"/>
        <s v="Installation, Commissioning &amp; Training - IBTO"/>
        <s v="Additional Travel Allowance - Rural Customers (Both Ways)"/>
        <s v="Additional Travel Allowance - Flights (Both ways)"/>
        <s v="Accomodation Allowance - Per Day"/>
        <s v="Presite visit including (Onsite inspection &amp; travel to &amp; from)"/>
        <s v="Special Discount (Approved by Service)"/>
        <s v="QC Charge - Dry"/>
        <s v="Project Management Fee"/>
        <s v="Essential Service Package"/>
        <s v="INK 1240 BLK (8900) 10 X 500ML  "/>
        <s v="SOLVENT 1512 (8900) 5 X 1L  "/>
        <s v="CLEANER 8900 MEK 2x500ML "/>
        <s v="INK 1014 BLK (8900) 10 X 500ml"/>
        <s v="SOLVENT 1505 (8900) 5 X 1L "/>
        <s v="Startup Kit - 1079 Yellow (8920)"/>
        <s v="Ink 1079 Yellow (8900) 10 X 500ml"/>
        <s v="Solvent 1505 (8900) 5 X 1L"/>
        <s v="Matthews Cleaning Kit"/>
        <s v="INK 1014 BLK (8900) 2X 500ML " u="1"/>
      </sharedItems>
    </cacheField>
    <cacheField name="Qty" numFmtId="0">
      <sharedItems containsBlank="1"/>
    </cacheField>
    <cacheField name="Price" numFmtId="0">
      <sharedItems containsBlank="1"/>
    </cacheField>
    <cacheField name="Nett Price" numFmtId="0">
      <sharedItems containsBlank="1" containsMixedTypes="1" containsNumber="1" containsInteger="1" minValue="0" maxValue="0"/>
    </cacheField>
    <cacheField name="Identifier" numFmtId="0">
      <sharedItems containsBlank="1" count="3">
        <s v=""/>
        <m/>
        <s v="Show"/>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
  <r>
    <x v="0"/>
    <s v="02030013"/>
    <x v="0"/>
    <x v="0"/>
    <x v="0"/>
    <s v=""/>
    <s v=""/>
    <n v="0"/>
    <x v="0"/>
  </r>
  <r>
    <x v="0"/>
    <m/>
    <x v="1"/>
    <x v="1"/>
    <x v="1"/>
    <m/>
    <m/>
    <m/>
    <x v="0"/>
  </r>
  <r>
    <x v="0"/>
    <s v="02030016"/>
    <x v="2"/>
    <x v="2"/>
    <x v="2"/>
    <s v=""/>
    <s v=""/>
    <n v="0"/>
    <x v="0"/>
  </r>
  <r>
    <x v="0"/>
    <s v="02030016"/>
    <x v="2"/>
    <x v="2"/>
    <x v="2"/>
    <s v=""/>
    <s v=""/>
    <n v="0"/>
    <x v="0"/>
  </r>
  <r>
    <x v="0"/>
    <s v="02030014"/>
    <x v="3"/>
    <x v="3"/>
    <x v="3"/>
    <s v=""/>
    <s v=""/>
    <n v="0"/>
    <x v="0"/>
  </r>
  <r>
    <x v="0"/>
    <s v="02030014"/>
    <x v="3"/>
    <x v="3"/>
    <x v="3"/>
    <s v=""/>
    <s v=""/>
    <n v="0"/>
    <x v="0"/>
  </r>
  <r>
    <x v="0"/>
    <s v="02030015"/>
    <x v="4"/>
    <x v="4"/>
    <x v="4"/>
    <s v=""/>
    <s v=""/>
    <n v="0"/>
    <x v="0"/>
  </r>
  <r>
    <x v="1"/>
    <m/>
    <x v="1"/>
    <x v="1"/>
    <x v="1"/>
    <m/>
    <m/>
    <m/>
    <x v="0"/>
  </r>
  <r>
    <x v="1"/>
    <m/>
    <x v="1"/>
    <x v="1"/>
    <x v="1"/>
    <m/>
    <m/>
    <m/>
    <x v="0"/>
  </r>
  <r>
    <x v="1"/>
    <m/>
    <x v="1"/>
    <x v="1"/>
    <x v="1"/>
    <m/>
    <m/>
    <m/>
    <x v="0"/>
  </r>
  <r>
    <x v="1"/>
    <m/>
    <x v="1"/>
    <x v="1"/>
    <x v="1"/>
    <m/>
    <m/>
    <m/>
    <x v="0"/>
  </r>
  <r>
    <x v="1"/>
    <m/>
    <x v="1"/>
    <x v="1"/>
    <x v="1"/>
    <m/>
    <m/>
    <m/>
    <x v="0"/>
  </r>
  <r>
    <x v="1"/>
    <m/>
    <x v="1"/>
    <x v="1"/>
    <x v="1"/>
    <m/>
    <m/>
    <m/>
    <x v="0"/>
  </r>
  <r>
    <x v="1"/>
    <m/>
    <x v="1"/>
    <x v="1"/>
    <x v="1"/>
    <m/>
    <m/>
    <m/>
    <x v="0"/>
  </r>
  <r>
    <x v="1"/>
    <m/>
    <x v="1"/>
    <x v="1"/>
    <x v="1"/>
    <m/>
    <m/>
    <m/>
    <x v="0"/>
  </r>
  <r>
    <x v="1"/>
    <m/>
    <x v="1"/>
    <x v="1"/>
    <x v="1"/>
    <m/>
    <m/>
    <m/>
    <x v="0"/>
  </r>
  <r>
    <x v="0"/>
    <m/>
    <x v="1"/>
    <x v="1"/>
    <x v="1"/>
    <m/>
    <m/>
    <m/>
    <x v="0"/>
  </r>
  <r>
    <x v="0"/>
    <s v="02010111"/>
    <x v="5"/>
    <x v="5"/>
    <x v="5"/>
    <s v=""/>
    <s v=""/>
    <n v="0"/>
    <x v="0"/>
  </r>
  <r>
    <x v="0"/>
    <s v="02010111"/>
    <x v="5"/>
    <x v="5"/>
    <x v="5"/>
    <s v=""/>
    <s v=""/>
    <n v="0"/>
    <x v="0"/>
  </r>
  <r>
    <x v="0"/>
    <s v="02010111"/>
    <x v="6"/>
    <x v="6"/>
    <x v="6"/>
    <s v=""/>
    <s v=""/>
    <n v="0"/>
    <x v="0"/>
  </r>
  <r>
    <x v="0"/>
    <s v="02010111"/>
    <x v="6"/>
    <x v="6"/>
    <x v="6"/>
    <s v=""/>
    <s v=""/>
    <n v="0"/>
    <x v="0"/>
  </r>
  <r>
    <x v="1"/>
    <m/>
    <x v="1"/>
    <x v="1"/>
    <x v="1"/>
    <m/>
    <m/>
    <m/>
    <x v="1"/>
  </r>
  <r>
    <x v="0"/>
    <s v="02030016"/>
    <x v="7"/>
    <x v="7"/>
    <x v="7"/>
    <s v=""/>
    <s v=""/>
    <n v="0"/>
    <x v="0"/>
  </r>
  <r>
    <x v="0"/>
    <s v="02030014"/>
    <x v="8"/>
    <x v="8"/>
    <x v="8"/>
    <s v=""/>
    <s v=""/>
    <n v="0"/>
    <x v="0"/>
  </r>
  <r>
    <x v="1"/>
    <m/>
    <x v="1"/>
    <x v="1"/>
    <x v="1"/>
    <m/>
    <m/>
    <m/>
    <x v="0"/>
  </r>
  <r>
    <x v="1"/>
    <m/>
    <x v="1"/>
    <x v="1"/>
    <x v="1"/>
    <m/>
    <m/>
    <m/>
    <x v="0"/>
  </r>
  <r>
    <x v="1"/>
    <m/>
    <x v="1"/>
    <x v="1"/>
    <x v="1"/>
    <m/>
    <m/>
    <m/>
    <x v="0"/>
  </r>
  <r>
    <x v="1"/>
    <m/>
    <x v="1"/>
    <x v="1"/>
    <x v="1"/>
    <m/>
    <m/>
    <m/>
    <x v="0"/>
  </r>
  <r>
    <x v="1"/>
    <m/>
    <x v="1"/>
    <x v="1"/>
    <x v="1"/>
    <m/>
    <m/>
    <m/>
    <x v="0"/>
  </r>
  <r>
    <x v="1"/>
    <m/>
    <x v="1"/>
    <x v="1"/>
    <x v="1"/>
    <m/>
    <m/>
    <m/>
    <x v="0"/>
  </r>
  <r>
    <x v="0"/>
    <m/>
    <x v="9"/>
    <x v="9"/>
    <x v="9"/>
    <s v=""/>
    <s v=""/>
    <s v=""/>
    <x v="0"/>
  </r>
  <r>
    <x v="0"/>
    <m/>
    <x v="10"/>
    <x v="10"/>
    <x v="10"/>
    <s v=""/>
    <s v=""/>
    <s v=""/>
    <x v="0"/>
  </r>
  <r>
    <x v="0"/>
    <m/>
    <x v="1"/>
    <x v="1"/>
    <x v="1"/>
    <m/>
    <m/>
    <m/>
    <x v="0"/>
  </r>
  <r>
    <x v="0"/>
    <m/>
    <x v="1"/>
    <x v="1"/>
    <x v="1"/>
    <m/>
    <m/>
    <m/>
    <x v="0"/>
  </r>
  <r>
    <x v="0"/>
    <m/>
    <x v="11"/>
    <x v="11"/>
    <x v="11"/>
    <s v=""/>
    <s v=""/>
    <s v=""/>
    <x v="0"/>
  </r>
  <r>
    <x v="0"/>
    <m/>
    <x v="12"/>
    <x v="12"/>
    <x v="12"/>
    <s v=""/>
    <s v=""/>
    <s v=""/>
    <x v="0"/>
  </r>
  <r>
    <x v="0"/>
    <m/>
    <x v="13"/>
    <x v="13"/>
    <x v="13"/>
    <s v=""/>
    <s v=""/>
    <s v=""/>
    <x v="0"/>
  </r>
  <r>
    <x v="0"/>
    <m/>
    <x v="14"/>
    <x v="14"/>
    <x v="14"/>
    <s v=""/>
    <s v=""/>
    <s v=""/>
    <x v="0"/>
  </r>
  <r>
    <x v="0"/>
    <m/>
    <x v="15"/>
    <x v="15"/>
    <x v="15"/>
    <s v=""/>
    <s v=""/>
    <s v=""/>
    <x v="0"/>
  </r>
  <r>
    <x v="0"/>
    <m/>
    <x v="1"/>
    <x v="1"/>
    <x v="1"/>
    <m/>
    <m/>
    <s v=""/>
    <x v="0"/>
  </r>
  <r>
    <x v="0"/>
    <m/>
    <x v="16"/>
    <x v="16"/>
    <x v="16"/>
    <s v=""/>
    <s v=""/>
    <s v=""/>
    <x v="0"/>
  </r>
  <r>
    <x v="1"/>
    <m/>
    <x v="1"/>
    <x v="1"/>
    <x v="1"/>
    <m/>
    <m/>
    <m/>
    <x v="0"/>
  </r>
  <r>
    <x v="1"/>
    <m/>
    <x v="1"/>
    <x v="1"/>
    <x v="1"/>
    <m/>
    <m/>
    <m/>
    <x v="0"/>
  </r>
  <r>
    <x v="1"/>
    <m/>
    <x v="1"/>
    <x v="1"/>
    <x v="1"/>
    <m/>
    <m/>
    <m/>
    <x v="0"/>
  </r>
  <r>
    <x v="1"/>
    <m/>
    <x v="1"/>
    <x v="1"/>
    <x v="1"/>
    <m/>
    <m/>
    <m/>
    <x v="0"/>
  </r>
  <r>
    <x v="1"/>
    <m/>
    <x v="1"/>
    <x v="1"/>
    <x v="1"/>
    <m/>
    <m/>
    <m/>
    <x v="0"/>
  </r>
  <r>
    <x v="1"/>
    <m/>
    <x v="1"/>
    <x v="1"/>
    <x v="1"/>
    <m/>
    <m/>
    <m/>
    <x v="0"/>
  </r>
  <r>
    <x v="0"/>
    <m/>
    <x v="17"/>
    <x v="17"/>
    <x v="17"/>
    <s v=""/>
    <s v=""/>
    <s v=""/>
    <x v="0"/>
  </r>
  <r>
    <x v="0"/>
    <m/>
    <x v="1"/>
    <x v="1"/>
    <x v="1"/>
    <m/>
    <m/>
    <m/>
    <x v="0"/>
  </r>
  <r>
    <x v="0"/>
    <m/>
    <x v="1"/>
    <x v="1"/>
    <x v="1"/>
    <m/>
    <m/>
    <m/>
    <x v="0"/>
  </r>
  <r>
    <x v="0"/>
    <m/>
    <x v="18"/>
    <x v="18"/>
    <x v="18"/>
    <s v=""/>
    <s v=""/>
    <s v=""/>
    <x v="0"/>
  </r>
  <r>
    <x v="0"/>
    <m/>
    <x v="1"/>
    <x v="1"/>
    <x v="1"/>
    <m/>
    <m/>
    <m/>
    <x v="0"/>
  </r>
  <r>
    <x v="0"/>
    <m/>
    <x v="19"/>
    <x v="19"/>
    <x v="19"/>
    <s v=""/>
    <s v=""/>
    <s v=""/>
    <x v="0"/>
  </r>
  <r>
    <x v="0"/>
    <m/>
    <x v="19"/>
    <x v="20"/>
    <x v="20"/>
    <s v=""/>
    <s v=""/>
    <s v=""/>
    <x v="0"/>
  </r>
  <r>
    <x v="0"/>
    <m/>
    <x v="20"/>
    <x v="21"/>
    <x v="21"/>
    <s v=""/>
    <s v=""/>
    <s v=""/>
    <x v="0"/>
  </r>
  <r>
    <x v="0"/>
    <m/>
    <x v="1"/>
    <x v="1"/>
    <x v="1"/>
    <m/>
    <m/>
    <m/>
    <x v="0"/>
  </r>
  <r>
    <x v="0"/>
    <m/>
    <x v="21"/>
    <x v="22"/>
    <x v="22"/>
    <s v=""/>
    <s v=""/>
    <s v=""/>
    <x v="0"/>
  </r>
  <r>
    <x v="0"/>
    <m/>
    <x v="22"/>
    <x v="23"/>
    <x v="23"/>
    <s v=""/>
    <s v=""/>
    <s v=""/>
    <x v="0"/>
  </r>
  <r>
    <x v="0"/>
    <m/>
    <x v="23"/>
    <x v="24"/>
    <x v="24"/>
    <s v=""/>
    <s v=""/>
    <s v=""/>
    <x v="0"/>
  </r>
  <r>
    <x v="0"/>
    <m/>
    <x v="1"/>
    <x v="1"/>
    <x v="1"/>
    <m/>
    <m/>
    <m/>
    <x v="0"/>
  </r>
  <r>
    <x v="0"/>
    <m/>
    <x v="24"/>
    <x v="25"/>
    <x v="25"/>
    <s v=""/>
    <s v=""/>
    <s v=""/>
    <x v="0"/>
  </r>
  <r>
    <x v="0"/>
    <m/>
    <x v="25"/>
    <x v="26"/>
    <x v="26"/>
    <s v=""/>
    <s v=""/>
    <s v=""/>
    <x v="0"/>
  </r>
  <r>
    <x v="0"/>
    <m/>
    <x v="26"/>
    <x v="27"/>
    <x v="27"/>
    <s v=""/>
    <s v=""/>
    <s v=""/>
    <x v="0"/>
  </r>
  <r>
    <x v="0"/>
    <m/>
    <x v="27"/>
    <x v="28"/>
    <x v="28"/>
    <s v=""/>
    <s v=""/>
    <s v=""/>
    <x v="0"/>
  </r>
  <r>
    <x v="0"/>
    <m/>
    <x v="28"/>
    <x v="29"/>
    <x v="29"/>
    <s v=""/>
    <s v=""/>
    <s v=""/>
    <x v="0"/>
  </r>
  <r>
    <x v="0"/>
    <m/>
    <x v="29"/>
    <x v="30"/>
    <x v="30"/>
    <s v=""/>
    <s v=""/>
    <s v=""/>
    <x v="0"/>
  </r>
  <r>
    <x v="1"/>
    <m/>
    <x v="1"/>
    <x v="1"/>
    <x v="1"/>
    <m/>
    <m/>
    <m/>
    <x v="0"/>
  </r>
  <r>
    <x v="1"/>
    <m/>
    <x v="1"/>
    <x v="1"/>
    <x v="1"/>
    <m/>
    <m/>
    <m/>
    <x v="0"/>
  </r>
  <r>
    <x v="1"/>
    <m/>
    <x v="1"/>
    <x v="1"/>
    <x v="1"/>
    <m/>
    <m/>
    <m/>
    <x v="0"/>
  </r>
  <r>
    <x v="1"/>
    <m/>
    <x v="1"/>
    <x v="1"/>
    <x v="1"/>
    <m/>
    <m/>
    <m/>
    <x v="0"/>
  </r>
  <r>
    <x v="1"/>
    <m/>
    <x v="1"/>
    <x v="1"/>
    <x v="1"/>
    <m/>
    <m/>
    <m/>
    <x v="0"/>
  </r>
  <r>
    <x v="1"/>
    <m/>
    <x v="1"/>
    <x v="1"/>
    <x v="1"/>
    <m/>
    <m/>
    <m/>
    <x v="0"/>
  </r>
  <r>
    <x v="0"/>
    <m/>
    <x v="30"/>
    <x v="31"/>
    <x v="31"/>
    <s v=""/>
    <s v=""/>
    <s v=""/>
    <x v="0"/>
  </r>
  <r>
    <x v="0"/>
    <m/>
    <x v="1"/>
    <x v="1"/>
    <x v="1"/>
    <m/>
    <m/>
    <m/>
    <x v="0"/>
  </r>
  <r>
    <x v="0"/>
    <m/>
    <x v="31"/>
    <x v="32"/>
    <x v="32"/>
    <s v=""/>
    <s v=""/>
    <s v=""/>
    <x v="0"/>
  </r>
  <r>
    <x v="0"/>
    <m/>
    <x v="32"/>
    <x v="33"/>
    <x v="33"/>
    <s v=""/>
    <s v=""/>
    <s v=""/>
    <x v="0"/>
  </r>
  <r>
    <x v="0"/>
    <m/>
    <x v="1"/>
    <x v="1"/>
    <x v="1"/>
    <m/>
    <m/>
    <m/>
    <x v="0"/>
  </r>
  <r>
    <x v="0"/>
    <m/>
    <x v="1"/>
    <x v="1"/>
    <x v="1"/>
    <m/>
    <m/>
    <m/>
    <x v="0"/>
  </r>
  <r>
    <x v="0"/>
    <m/>
    <x v="1"/>
    <x v="1"/>
    <x v="1"/>
    <m/>
    <m/>
    <m/>
    <x v="0"/>
  </r>
  <r>
    <x v="0"/>
    <m/>
    <x v="33"/>
    <x v="34"/>
    <x v="34"/>
    <s v=""/>
    <s v=""/>
    <s v=""/>
    <x v="0"/>
  </r>
  <r>
    <x v="0"/>
    <m/>
    <x v="34"/>
    <x v="35"/>
    <x v="35"/>
    <s v=""/>
    <s v=""/>
    <s v=""/>
    <x v="0"/>
  </r>
  <r>
    <x v="0"/>
    <m/>
    <x v="1"/>
    <x v="1"/>
    <x v="1"/>
    <m/>
    <m/>
    <m/>
    <x v="0"/>
  </r>
  <r>
    <x v="0"/>
    <m/>
    <x v="35"/>
    <x v="36"/>
    <x v="36"/>
    <s v=""/>
    <s v=""/>
    <s v=""/>
    <x v="0"/>
  </r>
  <r>
    <x v="0"/>
    <m/>
    <x v="36"/>
    <x v="37"/>
    <x v="37"/>
    <s v=""/>
    <s v=""/>
    <s v=""/>
    <x v="0"/>
  </r>
  <r>
    <x v="0"/>
    <m/>
    <x v="37"/>
    <x v="38"/>
    <x v="38"/>
    <s v=""/>
    <s v=""/>
    <s v=""/>
    <x v="0"/>
  </r>
  <r>
    <x v="0"/>
    <m/>
    <x v="1"/>
    <x v="1"/>
    <x v="1"/>
    <m/>
    <m/>
    <m/>
    <x v="0"/>
  </r>
  <r>
    <x v="0"/>
    <m/>
    <x v="38"/>
    <x v="39"/>
    <x v="39"/>
    <s v=""/>
    <s v=""/>
    <s v=""/>
    <x v="0"/>
  </r>
  <r>
    <x v="0"/>
    <m/>
    <x v="39"/>
    <x v="40"/>
    <x v="40"/>
    <s v=""/>
    <s v=""/>
    <s v=""/>
    <x v="0"/>
  </r>
  <r>
    <x v="0"/>
    <m/>
    <x v="1"/>
    <x v="1"/>
    <x v="1"/>
    <m/>
    <m/>
    <m/>
    <x v="0"/>
  </r>
  <r>
    <x v="0"/>
    <m/>
    <x v="40"/>
    <x v="41"/>
    <x v="41"/>
    <s v=""/>
    <s v=""/>
    <s v=""/>
    <x v="0"/>
  </r>
  <r>
    <x v="0"/>
    <m/>
    <x v="1"/>
    <x v="1"/>
    <x v="1"/>
    <m/>
    <m/>
    <m/>
    <x v="0"/>
  </r>
  <r>
    <x v="0"/>
    <m/>
    <x v="1"/>
    <x v="1"/>
    <x v="1"/>
    <m/>
    <m/>
    <m/>
    <x v="0"/>
  </r>
  <r>
    <x v="0"/>
    <m/>
    <x v="1"/>
    <x v="1"/>
    <x v="1"/>
    <m/>
    <m/>
    <m/>
    <x v="0"/>
  </r>
  <r>
    <x v="0"/>
    <m/>
    <x v="41"/>
    <x v="42"/>
    <x v="42"/>
    <s v=""/>
    <s v=""/>
    <s v=""/>
    <x v="0"/>
  </r>
  <r>
    <x v="0"/>
    <m/>
    <x v="42"/>
    <x v="43"/>
    <x v="43"/>
    <s v=""/>
    <s v=""/>
    <s v=""/>
    <x v="0"/>
  </r>
  <r>
    <x v="0"/>
    <m/>
    <x v="43"/>
    <x v="44"/>
    <x v="44"/>
    <s v=""/>
    <s v=""/>
    <s v=""/>
    <x v="0"/>
  </r>
  <r>
    <x v="1"/>
    <m/>
    <x v="1"/>
    <x v="1"/>
    <x v="1"/>
    <m/>
    <m/>
    <m/>
    <x v="0"/>
  </r>
  <r>
    <x v="1"/>
    <m/>
    <x v="1"/>
    <x v="1"/>
    <x v="1"/>
    <m/>
    <m/>
    <m/>
    <x v="0"/>
  </r>
  <r>
    <x v="1"/>
    <m/>
    <x v="1"/>
    <x v="1"/>
    <x v="1"/>
    <m/>
    <m/>
    <m/>
    <x v="0"/>
  </r>
  <r>
    <x v="1"/>
    <m/>
    <x v="1"/>
    <x v="1"/>
    <x v="1"/>
    <m/>
    <m/>
    <m/>
    <x v="0"/>
  </r>
  <r>
    <x v="1"/>
    <m/>
    <x v="1"/>
    <x v="1"/>
    <x v="1"/>
    <m/>
    <m/>
    <m/>
    <x v="0"/>
  </r>
  <r>
    <x v="1"/>
    <m/>
    <x v="1"/>
    <x v="1"/>
    <x v="1"/>
    <m/>
    <m/>
    <m/>
    <x v="0"/>
  </r>
  <r>
    <x v="1"/>
    <m/>
    <x v="1"/>
    <x v="1"/>
    <x v="1"/>
    <m/>
    <m/>
    <m/>
    <x v="0"/>
  </r>
  <r>
    <x v="1"/>
    <m/>
    <x v="1"/>
    <x v="1"/>
    <x v="1"/>
    <m/>
    <m/>
    <m/>
    <x v="0"/>
  </r>
  <r>
    <x v="1"/>
    <m/>
    <x v="1"/>
    <x v="1"/>
    <x v="1"/>
    <m/>
    <m/>
    <m/>
    <x v="0"/>
  </r>
  <r>
    <x v="2"/>
    <n v="99990132"/>
    <x v="44"/>
    <x v="45"/>
    <x v="45"/>
    <s v=""/>
    <s v=""/>
    <s v=""/>
    <x v="0"/>
  </r>
  <r>
    <x v="2"/>
    <n v="99990132"/>
    <x v="44"/>
    <x v="45"/>
    <x v="46"/>
    <s v=""/>
    <s v=""/>
    <s v=""/>
    <x v="0"/>
  </r>
  <r>
    <x v="1"/>
    <m/>
    <x v="1"/>
    <x v="1"/>
    <x v="1"/>
    <m/>
    <m/>
    <m/>
    <x v="0"/>
  </r>
  <r>
    <x v="3"/>
    <n v="99990167"/>
    <x v="44"/>
    <x v="46"/>
    <x v="47"/>
    <s v=""/>
    <s v=""/>
    <s v=""/>
    <x v="0"/>
  </r>
  <r>
    <x v="3"/>
    <n v="99990167"/>
    <x v="44"/>
    <x v="46"/>
    <x v="48"/>
    <s v=""/>
    <s v=""/>
    <s v=""/>
    <x v="0"/>
  </r>
  <r>
    <x v="3"/>
    <n v="99990167"/>
    <x v="44"/>
    <x v="46"/>
    <x v="49"/>
    <s v=""/>
    <s v=""/>
    <s v=""/>
    <x v="0"/>
  </r>
  <r>
    <x v="2"/>
    <n v="99990167"/>
    <x v="44"/>
    <x v="46"/>
    <x v="50"/>
    <s v=""/>
    <s v=""/>
    <s v=""/>
    <x v="0"/>
  </r>
  <r>
    <x v="2"/>
    <n v="99990132"/>
    <x v="44"/>
    <x v="47"/>
    <x v="51"/>
    <s v=""/>
    <s v=""/>
    <s v=""/>
    <x v="0"/>
  </r>
  <r>
    <x v="1"/>
    <m/>
    <x v="1"/>
    <x v="1"/>
    <x v="1"/>
    <m/>
    <m/>
    <m/>
    <x v="0"/>
  </r>
  <r>
    <x v="4"/>
    <n v="99990151"/>
    <x v="44"/>
    <x v="48"/>
    <x v="52"/>
    <s v=""/>
    <s v=""/>
    <s v=""/>
    <x v="0"/>
  </r>
  <r>
    <x v="5"/>
    <n v="12080015"/>
    <x v="44"/>
    <x v="49"/>
    <x v="53"/>
    <s v=""/>
    <s v=""/>
    <s v=""/>
    <x v="0"/>
  </r>
  <r>
    <x v="1"/>
    <m/>
    <x v="1"/>
    <x v="1"/>
    <x v="1"/>
    <m/>
    <m/>
    <m/>
    <x v="0"/>
  </r>
  <r>
    <x v="6"/>
    <n v="99990166"/>
    <x v="44"/>
    <x v="50"/>
    <x v="54"/>
    <s v=""/>
    <s v=""/>
    <s v=""/>
    <x v="0"/>
  </r>
  <r>
    <x v="1"/>
    <m/>
    <x v="1"/>
    <x v="1"/>
    <x v="1"/>
    <m/>
    <m/>
    <m/>
    <x v="0"/>
  </r>
  <r>
    <x v="1"/>
    <m/>
    <x v="1"/>
    <x v="1"/>
    <x v="1"/>
    <m/>
    <m/>
    <m/>
    <x v="0"/>
  </r>
  <r>
    <x v="1"/>
    <m/>
    <x v="1"/>
    <x v="1"/>
    <x v="1"/>
    <m/>
    <m/>
    <m/>
    <x v="0"/>
  </r>
  <r>
    <x v="1"/>
    <m/>
    <x v="1"/>
    <x v="1"/>
    <x v="1"/>
    <m/>
    <m/>
    <m/>
    <x v="0"/>
  </r>
  <r>
    <x v="1"/>
    <m/>
    <x v="1"/>
    <x v="1"/>
    <x v="1"/>
    <m/>
    <m/>
    <m/>
    <x v="0"/>
  </r>
  <r>
    <x v="1"/>
    <m/>
    <x v="1"/>
    <x v="1"/>
    <x v="1"/>
    <m/>
    <m/>
    <m/>
    <x v="0"/>
  </r>
  <r>
    <x v="1"/>
    <m/>
    <x v="1"/>
    <x v="1"/>
    <x v="1"/>
    <m/>
    <m/>
    <m/>
    <x v="0"/>
  </r>
  <r>
    <x v="1"/>
    <m/>
    <x v="1"/>
    <x v="1"/>
    <x v="1"/>
    <m/>
    <m/>
    <m/>
    <x v="0"/>
  </r>
  <r>
    <x v="1"/>
    <m/>
    <x v="1"/>
    <x v="1"/>
    <x v="1"/>
    <m/>
    <m/>
    <m/>
    <x v="0"/>
  </r>
  <r>
    <x v="0"/>
    <m/>
    <x v="45"/>
    <x v="51"/>
    <x v="55"/>
    <s v=""/>
    <s v=""/>
    <s v=""/>
    <x v="0"/>
  </r>
  <r>
    <x v="0"/>
    <m/>
    <x v="46"/>
    <x v="52"/>
    <x v="56"/>
    <s v=""/>
    <s v=""/>
    <s v=""/>
    <x v="0"/>
  </r>
  <r>
    <x v="0"/>
    <m/>
    <x v="47"/>
    <x v="53"/>
    <x v="57"/>
    <s v=""/>
    <s v=""/>
    <s v=""/>
    <x v="0"/>
  </r>
  <r>
    <x v="0"/>
    <m/>
    <x v="1"/>
    <x v="1"/>
    <x v="1"/>
    <m/>
    <m/>
    <m/>
    <x v="0"/>
  </r>
  <r>
    <x v="1"/>
    <m/>
    <x v="1"/>
    <x v="1"/>
    <x v="1"/>
    <m/>
    <m/>
    <m/>
    <x v="1"/>
  </r>
  <r>
    <x v="0"/>
    <m/>
    <x v="48"/>
    <x v="54"/>
    <x v="58"/>
    <s v=""/>
    <s v=""/>
    <s v=""/>
    <x v="0"/>
  </r>
  <r>
    <x v="0"/>
    <m/>
    <x v="49"/>
    <x v="55"/>
    <x v="59"/>
    <s v=""/>
    <s v=""/>
    <s v=""/>
    <x v="0"/>
  </r>
  <r>
    <x v="0"/>
    <m/>
    <x v="47"/>
    <x v="53"/>
    <x v="57"/>
    <s v=""/>
    <s v=""/>
    <s v=""/>
    <x v="0"/>
  </r>
  <r>
    <x v="0"/>
    <m/>
    <x v="1"/>
    <x v="1"/>
    <x v="1"/>
    <m/>
    <m/>
    <m/>
    <x v="0"/>
  </r>
  <r>
    <x v="0"/>
    <m/>
    <x v="44"/>
    <x v="47"/>
    <x v="60"/>
    <s v=""/>
    <s v=""/>
    <s v=""/>
    <x v="0"/>
  </r>
  <r>
    <x v="0"/>
    <m/>
    <x v="50"/>
    <x v="56"/>
    <x v="61"/>
    <s v=""/>
    <s v=""/>
    <s v=""/>
    <x v="0"/>
  </r>
  <r>
    <x v="0"/>
    <m/>
    <x v="49"/>
    <x v="55"/>
    <x v="62"/>
    <s v=""/>
    <s v=""/>
    <s v=""/>
    <x v="0"/>
  </r>
  <r>
    <x v="0"/>
    <m/>
    <x v="47"/>
    <x v="53"/>
    <x v="57"/>
    <s v=""/>
    <s v=""/>
    <s v=""/>
    <x v="0"/>
  </r>
  <r>
    <x v="0"/>
    <m/>
    <x v="1"/>
    <x v="1"/>
    <x v="1"/>
    <m/>
    <m/>
    <m/>
    <x v="0"/>
  </r>
  <r>
    <x v="0"/>
    <m/>
    <x v="1"/>
    <x v="1"/>
    <x v="1"/>
    <m/>
    <m/>
    <m/>
    <x v="0"/>
  </r>
  <r>
    <x v="0"/>
    <m/>
    <x v="1"/>
    <x v="1"/>
    <x v="1"/>
    <m/>
    <m/>
    <m/>
    <x v="0"/>
  </r>
  <r>
    <x v="0"/>
    <m/>
    <x v="1"/>
    <x v="1"/>
    <x v="1"/>
    <m/>
    <m/>
    <m/>
    <x v="0"/>
  </r>
  <r>
    <x v="0"/>
    <m/>
    <x v="1"/>
    <x v="1"/>
    <x v="1"/>
    <m/>
    <m/>
    <m/>
    <x v="0"/>
  </r>
  <r>
    <x v="0"/>
    <m/>
    <x v="1"/>
    <x v="1"/>
    <x v="1"/>
    <m/>
    <m/>
    <m/>
    <x v="0"/>
  </r>
  <r>
    <x v="0"/>
    <m/>
    <x v="45"/>
    <x v="51"/>
    <x v="55"/>
    <s v=""/>
    <s v=""/>
    <s v=""/>
    <x v="0"/>
  </r>
  <r>
    <x v="0"/>
    <m/>
    <x v="46"/>
    <x v="52"/>
    <x v="56"/>
    <s v=""/>
    <s v=""/>
    <s v=""/>
    <x v="0"/>
  </r>
  <r>
    <x v="0"/>
    <m/>
    <x v="47"/>
    <x v="53"/>
    <x v="57"/>
    <s v=""/>
    <s v=""/>
    <s v=""/>
    <x v="0"/>
  </r>
  <r>
    <x v="0"/>
    <m/>
    <x v="1"/>
    <x v="1"/>
    <x v="1"/>
    <m/>
    <m/>
    <m/>
    <x v="0"/>
  </r>
  <r>
    <x v="0"/>
    <m/>
    <x v="1"/>
    <x v="1"/>
    <x v="1"/>
    <m/>
    <m/>
    <m/>
    <x v="0"/>
  </r>
  <r>
    <x v="0"/>
    <m/>
    <x v="44"/>
    <x v="57"/>
    <x v="63"/>
    <s v=""/>
    <s v=""/>
    <s v=""/>
    <x v="0"/>
  </r>
  <r>
    <x v="1"/>
    <m/>
    <x v="1"/>
    <x v="1"/>
    <x v="1"/>
    <m/>
    <m/>
    <m/>
    <x v="0"/>
  </r>
  <r>
    <x v="1"/>
    <m/>
    <x v="1"/>
    <x v="1"/>
    <x v="1"/>
    <m/>
    <m/>
    <m/>
    <x v="0"/>
  </r>
  <r>
    <x v="1"/>
    <m/>
    <x v="1"/>
    <x v="1"/>
    <x v="1"/>
    <m/>
    <m/>
    <m/>
    <x v="0"/>
  </r>
  <r>
    <x v="1"/>
    <m/>
    <x v="1"/>
    <x v="1"/>
    <x v="1"/>
    <m/>
    <m/>
    <m/>
    <x v="0"/>
  </r>
  <r>
    <x v="1"/>
    <m/>
    <x v="1"/>
    <x v="58"/>
    <x v="1"/>
    <s v="Qty"/>
    <m/>
    <s v="Price"/>
    <x v="2"/>
  </r>
  <r>
    <x v="7"/>
    <m/>
    <x v="1"/>
    <x v="47"/>
    <x v="1"/>
    <s v=""/>
    <s v=""/>
    <n v="0"/>
    <x v="0"/>
  </r>
  <r>
    <x v="7"/>
    <m/>
    <x v="1"/>
    <x v="47"/>
    <x v="1"/>
    <s v=""/>
    <m/>
    <n v="0"/>
    <x v="0"/>
  </r>
  <r>
    <x v="7"/>
    <m/>
    <x v="1"/>
    <x v="47"/>
    <x v="1"/>
    <s v=""/>
    <m/>
    <n v="0"/>
    <x v="0"/>
  </r>
  <r>
    <x v="7"/>
    <m/>
    <x v="1"/>
    <x v="47"/>
    <x v="1"/>
    <s v=""/>
    <m/>
    <n v="0"/>
    <x v="0"/>
  </r>
  <r>
    <x v="7"/>
    <m/>
    <x v="1"/>
    <x v="47"/>
    <x v="1"/>
    <s v=""/>
    <m/>
    <n v="0"/>
    <x v="0"/>
  </r>
  <r>
    <x v="7"/>
    <m/>
    <x v="1"/>
    <x v="47"/>
    <x v="1"/>
    <s v=""/>
    <m/>
    <n v="0"/>
    <x v="0"/>
  </r>
  <r>
    <x v="7"/>
    <m/>
    <x v="1"/>
    <x v="47"/>
    <x v="1"/>
    <s v=""/>
    <m/>
    <n v="0"/>
    <x v="0"/>
  </r>
  <r>
    <x v="7"/>
    <m/>
    <x v="1"/>
    <x v="47"/>
    <x v="1"/>
    <s v=""/>
    <m/>
    <n v="0"/>
    <x v="0"/>
  </r>
  <r>
    <x v="7"/>
    <m/>
    <x v="1"/>
    <x v="47"/>
    <x v="1"/>
    <s v=""/>
    <m/>
    <n v="0"/>
    <x v="0"/>
  </r>
  <r>
    <x v="7"/>
    <m/>
    <x v="1"/>
    <x v="47"/>
    <x v="1"/>
    <s v=""/>
    <m/>
    <n v="0"/>
    <x v="0"/>
  </r>
  <r>
    <x v="7"/>
    <m/>
    <x v="1"/>
    <x v="47"/>
    <x v="1"/>
    <s v=""/>
    <m/>
    <n v="0"/>
    <x v="0"/>
  </r>
  <r>
    <x v="7"/>
    <m/>
    <x v="1"/>
    <x v="47"/>
    <x v="1"/>
    <s v=""/>
    <m/>
    <n v="0"/>
    <x v="0"/>
  </r>
  <r>
    <x v="7"/>
    <m/>
    <x v="1"/>
    <x v="47"/>
    <x v="1"/>
    <s v=""/>
    <m/>
    <n v="0"/>
    <x v="0"/>
  </r>
  <r>
    <x v="7"/>
    <m/>
    <x v="1"/>
    <x v="47"/>
    <x v="1"/>
    <s v=""/>
    <m/>
    <n v="0"/>
    <x v="0"/>
  </r>
  <r>
    <x v="7"/>
    <m/>
    <x v="1"/>
    <x v="47"/>
    <x v="1"/>
    <s v=""/>
    <m/>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2" applyNumberFormats="0" applyBorderFormats="0" applyFontFormats="0" applyPatternFormats="0" applyAlignmentFormats="0" applyWidthHeightFormats="1" dataCaption="Values" showError="1" updatedVersion="6" minRefreshableVersion="3" showDrill="0" preserveFormatting="0" itemPrintTitles="1" createdVersion="6" indent="0" compact="0" compactData="0" multipleFieldFilters="0">
  <location ref="C11:H12" firstHeaderRow="0" firstDataRow="1" firstDataCol="4" rowPageCount="1" colPageCount="1"/>
  <pivotFields count="9">
    <pivotField axis="axisRow" compact="0" outline="0" subtotalTop="0" showAll="0" defaultSubtotal="0">
      <items count="8">
        <item h="1" x="7"/>
        <item x="0"/>
        <item x="6"/>
        <item x="2"/>
        <item x="4"/>
        <item x="3"/>
        <item h="1" x="1"/>
        <item x="5"/>
      </items>
    </pivotField>
    <pivotField compact="0" outline="0" subtotalTop="0" showAll="0"/>
    <pivotField axis="axisRow" compact="0" outline="0" subtotalTop="0" showAll="0" defaultSubtotal="0">
      <items count="51">
        <item x="44"/>
        <item x="12"/>
        <item x="9"/>
        <item x="40"/>
        <item x="34"/>
        <item x="11"/>
        <item x="14"/>
        <item x="15"/>
        <item x="17"/>
        <item x="16"/>
        <item x="37"/>
        <item x="36"/>
        <item x="22"/>
        <item x="23"/>
        <item x="21"/>
        <item x="20"/>
        <item x="25"/>
        <item x="24"/>
        <item x="26"/>
        <item x="28"/>
        <item x="43"/>
        <item x="18"/>
        <item x="30"/>
        <item x="47"/>
        <item x="48"/>
        <item x="50"/>
        <item x="45"/>
        <item x="49"/>
        <item x="46"/>
        <item x="35"/>
        <item x="42"/>
        <item x="41"/>
        <item x="38"/>
        <item x="39"/>
        <item x="31"/>
        <item x="32"/>
        <item x="33"/>
        <item x="27"/>
        <item x="10"/>
        <item x="0"/>
        <item x="2"/>
        <item x="6"/>
        <item x="13"/>
        <item x="29"/>
        <item x="19"/>
        <item x="1"/>
        <item x="3"/>
        <item x="5"/>
        <item x="7"/>
        <item x="8"/>
        <item x="4"/>
      </items>
    </pivotField>
    <pivotField axis="axisRow" compact="0" outline="0" subtotalTop="0" showAll="0" sortType="descending" defaultSubtotal="0">
      <items count="59">
        <item x="47"/>
        <item x="11"/>
        <item x="9"/>
        <item x="12"/>
        <item x="49"/>
        <item x="35"/>
        <item x="30"/>
        <item x="34"/>
        <item x="28"/>
        <item x="17"/>
        <item x="13"/>
        <item x="16"/>
        <item x="51"/>
        <item x="54"/>
        <item x="56"/>
        <item x="52"/>
        <item x="55"/>
        <item x="53"/>
        <item x="57"/>
        <item x="45"/>
        <item x="48"/>
        <item x="50"/>
        <item x="46"/>
        <item x="0"/>
        <item x="2"/>
        <item x="6"/>
        <item x="20"/>
        <item x="19"/>
        <item x="23"/>
        <item x="24"/>
        <item x="22"/>
        <item x="21"/>
        <item x="26"/>
        <item x="25"/>
        <item x="27"/>
        <item x="29"/>
        <item x="44"/>
        <item x="42"/>
        <item x="31"/>
        <item x="18"/>
        <item x="38"/>
        <item x="37"/>
        <item x="36"/>
        <item x="41"/>
        <item x="39"/>
        <item x="40"/>
        <item x="14"/>
        <item x="15"/>
        <item x="10"/>
        <item x="33"/>
        <item x="32"/>
        <item x="43"/>
        <item x="58"/>
        <item x="1"/>
        <item x="3"/>
        <item x="5"/>
        <item x="7"/>
        <item x="8"/>
        <item x="4"/>
      </items>
      <autoSortScope>
        <pivotArea dataOnly="0" outline="0" fieldPosition="0">
          <references count="1">
            <reference field="4294967294" count="1" selected="0">
              <x v="1"/>
            </reference>
          </references>
        </pivotArea>
      </autoSortScope>
    </pivotField>
    <pivotField axis="axisRow" compact="0" outline="0" subtotalTop="0" showAll="0" defaultSubtotal="0">
      <items count="65">
        <item x="0"/>
        <item x="17"/>
        <item x="41"/>
        <item x="2"/>
        <item x="6"/>
        <item x="49"/>
        <item x="48"/>
        <item x="47"/>
        <item x="31"/>
        <item x="34"/>
        <item x="35"/>
        <item x="32"/>
        <item x="33"/>
        <item x="25"/>
        <item x="26"/>
        <item x="27"/>
        <item x="28"/>
        <item x="29"/>
        <item x="57"/>
        <item x="21"/>
        <item x="15"/>
        <item x="14"/>
        <item x="16"/>
        <item x="13"/>
        <item x="12"/>
        <item x="54"/>
        <item x="39"/>
        <item x="40"/>
        <item m="1" x="64"/>
        <item x="61"/>
        <item x="55"/>
        <item x="45"/>
        <item x="46"/>
        <item x="18"/>
        <item x="63"/>
        <item x="30"/>
        <item x="36"/>
        <item x="9"/>
        <item x="10"/>
        <item x="42"/>
        <item x="43"/>
        <item x="50"/>
        <item x="22"/>
        <item x="23"/>
        <item x="24"/>
        <item x="19"/>
        <item x="20"/>
        <item x="44"/>
        <item x="11"/>
        <item x="53"/>
        <item x="52"/>
        <item x="37"/>
        <item x="38"/>
        <item x="62"/>
        <item x="59"/>
        <item x="56"/>
        <item x="51"/>
        <item x="60"/>
        <item x="1"/>
        <item x="58"/>
        <item x="3"/>
        <item x="5"/>
        <item x="7"/>
        <item x="8"/>
        <item x="4"/>
      </items>
    </pivotField>
    <pivotField dataField="1" compact="0" outline="0" subtotalTop="0" showAll="0"/>
    <pivotField compact="0" outline="0" subtotalTop="0" showAll="0"/>
    <pivotField dataField="1" compact="0" outline="0" subtotalTop="0" showAll="0"/>
    <pivotField axis="axisPage" compact="0" outline="0" showAll="0">
      <items count="4">
        <item x="0"/>
        <item x="2"/>
        <item x="1"/>
        <item t="default"/>
      </items>
    </pivotField>
  </pivotFields>
  <rowFields count="4">
    <field x="0"/>
    <field x="3"/>
    <field x="2"/>
    <field x="4"/>
  </rowFields>
  <rowItems count="1">
    <i t="grand">
      <x/>
    </i>
  </rowItems>
  <colFields count="1">
    <field x="-2"/>
  </colFields>
  <colItems count="2">
    <i>
      <x/>
    </i>
    <i i="1">
      <x v="1"/>
    </i>
  </colItems>
  <pageFields count="1">
    <pageField fld="8" item="1" hier="-1"/>
  </pageFields>
  <dataFields count="2">
    <dataField name="Sum of Qty" fld="5" baseField="0" baseItem="0"/>
    <dataField name="Sum of Nett Price" fld="7" baseField="4" baseItem="4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2.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4.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ivotTable" Target="../pivotTables/pivotTable1.xml"/><Relationship Id="rId4"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image" Target="../media/image48.emf"/><Relationship Id="rId4" Type="http://schemas.openxmlformats.org/officeDocument/2006/relationships/oleObject" Target="../embeddings/Microsoft_Word_97_-_2003_Document.doc"/></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5.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39997558519241921"/>
  </sheetPr>
  <dimension ref="B3:Q34"/>
  <sheetViews>
    <sheetView showGridLines="0" showRowColHeaders="0" zoomScaleNormal="100" workbookViewId="0">
      <pane ySplit="39" topLeftCell="A40" activePane="bottomLeft" state="frozen"/>
      <selection pane="bottomLeft" activeCell="I31" sqref="I31:J31"/>
    </sheetView>
  </sheetViews>
  <sheetFormatPr defaultColWidth="9.140625" defaultRowHeight="12.75"/>
  <cols>
    <col min="1" max="1" width="8" style="112" customWidth="1"/>
    <col min="2" max="16384" width="9.140625" style="112"/>
  </cols>
  <sheetData>
    <row r="3" spans="2:17">
      <c r="B3" s="118"/>
      <c r="C3" s="118"/>
      <c r="D3" s="118"/>
      <c r="E3" s="118"/>
      <c r="F3" s="118"/>
      <c r="G3" s="118"/>
      <c r="H3" s="118"/>
      <c r="I3" s="118"/>
      <c r="J3" s="118"/>
      <c r="K3" s="118"/>
      <c r="L3" s="118"/>
      <c r="M3" s="118"/>
      <c r="N3" s="118"/>
      <c r="O3" s="118"/>
      <c r="P3" s="118"/>
      <c r="Q3" s="118"/>
    </row>
    <row r="4" spans="2:17">
      <c r="B4" s="118"/>
      <c r="C4" s="118"/>
      <c r="D4" s="118"/>
      <c r="E4" s="118"/>
      <c r="F4" s="118"/>
      <c r="G4" s="118"/>
      <c r="H4" s="118"/>
      <c r="I4" s="118"/>
      <c r="J4" s="118"/>
      <c r="K4" s="118"/>
      <c r="L4" s="118"/>
      <c r="M4" s="118"/>
      <c r="N4" s="118"/>
      <c r="O4" s="118"/>
      <c r="P4" s="118"/>
      <c r="Q4" s="118"/>
    </row>
    <row r="5" spans="2:17" ht="26.25">
      <c r="B5" s="118"/>
      <c r="C5" s="163"/>
      <c r="D5" s="163"/>
      <c r="E5" s="163"/>
      <c r="F5" s="776" t="s">
        <v>1196</v>
      </c>
      <c r="G5" s="163"/>
      <c r="H5" s="163"/>
      <c r="I5" s="163"/>
      <c r="J5" s="163"/>
      <c r="K5" s="163"/>
      <c r="L5" s="163"/>
      <c r="M5" s="163"/>
      <c r="N5" s="163"/>
      <c r="O5" s="163"/>
      <c r="P5" s="163"/>
      <c r="Q5" s="163"/>
    </row>
    <row r="6" spans="2:17">
      <c r="B6" s="118"/>
      <c r="C6" s="118"/>
      <c r="D6" s="118"/>
      <c r="E6" s="118"/>
      <c r="F6" s="118"/>
      <c r="G6" s="118"/>
      <c r="H6" s="118"/>
      <c r="I6" s="118"/>
      <c r="J6" s="118"/>
      <c r="K6" s="118"/>
      <c r="L6" s="118"/>
      <c r="M6" s="118"/>
      <c r="N6" s="118"/>
      <c r="O6" s="118"/>
      <c r="P6" s="118"/>
      <c r="Q6" s="118"/>
    </row>
    <row r="7" spans="2:17">
      <c r="B7" s="118"/>
      <c r="C7" s="118"/>
      <c r="D7" s="118"/>
      <c r="E7" s="118"/>
      <c r="F7" s="118"/>
      <c r="G7" s="118"/>
      <c r="H7" s="118"/>
      <c r="I7" s="118"/>
      <c r="J7" s="118"/>
      <c r="K7" s="118"/>
      <c r="L7" s="118"/>
      <c r="M7" s="118"/>
      <c r="N7" s="118"/>
      <c r="O7" s="118"/>
      <c r="P7" s="118"/>
      <c r="Q7" s="118"/>
    </row>
    <row r="8" spans="2:17">
      <c r="B8" s="118"/>
      <c r="C8" s="118"/>
      <c r="D8" s="118"/>
      <c r="E8" s="118"/>
      <c r="F8" s="118"/>
      <c r="G8" s="118"/>
      <c r="H8" s="118"/>
      <c r="I8" s="118"/>
      <c r="J8" s="118"/>
      <c r="K8" s="118"/>
      <c r="L8" s="118"/>
      <c r="M8" s="118"/>
      <c r="N8" s="118"/>
      <c r="O8" s="118"/>
      <c r="P8" s="118"/>
      <c r="Q8" s="118"/>
    </row>
    <row r="9" spans="2:17">
      <c r="B9" s="118"/>
      <c r="C9" s="319"/>
      <c r="D9" s="161"/>
      <c r="E9" s="161"/>
      <c r="F9" s="162"/>
      <c r="G9" s="162"/>
      <c r="H9" s="318"/>
      <c r="I9" s="318"/>
      <c r="J9" s="318"/>
      <c r="K9" s="318"/>
      <c r="L9" s="161"/>
      <c r="M9" s="161"/>
      <c r="N9" s="161"/>
      <c r="O9" s="161"/>
      <c r="P9" s="161"/>
      <c r="Q9" s="118"/>
    </row>
    <row r="10" spans="2:17">
      <c r="B10" s="118"/>
      <c r="C10" s="118"/>
      <c r="D10" s="118"/>
      <c r="E10" s="118"/>
      <c r="F10" s="118"/>
      <c r="G10" s="118"/>
      <c r="H10" s="118"/>
      <c r="I10" s="118"/>
      <c r="J10" s="118"/>
      <c r="K10" s="118"/>
      <c r="L10" s="118"/>
      <c r="M10" s="118"/>
      <c r="N10" s="118"/>
      <c r="O10" s="118"/>
      <c r="P10" s="118"/>
      <c r="Q10" s="118"/>
    </row>
    <row r="11" spans="2:17">
      <c r="B11" s="118"/>
      <c r="C11" s="118"/>
      <c r="D11" s="118"/>
      <c r="E11" s="118"/>
      <c r="F11" s="118"/>
      <c r="G11" s="118"/>
      <c r="H11" s="118"/>
      <c r="I11" s="118"/>
      <c r="J11" s="118"/>
      <c r="K11" s="118"/>
      <c r="L11" s="118"/>
      <c r="M11" s="118"/>
      <c r="N11" s="118"/>
      <c r="O11" s="118"/>
      <c r="P11" s="118"/>
      <c r="Q11" s="118"/>
    </row>
    <row r="12" spans="2:17">
      <c r="B12" s="118"/>
      <c r="C12" s="118"/>
      <c r="D12" s="118"/>
      <c r="E12" s="118"/>
      <c r="F12" s="118"/>
      <c r="G12" s="118"/>
      <c r="H12" s="118"/>
      <c r="I12" s="118"/>
      <c r="J12" s="118"/>
      <c r="K12" s="118"/>
      <c r="L12" s="118"/>
      <c r="M12" s="118"/>
      <c r="N12" s="118"/>
      <c r="O12" s="118"/>
      <c r="P12" s="118"/>
      <c r="Q12" s="118"/>
    </row>
    <row r="13" spans="2:17">
      <c r="B13" s="118"/>
      <c r="C13" s="118"/>
      <c r="D13" s="118"/>
      <c r="E13" s="118"/>
      <c r="F13" s="118"/>
      <c r="G13" s="118"/>
      <c r="H13" s="118"/>
      <c r="I13" s="118"/>
      <c r="J13" s="118"/>
      <c r="K13" s="118"/>
      <c r="L13" s="118"/>
      <c r="M13" s="118"/>
      <c r="N13" s="118"/>
      <c r="O13" s="118"/>
      <c r="P13" s="118"/>
      <c r="Q13" s="118"/>
    </row>
    <row r="14" spans="2:17">
      <c r="B14" s="118"/>
      <c r="C14" s="118"/>
      <c r="D14" s="118"/>
      <c r="E14" s="118"/>
      <c r="F14" s="118"/>
      <c r="G14" s="118"/>
      <c r="H14" s="118"/>
      <c r="I14" s="118"/>
      <c r="J14" s="118"/>
      <c r="K14" s="118"/>
      <c r="L14" s="118"/>
      <c r="M14" s="118"/>
      <c r="N14" s="118"/>
      <c r="O14" s="118"/>
      <c r="P14" s="118"/>
      <c r="Q14" s="118"/>
    </row>
    <row r="15" spans="2:17">
      <c r="B15" s="118"/>
      <c r="C15" s="118"/>
      <c r="D15" s="118"/>
      <c r="E15" s="118"/>
      <c r="F15"/>
      <c r="G15" s="118"/>
      <c r="H15" s="118"/>
      <c r="I15" s="118"/>
      <c r="J15" s="118"/>
      <c r="K15" s="118"/>
      <c r="L15" s="118"/>
      <c r="M15" s="118"/>
      <c r="N15" s="118"/>
      <c r="O15" s="118"/>
      <c r="P15" s="118"/>
      <c r="Q15" s="118"/>
    </row>
    <row r="16" spans="2:17">
      <c r="B16" s="118"/>
      <c r="C16" s="118"/>
      <c r="D16" s="118"/>
      <c r="E16" s="118"/>
      <c r="F16" s="118"/>
      <c r="G16" s="118"/>
      <c r="H16" s="118"/>
      <c r="I16" s="118"/>
      <c r="J16" s="118"/>
      <c r="K16" s="118"/>
      <c r="L16" s="118"/>
      <c r="M16" s="118"/>
      <c r="N16" s="118"/>
      <c r="O16" s="118"/>
      <c r="P16" s="118"/>
      <c r="Q16" s="118"/>
    </row>
    <row r="17" spans="2:17">
      <c r="B17" s="118"/>
      <c r="C17" s="118"/>
      <c r="D17" s="118"/>
      <c r="E17" s="118"/>
      <c r="F17" s="118"/>
      <c r="G17" s="118"/>
      <c r="H17" s="118"/>
      <c r="I17" s="118"/>
      <c r="J17" s="118"/>
      <c r="K17" s="118"/>
      <c r="L17" s="118"/>
      <c r="M17" s="118"/>
      <c r="N17" s="118"/>
      <c r="O17" s="118"/>
      <c r="P17" s="118"/>
      <c r="Q17" s="118"/>
    </row>
    <row r="18" spans="2:17">
      <c r="B18" s="118"/>
      <c r="C18" s="118"/>
      <c r="D18" s="118"/>
      <c r="E18" s="118"/>
      <c r="F18" s="118"/>
      <c r="G18" s="118"/>
      <c r="H18" s="118"/>
      <c r="I18" s="118"/>
      <c r="J18" s="118"/>
      <c r="K18" s="118"/>
      <c r="L18" s="118"/>
      <c r="M18" s="118"/>
      <c r="N18" s="118"/>
      <c r="O18" s="118"/>
      <c r="P18" s="118"/>
      <c r="Q18" s="118"/>
    </row>
    <row r="19" spans="2:17">
      <c r="B19" s="118"/>
      <c r="C19" s="118"/>
      <c r="D19" s="118"/>
      <c r="E19" s="118"/>
      <c r="F19" s="118"/>
      <c r="G19" s="118"/>
      <c r="H19" s="118"/>
      <c r="I19" s="118"/>
      <c r="J19" s="118"/>
      <c r="K19" s="118"/>
      <c r="L19" s="118"/>
      <c r="M19" s="118"/>
      <c r="N19" s="118"/>
      <c r="O19" s="118"/>
      <c r="P19" s="118"/>
      <c r="Q19" s="118"/>
    </row>
    <row r="20" spans="2:17">
      <c r="B20" s="118"/>
      <c r="C20" s="118"/>
      <c r="D20" s="118"/>
      <c r="E20" s="118"/>
      <c r="F20" s="118"/>
      <c r="G20" s="118"/>
      <c r="H20" s="118"/>
      <c r="I20" s="118"/>
      <c r="J20" s="118"/>
      <c r="K20" s="118"/>
      <c r="L20" s="118"/>
      <c r="M20" s="118"/>
      <c r="N20" s="118"/>
      <c r="O20" s="118"/>
      <c r="P20" s="118"/>
      <c r="Q20" s="118"/>
    </row>
    <row r="21" spans="2:17">
      <c r="B21" s="118"/>
      <c r="C21" s="118"/>
      <c r="D21" s="118"/>
      <c r="E21" s="118"/>
      <c r="F21" s="118"/>
      <c r="G21" s="118"/>
      <c r="H21" s="118"/>
      <c r="I21" s="118"/>
      <c r="J21" s="118"/>
      <c r="K21" s="118"/>
      <c r="L21" s="118"/>
      <c r="M21" s="118"/>
      <c r="N21" s="118"/>
      <c r="O21" s="118"/>
      <c r="P21" s="118"/>
      <c r="Q21" s="118"/>
    </row>
    <row r="22" spans="2:17">
      <c r="B22" s="118"/>
      <c r="C22" s="118"/>
      <c r="D22" s="118"/>
      <c r="E22" s="118"/>
      <c r="F22" s="118"/>
      <c r="G22" s="118"/>
      <c r="H22" s="118"/>
      <c r="I22" s="118"/>
      <c r="J22" s="118"/>
      <c r="K22" s="118"/>
      <c r="L22" s="118"/>
      <c r="M22" s="118"/>
      <c r="N22" s="118"/>
      <c r="O22" s="118"/>
      <c r="P22" s="118"/>
      <c r="Q22" s="118"/>
    </row>
    <row r="23" spans="2:17">
      <c r="B23" s="118"/>
      <c r="C23" s="118"/>
      <c r="D23" s="118"/>
      <c r="E23" s="118"/>
      <c r="F23" s="118"/>
      <c r="G23" s="118"/>
      <c r="H23" s="118"/>
      <c r="I23" s="118"/>
      <c r="J23" s="118"/>
      <c r="K23" s="118"/>
      <c r="L23" s="118"/>
      <c r="M23" s="118"/>
      <c r="N23" s="118"/>
      <c r="O23" s="118"/>
      <c r="P23" s="118"/>
      <c r="Q23" s="118"/>
    </row>
    <row r="24" spans="2:17">
      <c r="B24" s="118"/>
      <c r="C24" s="118"/>
      <c r="D24" s="118"/>
      <c r="E24" s="118"/>
      <c r="F24" s="118"/>
      <c r="G24" s="118"/>
      <c r="H24" s="118"/>
      <c r="I24" s="118"/>
      <c r="J24" s="118"/>
      <c r="K24" s="118"/>
      <c r="L24" s="118"/>
      <c r="M24" s="118"/>
      <c r="N24" s="118"/>
      <c r="O24" s="118"/>
      <c r="P24" s="118"/>
      <c r="Q24" s="118"/>
    </row>
    <row r="25" spans="2:17">
      <c r="B25" s="118"/>
      <c r="C25" s="118"/>
      <c r="D25" s="118"/>
      <c r="E25" s="118"/>
      <c r="F25" s="118"/>
      <c r="G25" s="118"/>
      <c r="H25" s="118"/>
      <c r="I25" s="118"/>
      <c r="J25" s="118"/>
      <c r="K25" s="118"/>
      <c r="L25" s="118"/>
      <c r="M25" s="118"/>
      <c r="N25" s="118"/>
      <c r="O25" s="118"/>
      <c r="P25" s="118"/>
      <c r="Q25" s="118"/>
    </row>
    <row r="26" spans="2:17">
      <c r="B26" s="118"/>
      <c r="C26" s="118"/>
      <c r="D26" s="118"/>
      <c r="E26" s="118"/>
      <c r="F26" s="118"/>
      <c r="G26" s="118"/>
      <c r="H26" s="118"/>
      <c r="I26" s="118"/>
      <c r="J26" s="118"/>
      <c r="K26" s="118"/>
      <c r="L26" s="118"/>
      <c r="M26" s="118"/>
      <c r="N26" s="118"/>
      <c r="O26" s="118"/>
      <c r="P26" s="118"/>
      <c r="Q26" s="118"/>
    </row>
    <row r="27" spans="2:17">
      <c r="B27" s="118"/>
      <c r="C27" s="118"/>
      <c r="D27" s="118"/>
      <c r="E27" s="118"/>
      <c r="F27" s="118"/>
      <c r="G27" s="118"/>
      <c r="H27" s="118"/>
      <c r="I27" s="118"/>
      <c r="J27" s="118"/>
      <c r="K27" s="118"/>
      <c r="L27" s="118"/>
      <c r="M27" s="118"/>
      <c r="N27" s="118"/>
      <c r="O27" s="118"/>
      <c r="P27" s="118"/>
      <c r="Q27" s="118"/>
    </row>
    <row r="28" spans="2:17">
      <c r="B28" s="118"/>
      <c r="C28" s="118"/>
      <c r="D28" s="118"/>
      <c r="E28" s="118"/>
      <c r="F28" s="118"/>
      <c r="G28" s="118"/>
      <c r="H28" s="118"/>
      <c r="I28" s="118"/>
      <c r="J28" s="118"/>
      <c r="K28" s="118"/>
      <c r="L28" s="118"/>
      <c r="M28" s="118"/>
      <c r="N28" s="118"/>
      <c r="O28" s="118"/>
      <c r="P28" s="118"/>
      <c r="Q28" s="118"/>
    </row>
    <row r="29" spans="2:17">
      <c r="B29" s="118"/>
      <c r="C29" s="118"/>
      <c r="D29" s="118"/>
      <c r="E29" s="1529" t="s">
        <v>1226</v>
      </c>
      <c r="F29" s="1529"/>
      <c r="G29" s="1529"/>
      <c r="H29" s="1529"/>
      <c r="I29" s="1529"/>
      <c r="J29" s="1529"/>
      <c r="K29" s="1529"/>
      <c r="L29" s="118"/>
      <c r="M29" s="118"/>
      <c r="N29" s="118"/>
      <c r="O29" s="118"/>
      <c r="P29" s="118"/>
      <c r="Q29" s="118"/>
    </row>
    <row r="30" spans="2:17" ht="13.5" thickBot="1">
      <c r="B30" s="118"/>
      <c r="C30" s="118"/>
      <c r="D30" s="118"/>
      <c r="E30" s="118"/>
      <c r="F30" s="118"/>
      <c r="G30" s="118"/>
      <c r="H30" s="118"/>
      <c r="I30" s="118"/>
      <c r="J30" s="118"/>
      <c r="K30" s="118"/>
      <c r="L30" s="118"/>
      <c r="M30" s="118"/>
      <c r="N30" s="118"/>
      <c r="O30" s="118"/>
      <c r="P30" s="118"/>
      <c r="Q30" s="118"/>
    </row>
    <row r="31" spans="2:17" ht="13.5" thickBot="1">
      <c r="B31" s="118"/>
      <c r="C31" s="118"/>
      <c r="D31" s="118"/>
      <c r="E31" s="118"/>
      <c r="F31" s="183" t="s">
        <v>1224</v>
      </c>
      <c r="G31" s="118"/>
      <c r="H31" s="118"/>
      <c r="I31" s="1530" t="s">
        <v>1225</v>
      </c>
      <c r="J31" s="1531"/>
      <c r="K31" s="118"/>
      <c r="L31" s="118"/>
      <c r="M31" s="118"/>
      <c r="N31" s="118"/>
      <c r="O31" s="118"/>
      <c r="P31" s="118"/>
      <c r="Q31" s="118"/>
    </row>
    <row r="32" spans="2:17">
      <c r="B32" s="118"/>
      <c r="C32" s="118"/>
      <c r="D32" s="118"/>
      <c r="E32" s="118"/>
      <c r="F32" s="118"/>
      <c r="G32" s="118"/>
      <c r="H32" s="118"/>
      <c r="I32" s="118"/>
      <c r="J32" s="118"/>
      <c r="K32" s="118"/>
      <c r="L32" s="118"/>
      <c r="M32" s="118"/>
      <c r="N32" s="118"/>
      <c r="O32" s="118"/>
      <c r="P32" s="118"/>
      <c r="Q32" s="118"/>
    </row>
    <row r="33" spans="2:17">
      <c r="B33" s="118"/>
      <c r="C33" s="118"/>
      <c r="D33" s="118"/>
      <c r="E33" s="118"/>
      <c r="F33" s="118"/>
      <c r="G33" s="118"/>
      <c r="H33" s="118"/>
      <c r="I33" s="118"/>
      <c r="J33" s="118"/>
      <c r="K33" s="118"/>
      <c r="L33" s="118"/>
      <c r="M33" s="118"/>
      <c r="N33" s="118"/>
      <c r="O33" s="118"/>
      <c r="P33" s="118"/>
      <c r="Q33" s="118"/>
    </row>
    <row r="34" spans="2:17">
      <c r="B34" s="118"/>
      <c r="C34" s="118"/>
      <c r="D34" s="118"/>
      <c r="E34" s="118"/>
      <c r="F34" s="118"/>
      <c r="G34" s="118"/>
      <c r="H34" s="118"/>
      <c r="I34" s="118"/>
      <c r="J34" s="118"/>
      <c r="K34" s="118"/>
      <c r="L34" s="118"/>
      <c r="M34" s="118"/>
      <c r="N34" s="118"/>
      <c r="O34" s="118"/>
      <c r="P34" s="118"/>
      <c r="Q34" s="118"/>
    </row>
  </sheetData>
  <sheetProtection algorithmName="SHA-512" hashValue="TPuc5pdo3x5VUQNGri///MdKHf/FOCgF6Hk7Du74gc/jgsbymOcFh/hFI1OkNO78vBzVDsmfrg0SaNznfXl+Bw==" saltValue="1srTewxPekWOSmUnsnRMfA==" spinCount="100000" sheet="1" objects="1" scenarios="1" selectLockedCells="1"/>
  <mergeCells count="2">
    <mergeCell ref="E29:K29"/>
    <mergeCell ref="I31:J31"/>
  </mergeCells>
  <conditionalFormatting sqref="I31:J31">
    <cfRule type="cellIs" dxfId="20" priority="2" operator="equal">
      <formula>"WH100813.01"</formula>
    </cfRule>
  </conditionalFormatting>
  <conditionalFormatting sqref="E29:K29">
    <cfRule type="cellIs" dxfId="19" priority="1" operator="equal">
      <formula>"3M Microbiology | WH100813.01 | CIJ - Continuous Ink Jet"</formula>
    </cfRule>
  </conditionalFormatting>
  <pageMargins left="0.7" right="0.7" top="0.75" bottom="0.75" header="0.3" footer="0.3"/>
  <pageSetup paperSize="9" scale="4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5" tint="-0.249977111117893"/>
  </sheetPr>
  <dimension ref="B2:AF324"/>
  <sheetViews>
    <sheetView showGridLines="0" showRowColHeaders="0" zoomScaleNormal="100" zoomScaleSheetLayoutView="130" workbookViewId="0">
      <selection activeCell="D10" sqref="D10"/>
    </sheetView>
  </sheetViews>
  <sheetFormatPr defaultColWidth="9.140625" defaultRowHeight="12.75"/>
  <cols>
    <col min="1" max="1" width="9.140625" style="112" customWidth="1"/>
    <col min="2" max="2" width="9.140625" style="112"/>
    <col min="3" max="3" width="19" style="113" customWidth="1"/>
    <col min="4" max="4" width="14.5703125" style="113" customWidth="1"/>
    <col min="5" max="5" width="51.5703125" style="112" bestFit="1" customWidth="1"/>
    <col min="6" max="6" width="21.140625" style="116" bestFit="1" customWidth="1"/>
    <col min="7" max="7" width="9.140625" style="112" customWidth="1"/>
    <col min="8" max="8" width="3.85546875" style="112" customWidth="1"/>
    <col min="9" max="10" width="9.140625" style="912" customWidth="1"/>
    <col min="11" max="11" width="12.5703125" style="519" hidden="1" customWidth="1"/>
    <col min="12" max="12" width="12.7109375" style="519" hidden="1" customWidth="1"/>
    <col min="13" max="13" width="7.85546875" style="519" hidden="1" customWidth="1"/>
    <col min="14" max="14" width="11.140625" style="519" hidden="1" customWidth="1"/>
    <col min="15" max="15" width="22.5703125" style="519" hidden="1" customWidth="1"/>
    <col min="16" max="16" width="11.28515625" style="519" hidden="1" customWidth="1"/>
    <col min="17" max="17" width="9.28515625" style="519" hidden="1" customWidth="1"/>
    <col min="18" max="18" width="11.85546875" style="519" hidden="1" customWidth="1"/>
    <col min="19" max="19" width="8.7109375" style="519" hidden="1" customWidth="1"/>
    <col min="20" max="30" width="9.140625" style="519" hidden="1" customWidth="1"/>
    <col min="31" max="31" width="9.140625" style="201" customWidth="1"/>
    <col min="32" max="32" width="9.140625" style="201"/>
    <col min="33" max="16384" width="9.140625" style="112"/>
  </cols>
  <sheetData>
    <row r="2" spans="2:8">
      <c r="E2" s="519"/>
    </row>
    <row r="3" spans="2:8">
      <c r="B3"/>
      <c r="C3"/>
      <c r="D3"/>
      <c r="E3"/>
      <c r="F3"/>
      <c r="G3"/>
      <c r="H3"/>
    </row>
    <row r="4" spans="2:8">
      <c r="B4"/>
      <c r="C4" s="1"/>
      <c r="D4" s="1"/>
      <c r="E4"/>
      <c r="F4" s="2"/>
      <c r="G4"/>
      <c r="H4" s="118"/>
    </row>
    <row r="5" spans="2:8" ht="18">
      <c r="B5"/>
      <c r="C5" s="1552" t="s">
        <v>1384</v>
      </c>
      <c r="D5" s="1552"/>
      <c r="E5" s="1552"/>
      <c r="F5" s="1552"/>
      <c r="G5"/>
      <c r="H5" s="118"/>
    </row>
    <row r="6" spans="2:8">
      <c r="B6"/>
      <c r="C6" s="1553"/>
      <c r="D6" s="1553"/>
      <c r="E6" s="1553"/>
      <c r="F6" s="1553"/>
      <c r="G6"/>
      <c r="H6" s="118"/>
    </row>
    <row r="7" spans="2:8">
      <c r="B7"/>
      <c r="C7" s="889"/>
      <c r="D7" s="889"/>
      <c r="E7" s="889"/>
      <c r="F7" s="889"/>
      <c r="G7"/>
      <c r="H7" s="118"/>
    </row>
    <row r="8" spans="2:8" ht="16.5" thickBot="1">
      <c r="B8"/>
      <c r="C8" s="1126" t="s">
        <v>1051</v>
      </c>
      <c r="D8" s="225"/>
      <c r="E8" s="225"/>
      <c r="F8" s="225"/>
      <c r="G8"/>
      <c r="H8" s="118"/>
    </row>
    <row r="9" spans="2:8" ht="8.25" customHeight="1">
      <c r="B9"/>
      <c r="C9"/>
      <c r="D9"/>
      <c r="E9"/>
      <c r="F9"/>
      <c r="G9"/>
      <c r="H9" s="118"/>
    </row>
    <row r="10" spans="2:8" ht="25.5">
      <c r="B10"/>
      <c r="C10" s="353" t="s">
        <v>103</v>
      </c>
      <c r="D10" s="360">
        <v>8900</v>
      </c>
      <c r="E10"/>
      <c r="F10"/>
      <c r="G10"/>
      <c r="H10" s="118"/>
    </row>
    <row r="11" spans="2:8" ht="9" customHeight="1">
      <c r="B11"/>
      <c r="C11"/>
      <c r="D11"/>
      <c r="E11"/>
      <c r="F11"/>
      <c r="G11"/>
      <c r="H11" s="118"/>
    </row>
    <row r="12" spans="2:8">
      <c r="B12"/>
      <c r="C12" s="354" t="s">
        <v>8</v>
      </c>
      <c r="D12" s="1558"/>
      <c r="E12" s="1559"/>
      <c r="F12"/>
      <c r="G12"/>
      <c r="H12" s="118"/>
    </row>
    <row r="13" spans="2:8">
      <c r="B13"/>
      <c r="C13" s="355" t="s">
        <v>127</v>
      </c>
      <c r="D13" s="1554"/>
      <c r="E13" s="1555"/>
      <c r="F13"/>
      <c r="G13"/>
      <c r="H13" s="118"/>
    </row>
    <row r="14" spans="2:8">
      <c r="B14"/>
      <c r="C14" s="354" t="s">
        <v>80</v>
      </c>
      <c r="D14" s="1546"/>
      <c r="E14" s="1547"/>
      <c r="F14"/>
      <c r="G14"/>
      <c r="H14" s="118"/>
    </row>
    <row r="15" spans="2:8">
      <c r="B15"/>
      <c r="C15" s="354" t="s">
        <v>145</v>
      </c>
      <c r="D15" s="1546"/>
      <c r="E15" s="1547"/>
      <c r="F15"/>
      <c r="G15"/>
      <c r="H15" s="118"/>
    </row>
    <row r="16" spans="2:8">
      <c r="B16"/>
      <c r="C16" s="355" t="s">
        <v>128</v>
      </c>
      <c r="D16" s="1558"/>
      <c r="E16" s="1547"/>
      <c r="F16"/>
      <c r="G16"/>
      <c r="H16" s="118"/>
    </row>
    <row r="17" spans="2:24">
      <c r="B17"/>
      <c r="C17" s="355" t="s">
        <v>126</v>
      </c>
      <c r="D17" s="1546"/>
      <c r="E17" s="1547"/>
      <c r="F17"/>
      <c r="G17"/>
      <c r="H17" s="118"/>
      <c r="K17" s="519" t="s">
        <v>1127</v>
      </c>
      <c r="L17" s="1307" t="s">
        <v>1239</v>
      </c>
    </row>
    <row r="18" spans="2:24">
      <c r="B18"/>
      <c r="C18" s="354" t="s">
        <v>125</v>
      </c>
      <c r="D18" s="1546"/>
      <c r="E18" s="1547"/>
      <c r="F18"/>
      <c r="G18"/>
      <c r="H18" s="118"/>
      <c r="K18" s="519" t="s">
        <v>1128</v>
      </c>
      <c r="L18" s="1307" t="s">
        <v>1238</v>
      </c>
    </row>
    <row r="19" spans="2:24">
      <c r="B19"/>
      <c r="C19" s="354" t="s">
        <v>136</v>
      </c>
      <c r="D19" s="1546"/>
      <c r="E19" s="1547"/>
      <c r="F19"/>
      <c r="G19"/>
      <c r="H19" s="118"/>
    </row>
    <row r="20" spans="2:24">
      <c r="B20"/>
      <c r="C20" s="354" t="s">
        <v>297</v>
      </c>
      <c r="D20" s="1546"/>
      <c r="E20" s="1547"/>
      <c r="F20"/>
      <c r="G20"/>
      <c r="H20" s="118"/>
    </row>
    <row r="21" spans="2:24">
      <c r="B21"/>
      <c r="C21" s="354" t="s">
        <v>1200</v>
      </c>
      <c r="D21" s="1548"/>
      <c r="E21" s="1549"/>
      <c r="F21"/>
      <c r="G21"/>
      <c r="H21" s="118"/>
    </row>
    <row r="22" spans="2:24">
      <c r="B22"/>
      <c r="C22" s="354" t="s">
        <v>1279</v>
      </c>
      <c r="D22" s="1544"/>
      <c r="E22" s="1560"/>
      <c r="F22"/>
      <c r="G22"/>
      <c r="H22" s="118"/>
      <c r="U22" s="519">
        <v>7.4999999999999997E-2</v>
      </c>
    </row>
    <row r="23" spans="2:24" hidden="1">
      <c r="B23"/>
      <c r="C23" s="354" t="s">
        <v>1240</v>
      </c>
      <c r="D23" s="1558"/>
      <c r="E23" s="1547"/>
      <c r="F23"/>
      <c r="G23"/>
      <c r="H23" s="118"/>
    </row>
    <row r="24" spans="2:24" hidden="1">
      <c r="B24"/>
      <c r="C24" s="354" t="s">
        <v>1143</v>
      </c>
      <c r="D24" s="1544"/>
      <c r="E24" s="1545"/>
      <c r="F24"/>
      <c r="G24"/>
      <c r="H24" s="118"/>
    </row>
    <row r="25" spans="2:24" hidden="1">
      <c r="B25"/>
      <c r="C25" s="354" t="s">
        <v>1142</v>
      </c>
      <c r="D25" s="1544"/>
      <c r="E25" s="1560"/>
      <c r="F25" s="228"/>
      <c r="G25"/>
      <c r="H25" s="118"/>
    </row>
    <row r="26" spans="2:24">
      <c r="B26"/>
      <c r="C26"/>
      <c r="D26"/>
      <c r="E26"/>
      <c r="F26" s="228"/>
      <c r="G26"/>
      <c r="H26" s="118"/>
    </row>
    <row r="27" spans="2:24">
      <c r="B27"/>
      <c r="C27"/>
      <c r="D27" s="1125" t="s">
        <v>1235</v>
      </c>
      <c r="E27"/>
      <c r="F27" s="228"/>
      <c r="G27"/>
      <c r="H27" s="118"/>
    </row>
    <row r="28" spans="2:24">
      <c r="B28"/>
      <c r="C28" s="355" t="s">
        <v>1236</v>
      </c>
      <c r="D28" s="1092"/>
      <c r="E28" s="1093" t="str">
        <f>IF(Salesman=0,"", Salesman)</f>
        <v/>
      </c>
      <c r="F28" s="228"/>
      <c r="G28"/>
      <c r="H28" s="118"/>
    </row>
    <row r="29" spans="2:24">
      <c r="B29"/>
      <c r="C29" s="355" t="s">
        <v>1237</v>
      </c>
      <c r="D29" s="1092" t="str">
        <f>IF(D28="","", 1-D28)</f>
        <v/>
      </c>
      <c r="E29" s="1093"/>
      <c r="F29" s="228"/>
      <c r="G29"/>
      <c r="H29" s="118"/>
    </row>
    <row r="30" spans="2:24">
      <c r="B30"/>
      <c r="C30" s="228"/>
      <c r="D30" s="228"/>
      <c r="E30" s="228"/>
      <c r="F30" s="228"/>
      <c r="G30"/>
      <c r="H30" s="118"/>
    </row>
    <row r="31" spans="2:24" ht="4.5" customHeight="1">
      <c r="B31"/>
      <c r="C31" s="228"/>
      <c r="D31" s="228"/>
      <c r="E31" s="228"/>
      <c r="F31" s="228"/>
      <c r="G31"/>
      <c r="H31" s="118"/>
    </row>
    <row r="32" spans="2:24">
      <c r="B32"/>
      <c r="C32" s="228"/>
      <c r="D32" s="228"/>
      <c r="E32" s="228"/>
      <c r="F32" s="228"/>
      <c r="G32"/>
      <c r="H32" s="118"/>
      <c r="K32" s="519" t="s">
        <v>1008</v>
      </c>
      <c r="L32" s="519" t="s">
        <v>312</v>
      </c>
      <c r="M32" s="519" t="s">
        <v>104</v>
      </c>
      <c r="N32" s="519" t="s">
        <v>73</v>
      </c>
      <c r="O32" s="519" t="s">
        <v>313</v>
      </c>
      <c r="P32" s="519" t="s">
        <v>118</v>
      </c>
      <c r="Q32" s="519" t="s">
        <v>297</v>
      </c>
      <c r="R32" s="519" t="s">
        <v>314</v>
      </c>
      <c r="S32" s="519" t="s">
        <v>769</v>
      </c>
      <c r="T32" s="519" t="s">
        <v>1038</v>
      </c>
      <c r="U32" s="519" t="s">
        <v>1037</v>
      </c>
      <c r="W32" s="519" t="s">
        <v>1071</v>
      </c>
      <c r="X32" s="519" t="s">
        <v>1337</v>
      </c>
    </row>
    <row r="33" spans="2:24" ht="16.5" thickBot="1">
      <c r="B33"/>
      <c r="C33" s="1126" t="s">
        <v>81</v>
      </c>
      <c r="D33" s="225"/>
      <c r="E33" s="225"/>
      <c r="F33" s="225"/>
      <c r="G33"/>
      <c r="H33" s="118"/>
    </row>
    <row r="34" spans="2:24" ht="8.25" customHeight="1">
      <c r="B34"/>
      <c r="C34" s="184"/>
      <c r="D34" s="184"/>
      <c r="E34" s="184"/>
      <c r="F34" s="184"/>
      <c r="G34"/>
      <c r="H34" s="118"/>
      <c r="K34" s="519" t="s">
        <v>556</v>
      </c>
      <c r="L34" s="519">
        <f>'CJ400'!H126</f>
        <v>0</v>
      </c>
      <c r="M34" s="519">
        <f>SUM('CJ400'!F17,'CJ400'!F28,'CJ400'!F29)*570</f>
        <v>0</v>
      </c>
      <c r="N34" s="519" t="e">
        <f>'CJ400'!D161</f>
        <v>#DIV/0!</v>
      </c>
      <c r="O34" s="519" t="str">
        <f>'CJ400'!C163</f>
        <v/>
      </c>
      <c r="P34" s="519">
        <f>'CJ400'!H160</f>
        <v>0</v>
      </c>
      <c r="Q34" s="519" t="str">
        <f>'CJ400'!D8</f>
        <v>No</v>
      </c>
      <c r="R34" s="519" t="str">
        <f>'CJ400'!D163</f>
        <v/>
      </c>
      <c r="S34" s="519">
        <f>'CJ400'!G113</f>
        <v>0</v>
      </c>
      <c r="T34" s="519">
        <f t="shared" ref="T34:T37" si="0">P34-M34-S34</f>
        <v>0</v>
      </c>
      <c r="U34" s="519">
        <f t="shared" ref="U34:U37" si="1">T34*$U$22</f>
        <v>0</v>
      </c>
      <c r="V34" s="519">
        <f>T34-U34</f>
        <v>0</v>
      </c>
    </row>
    <row r="35" spans="2:24">
      <c r="B35"/>
      <c r="C35" s="1557" t="s">
        <v>83</v>
      </c>
      <c r="D35" s="1557"/>
      <c r="E35" s="139"/>
      <c r="F35" s="184"/>
      <c r="G35"/>
      <c r="H35" s="118"/>
      <c r="K35" s="518">
        <v>5900</v>
      </c>
      <c r="L35" s="519">
        <f>'5900'!I148</f>
        <v>150</v>
      </c>
      <c r="M35" s="519">
        <f>'5900'!I111</f>
        <v>0</v>
      </c>
      <c r="N35" s="519" t="e">
        <f>'5900'!E149</f>
        <v>#DIV/0!</v>
      </c>
      <c r="O35" s="519" t="str">
        <f>'5900'!D172</f>
        <v/>
      </c>
      <c r="P35" s="519">
        <f>'5900'!I170</f>
        <v>0</v>
      </c>
      <c r="Q35" s="519" t="str">
        <f>'5900'!D8</f>
        <v>No</v>
      </c>
      <c r="R35" s="519" t="str">
        <f>'5900'!E172</f>
        <v/>
      </c>
      <c r="S35" s="519" t="str">
        <f>'5900'!H106</f>
        <v/>
      </c>
      <c r="T35" s="519" t="e">
        <f t="shared" si="0"/>
        <v>#VALUE!</v>
      </c>
      <c r="U35" s="519" t="e">
        <f t="shared" si="1"/>
        <v>#VALUE!</v>
      </c>
      <c r="V35" s="519" t="e">
        <f>T35-U35</f>
        <v>#VALUE!</v>
      </c>
      <c r="W35" s="519" t="str">
        <f>'5900'!I101</f>
        <v>ERROR</v>
      </c>
    </row>
    <row r="36" spans="2:24">
      <c r="B36"/>
      <c r="C36" s="356" t="str">
        <f>IF(E35="No", "Has an appliation form been sent?","")</f>
        <v/>
      </c>
      <c r="D36" s="357"/>
      <c r="E36" s="139"/>
      <c r="F36" s="184"/>
      <c r="G36"/>
      <c r="H36" s="118"/>
      <c r="K36" s="518">
        <v>7900</v>
      </c>
      <c r="L36" s="519">
        <f>'7900'!I147</f>
        <v>0</v>
      </c>
      <c r="M36" s="519">
        <f>'7900'!I110</f>
        <v>0</v>
      </c>
      <c r="N36" s="519" t="str">
        <f>'7900'!E168</f>
        <v/>
      </c>
      <c r="O36" s="519" t="str">
        <f>'7900'!D170</f>
        <v/>
      </c>
      <c r="P36" s="519">
        <f>'7900'!I168</f>
        <v>0</v>
      </c>
      <c r="Q36" s="519" t="str">
        <f>'7900'!E8</f>
        <v>No</v>
      </c>
      <c r="R36" s="519" t="str">
        <f>'7900'!E170</f>
        <v/>
      </c>
      <c r="S36" s="519">
        <f>'7900'!H100</f>
        <v>0</v>
      </c>
      <c r="T36" s="519">
        <f t="shared" si="0"/>
        <v>0</v>
      </c>
      <c r="U36" s="519">
        <f t="shared" si="1"/>
        <v>0</v>
      </c>
      <c r="V36" s="519">
        <f t="shared" ref="V36:V37" si="2">T36-U36</f>
        <v>0</v>
      </c>
      <c r="W36" s="519">
        <f>'7900'!I97</f>
        <v>0</v>
      </c>
      <c r="X36" s="519" t="str">
        <f>'7900'!H219</f>
        <v xml:space="preserve"> &amp;</v>
      </c>
    </row>
    <row r="37" spans="2:24">
      <c r="B37"/>
      <c r="C37" s="184"/>
      <c r="D37" s="184"/>
      <c r="E37" s="184"/>
      <c r="F37" s="184"/>
      <c r="G37"/>
      <c r="H37" s="118"/>
      <c r="K37" s="518">
        <v>8900</v>
      </c>
      <c r="L37" s="519">
        <f>'8900'!I193</f>
        <v>43859</v>
      </c>
      <c r="M37" s="519">
        <f>'8900'!I137</f>
        <v>0</v>
      </c>
      <c r="N37" s="519">
        <f>'8900'!E215</f>
        <v>-0.3</v>
      </c>
      <c r="O37" s="519" t="str">
        <f>'8900'!D217</f>
        <v>No qualification</v>
      </c>
      <c r="P37" s="519">
        <f>'8900'!I215</f>
        <v>33526</v>
      </c>
      <c r="R37" s="519" t="str">
        <f>'8900'!E217</f>
        <v/>
      </c>
      <c r="S37" s="519">
        <f>'8900'!H131</f>
        <v>540</v>
      </c>
      <c r="T37" s="519">
        <f t="shared" si="0"/>
        <v>32986</v>
      </c>
      <c r="U37" s="519">
        <f t="shared" si="1"/>
        <v>2473.9499999999998</v>
      </c>
      <c r="V37" s="519">
        <f t="shared" si="2"/>
        <v>30512.05</v>
      </c>
      <c r="X37" s="519" t="str">
        <f>'8900'!H285</f>
        <v xml:space="preserve"> &amp;3 x 02030016 &amp;</v>
      </c>
    </row>
    <row r="38" spans="2:24">
      <c r="B38"/>
      <c r="C38" s="1556" t="s">
        <v>129</v>
      </c>
      <c r="D38" s="1556"/>
      <c r="E38" s="154"/>
      <c r="F38" s="184"/>
      <c r="G38"/>
      <c r="H38" s="118"/>
      <c r="K38" s="519" t="s">
        <v>1069</v>
      </c>
      <c r="L38" s="519">
        <f>SUM(L35:L36)</f>
        <v>150</v>
      </c>
      <c r="M38" s="519">
        <f>SUM(M35:M36)</f>
        <v>0</v>
      </c>
      <c r="N38" s="519" t="e">
        <f>N35&amp; " &amp; "&amp;N36</f>
        <v>#DIV/0!</v>
      </c>
      <c r="O38" s="519" t="str">
        <f>O35&amp;" &amp; "&amp;O36</f>
        <v xml:space="preserve"> &amp; </v>
      </c>
      <c r="P38" s="519">
        <f>SUM(P35:P36)</f>
        <v>0</v>
      </c>
      <c r="Q38" s="519" t="str">
        <f>Q35&amp;" &amp; "&amp;Q36</f>
        <v>No &amp; No</v>
      </c>
      <c r="R38" s="519" t="e">
        <f>R35+R36</f>
        <v>#VALUE!</v>
      </c>
      <c r="S38" s="519">
        <f>SUM(S35:S36)</f>
        <v>0</v>
      </c>
      <c r="T38" s="519">
        <f>P38-M38-S38</f>
        <v>0</v>
      </c>
      <c r="U38" s="519">
        <f>T38*$U$22</f>
        <v>0</v>
      </c>
      <c r="V38" s="519">
        <f>T38-U38</f>
        <v>0</v>
      </c>
      <c r="W38" s="519" t="str">
        <f>W35&amp;" &amp; "&amp;W36</f>
        <v>ERROR &amp; 0</v>
      </c>
    </row>
    <row r="39" spans="2:24">
      <c r="B39"/>
      <c r="C39" s="1556" t="s">
        <v>84</v>
      </c>
      <c r="D39" s="1556"/>
      <c r="E39" s="186"/>
      <c r="F39" s="184"/>
      <c r="G39"/>
      <c r="H39" s="118"/>
      <c r="K39" s="519" t="s">
        <v>1070</v>
      </c>
      <c r="L39" s="519">
        <f>SUM(L34:L35)</f>
        <v>150</v>
      </c>
      <c r="M39" s="519">
        <f>SUM(M34:M35)</f>
        <v>0</v>
      </c>
      <c r="N39" s="519" t="e">
        <f>N34&amp;" &amp; "&amp;N35</f>
        <v>#DIV/0!</v>
      </c>
      <c r="O39" s="519" t="str">
        <f>O34&amp;" &amp; "&amp;O35</f>
        <v xml:space="preserve"> &amp; </v>
      </c>
      <c r="P39" s="519">
        <f>SUM(P34:P35)</f>
        <v>0</v>
      </c>
      <c r="Q39" s="519" t="str">
        <f>Q34&amp;" &amp; "&amp;Q35</f>
        <v>No &amp; No</v>
      </c>
      <c r="R39" s="519">
        <f>SUM(R34:R35)</f>
        <v>0</v>
      </c>
      <c r="S39" s="519">
        <f>SUM(S34:S35)</f>
        <v>0</v>
      </c>
      <c r="T39" s="519">
        <f>P39-M39-S39</f>
        <v>0</v>
      </c>
      <c r="U39" s="519">
        <f>T39*$U$22</f>
        <v>0</v>
      </c>
      <c r="V39" s="519">
        <f>T39-U39</f>
        <v>0</v>
      </c>
      <c r="W39" s="519" t="str">
        <f>W34&amp;" &amp; "&amp;W35</f>
        <v xml:space="preserve"> &amp; ERROR</v>
      </c>
    </row>
    <row r="40" spans="2:24">
      <c r="B40"/>
      <c r="C40" s="184"/>
      <c r="D40" s="358" t="s">
        <v>48</v>
      </c>
      <c r="E40" s="186"/>
      <c r="F40" s="184"/>
      <c r="G40"/>
      <c r="H40" s="118"/>
      <c r="K40" s="519" t="s">
        <v>557</v>
      </c>
      <c r="L40" s="519">
        <f>SUM(L34,L36)</f>
        <v>0</v>
      </c>
      <c r="M40" s="519">
        <f>SUM(M34,M36)</f>
        <v>0</v>
      </c>
      <c r="N40" s="519" t="e">
        <f>N34&amp;" &amp; "&amp;N36</f>
        <v>#DIV/0!</v>
      </c>
      <c r="O40" s="519" t="str">
        <f>O34&amp;" &amp; "&amp;O36</f>
        <v xml:space="preserve"> &amp; </v>
      </c>
      <c r="P40" s="519">
        <f>SUM(P34,P36)</f>
        <v>0</v>
      </c>
      <c r="Q40" s="519" t="str">
        <f>Q34&amp;" &amp; "&amp;Q36</f>
        <v>No &amp; No</v>
      </c>
      <c r="R40" s="519">
        <f>SUM(R34,R36)</f>
        <v>0</v>
      </c>
      <c r="S40" s="519">
        <f>SUM(S34,S36)</f>
        <v>0</v>
      </c>
      <c r="T40" s="519">
        <f>P40-M40-S40</f>
        <v>0</v>
      </c>
      <c r="U40" s="519">
        <f>T40*$U$22</f>
        <v>0</v>
      </c>
      <c r="V40" s="519">
        <f>T40-U40</f>
        <v>0</v>
      </c>
      <c r="W40" s="519" t="str">
        <f>W34&amp;" &amp; "&amp;W36</f>
        <v xml:space="preserve"> &amp; 0</v>
      </c>
    </row>
    <row r="41" spans="2:24">
      <c r="B41"/>
      <c r="C41" s="184"/>
      <c r="D41" s="358" t="s">
        <v>85</v>
      </c>
      <c r="E41" s="186"/>
      <c r="F41" s="184"/>
      <c r="G41"/>
      <c r="H41" s="118"/>
    </row>
    <row r="42" spans="2:24">
      <c r="B42"/>
      <c r="C42" s="184"/>
      <c r="D42" s="358" t="s">
        <v>86</v>
      </c>
      <c r="E42" s="186"/>
      <c r="F42" s="184"/>
      <c r="G42"/>
      <c r="H42" s="118"/>
    </row>
    <row r="43" spans="2:24">
      <c r="B43"/>
      <c r="C43" s="184"/>
      <c r="D43" s="358" t="s">
        <v>130</v>
      </c>
      <c r="E43" s="186"/>
      <c r="F43"/>
      <c r="G43"/>
      <c r="H43" s="118"/>
    </row>
    <row r="44" spans="2:24">
      <c r="B44"/>
      <c r="C44"/>
      <c r="D44"/>
      <c r="E44"/>
      <c r="F44" s="228"/>
      <c r="G44"/>
      <c r="H44" s="118"/>
    </row>
    <row r="45" spans="2:24">
      <c r="B45"/>
      <c r="C45"/>
      <c r="D45"/>
      <c r="E45"/>
      <c r="F45" s="228"/>
      <c r="G45"/>
      <c r="H45" s="118"/>
    </row>
    <row r="46" spans="2:24" ht="16.5" thickBot="1">
      <c r="B46"/>
      <c r="C46" s="1126" t="s">
        <v>1281</v>
      </c>
      <c r="D46" s="225"/>
      <c r="E46" s="225"/>
      <c r="F46" s="225"/>
      <c r="G46"/>
      <c r="H46" s="118"/>
    </row>
    <row r="47" spans="2:24" ht="8.25" customHeight="1">
      <c r="B47"/>
      <c r="C47"/>
      <c r="D47"/>
      <c r="E47"/>
      <c r="F47" s="228"/>
      <c r="G47"/>
      <c r="H47" s="118"/>
    </row>
    <row r="48" spans="2:24">
      <c r="B48"/>
      <c r="C48" s="354" t="s">
        <v>1282</v>
      </c>
      <c r="D48" s="1546"/>
      <c r="E48" s="1547"/>
      <c r="F48" s="228"/>
      <c r="G48"/>
      <c r="H48" s="118"/>
    </row>
    <row r="49" spans="2:8">
      <c r="B49"/>
      <c r="C49" s="354" t="s">
        <v>1283</v>
      </c>
      <c r="D49" s="1546"/>
      <c r="E49" s="1547"/>
      <c r="F49" s="228"/>
      <c r="G49"/>
      <c r="H49" s="118"/>
    </row>
    <row r="50" spans="2:8">
      <c r="B50"/>
      <c r="C50" s="354" t="s">
        <v>1285</v>
      </c>
      <c r="D50" s="1546"/>
      <c r="E50" s="1547"/>
      <c r="F50" s="228"/>
      <c r="G50"/>
      <c r="H50" s="118"/>
    </row>
    <row r="51" spans="2:8">
      <c r="B51"/>
      <c r="C51" s="354" t="s">
        <v>1284</v>
      </c>
      <c r="D51" s="1550"/>
      <c r="E51" s="1551"/>
      <c r="F51" s="228"/>
      <c r="G51"/>
      <c r="H51" s="118"/>
    </row>
    <row r="52" spans="2:8">
      <c r="B52"/>
      <c r="C52" s="354" t="s">
        <v>1286</v>
      </c>
      <c r="D52" s="1546"/>
      <c r="E52" s="1547"/>
      <c r="F52" s="228"/>
      <c r="G52"/>
      <c r="H52" s="118"/>
    </row>
    <row r="53" spans="2:8">
      <c r="B53"/>
      <c r="C53"/>
      <c r="D53"/>
      <c r="E53"/>
      <c r="F53" s="228"/>
      <c r="G53"/>
      <c r="H53" s="118"/>
    </row>
    <row r="54" spans="2:8">
      <c r="B54"/>
      <c r="C54"/>
      <c r="D54"/>
      <c r="E54"/>
      <c r="F54" s="228"/>
      <c r="G54"/>
      <c r="H54" s="118"/>
    </row>
    <row r="55" spans="2:8">
      <c r="B55"/>
      <c r="C55"/>
      <c r="D55"/>
      <c r="E55"/>
      <c r="F55" s="228"/>
      <c r="G55"/>
      <c r="H55" s="118"/>
    </row>
    <row r="56" spans="2:8">
      <c r="B56"/>
      <c r="C56"/>
      <c r="D56"/>
      <c r="E56"/>
      <c r="F56" s="228"/>
      <c r="G56"/>
      <c r="H56" s="118"/>
    </row>
    <row r="57" spans="2:8" ht="16.5" thickBot="1">
      <c r="B57"/>
      <c r="C57" s="1126" t="s">
        <v>121</v>
      </c>
      <c r="D57" s="225"/>
      <c r="E57" s="225"/>
      <c r="F57" s="225"/>
      <c r="G57"/>
      <c r="H57" s="118"/>
    </row>
    <row r="58" spans="2:8" ht="8.25" customHeight="1">
      <c r="B58"/>
      <c r="C58" s="184"/>
      <c r="D58" s="184"/>
      <c r="E58" s="184"/>
      <c r="F58" s="184"/>
      <c r="G58"/>
      <c r="H58" s="118"/>
    </row>
    <row r="59" spans="2:8" ht="16.5" customHeight="1">
      <c r="B59"/>
      <c r="C59" s="1542" t="s">
        <v>1023</v>
      </c>
      <c r="D59" s="1543"/>
      <c r="E59" s="1306"/>
      <c r="F59" s="184"/>
      <c r="G59"/>
      <c r="H59" s="118"/>
    </row>
    <row r="60" spans="2:8" ht="16.5" customHeight="1">
      <c r="B60"/>
      <c r="C60" s="1542" t="s">
        <v>1024</v>
      </c>
      <c r="D60" s="1543"/>
      <c r="E60" s="1306"/>
      <c r="F60" s="184"/>
      <c r="G60"/>
      <c r="H60" s="118"/>
    </row>
    <row r="61" spans="2:8" ht="4.5" customHeight="1">
      <c r="B61"/>
      <c r="C61" s="184"/>
      <c r="D61" s="244">
        <f>IF(E62="",0,1)</f>
        <v>1</v>
      </c>
      <c r="E61" s="184"/>
      <c r="F61"/>
      <c r="G61"/>
      <c r="H61" s="118"/>
    </row>
    <row r="62" spans="2:8" ht="14.25">
      <c r="B62"/>
      <c r="C62"/>
      <c r="D62"/>
      <c r="E62" s="359" t="str">
        <f>IF(E59+E60&lt;=0, "NO Consumable FORECAST PROVIDED, PLEASE COMPLETE!", "")</f>
        <v>NO Consumable FORECAST PROVIDED, PLEASE COMPLETE!</v>
      </c>
      <c r="F62" s="184"/>
      <c r="G62"/>
      <c r="H62" s="118"/>
    </row>
    <row r="63" spans="2:8" hidden="1">
      <c r="B63"/>
      <c r="C63" s="184"/>
      <c r="D63" s="184"/>
      <c r="E63" s="184"/>
      <c r="F63" s="184"/>
      <c r="G63"/>
      <c r="H63" s="118"/>
    </row>
    <row r="64" spans="2:8" ht="13.5" hidden="1" thickBot="1">
      <c r="B64"/>
      <c r="C64" s="184"/>
      <c r="D64" s="184"/>
      <c r="E64" s="184"/>
      <c r="F64" s="225"/>
      <c r="G64"/>
      <c r="H64" s="118"/>
    </row>
    <row r="65" spans="2:8" ht="4.5" hidden="1" customHeight="1">
      <c r="B65"/>
      <c r="C65" s="224" t="s">
        <v>122</v>
      </c>
      <c r="D65" s="225"/>
      <c r="E65" s="225"/>
      <c r="F65" s="184"/>
      <c r="G65"/>
      <c r="H65" s="118"/>
    </row>
    <row r="66" spans="2:8" hidden="1">
      <c r="B66"/>
      <c r="C66" s="184"/>
      <c r="D66" s="184"/>
      <c r="E66" s="184"/>
      <c r="F66" s="184"/>
      <c r="G66"/>
      <c r="H66" s="118"/>
    </row>
    <row r="67" spans="2:8" ht="7.5" hidden="1" customHeight="1">
      <c r="B67"/>
      <c r="C67" s="226" t="s">
        <v>123</v>
      </c>
      <c r="D67" s="139"/>
      <c r="E67" s="184"/>
      <c r="F67" s="184"/>
      <c r="G67"/>
      <c r="H67" s="118"/>
    </row>
    <row r="68" spans="2:8" hidden="1">
      <c r="B68"/>
      <c r="C68" s="184"/>
      <c r="D68" s="184"/>
      <c r="E68" s="184"/>
      <c r="F68" s="184"/>
      <c r="G68"/>
      <c r="H68" s="118"/>
    </row>
    <row r="69" spans="2:8" hidden="1">
      <c r="B69"/>
      <c r="C69" s="227" t="s">
        <v>131</v>
      </c>
      <c r="D69" s="139"/>
      <c r="E69" s="184"/>
      <c r="F69" s="184"/>
      <c r="G69"/>
      <c r="H69" s="118"/>
    </row>
    <row r="70" spans="2:8" hidden="1">
      <c r="B70"/>
      <c r="C70" s="227" t="s">
        <v>132</v>
      </c>
      <c r="D70" s="139"/>
      <c r="E70" s="184"/>
      <c r="F70" s="184"/>
      <c r="G70"/>
      <c r="H70" s="118"/>
    </row>
    <row r="71" spans="2:8" ht="7.5" hidden="1" customHeight="1">
      <c r="B71"/>
      <c r="C71" s="227" t="s">
        <v>133</v>
      </c>
      <c r="D71" s="186"/>
      <c r="E71" s="184"/>
      <c r="F71" s="185"/>
      <c r="G71"/>
      <c r="H71" s="118"/>
    </row>
    <row r="72" spans="2:8" hidden="1">
      <c r="B72"/>
      <c r="C72" s="184"/>
      <c r="D72" s="184"/>
      <c r="E72" s="184"/>
      <c r="F72" s="185"/>
      <c r="G72"/>
      <c r="H72" s="118"/>
    </row>
    <row r="73" spans="2:8" hidden="1">
      <c r="B73"/>
      <c r="C73" s="226" t="s">
        <v>82</v>
      </c>
      <c r="D73" s="139"/>
      <c r="E73" s="184"/>
      <c r="F73" s="185"/>
      <c r="G73"/>
      <c r="H73" s="118"/>
    </row>
    <row r="74" spans="2:8" hidden="1">
      <c r="B74"/>
      <c r="C74" s="226" t="s">
        <v>134</v>
      </c>
      <c r="D74" s="186"/>
      <c r="E74" s="184"/>
      <c r="F74" s="184"/>
      <c r="G74"/>
      <c r="H74" s="118"/>
    </row>
    <row r="75" spans="2:8">
      <c r="B75"/>
      <c r="C75" s="184"/>
      <c r="D75" s="184"/>
      <c r="E75" s="184"/>
      <c r="F75" s="184"/>
      <c r="G75"/>
      <c r="H75" s="118"/>
    </row>
    <row r="76" spans="2:8" ht="19.5" customHeight="1">
      <c r="B76"/>
      <c r="C76" s="354" t="s">
        <v>124</v>
      </c>
      <c r="D76" s="1090"/>
      <c r="E76" s="1090"/>
      <c r="F76" s="1091"/>
      <c r="G76"/>
      <c r="H76" s="118"/>
    </row>
    <row r="77" spans="2:8">
      <c r="B77"/>
      <c r="C77" s="1533"/>
      <c r="D77" s="1534"/>
      <c r="E77" s="1534"/>
      <c r="F77" s="1535"/>
      <c r="G77"/>
      <c r="H77" s="118"/>
    </row>
    <row r="78" spans="2:8">
      <c r="B78"/>
      <c r="C78" s="1536"/>
      <c r="D78" s="1537"/>
      <c r="E78" s="1537"/>
      <c r="F78" s="1538"/>
      <c r="G78"/>
      <c r="H78" s="118"/>
    </row>
    <row r="79" spans="2:8">
      <c r="B79"/>
      <c r="C79" s="1536"/>
      <c r="D79" s="1537"/>
      <c r="E79" s="1537"/>
      <c r="F79" s="1538"/>
      <c r="G79"/>
      <c r="H79" s="118"/>
    </row>
    <row r="80" spans="2:8">
      <c r="B80"/>
      <c r="C80" s="1536"/>
      <c r="D80" s="1537"/>
      <c r="E80" s="1537"/>
      <c r="F80" s="1538"/>
      <c r="G80"/>
      <c r="H80" s="118"/>
    </row>
    <row r="81" spans="2:8">
      <c r="B81"/>
      <c r="C81" s="1536"/>
      <c r="D81" s="1537"/>
      <c r="E81" s="1537"/>
      <c r="F81" s="1538"/>
      <c r="G81"/>
      <c r="H81" s="118"/>
    </row>
    <row r="82" spans="2:8">
      <c r="B82"/>
      <c r="C82" s="1536"/>
      <c r="D82" s="1537"/>
      <c r="E82" s="1537"/>
      <c r="F82" s="1538"/>
      <c r="G82"/>
      <c r="H82" s="118"/>
    </row>
    <row r="83" spans="2:8">
      <c r="B83"/>
      <c r="C83" s="1536"/>
      <c r="D83" s="1537"/>
      <c r="E83" s="1537"/>
      <c r="F83" s="1538"/>
      <c r="G83"/>
      <c r="H83" s="118"/>
    </row>
    <row r="84" spans="2:8">
      <c r="B84"/>
      <c r="C84" s="1536"/>
      <c r="D84" s="1537"/>
      <c r="E84" s="1537"/>
      <c r="F84" s="1538"/>
      <c r="G84"/>
      <c r="H84" s="118"/>
    </row>
    <row r="85" spans="2:8">
      <c r="B85"/>
      <c r="C85" s="1536"/>
      <c r="D85" s="1537"/>
      <c r="E85" s="1537"/>
      <c r="F85" s="1538"/>
      <c r="G85"/>
      <c r="H85" s="118"/>
    </row>
    <row r="86" spans="2:8">
      <c r="B86"/>
      <c r="C86" s="1536"/>
      <c r="D86" s="1537"/>
      <c r="E86" s="1537"/>
      <c r="F86" s="1538"/>
      <c r="G86"/>
      <c r="H86" s="118"/>
    </row>
    <row r="87" spans="2:8">
      <c r="B87"/>
      <c r="C87" s="1536"/>
      <c r="D87" s="1537"/>
      <c r="E87" s="1537"/>
      <c r="F87" s="1538"/>
      <c r="G87"/>
      <c r="H87" s="118"/>
    </row>
    <row r="88" spans="2:8">
      <c r="B88"/>
      <c r="C88" s="1536"/>
      <c r="D88" s="1537"/>
      <c r="E88" s="1537"/>
      <c r="F88" s="1538"/>
      <c r="G88"/>
      <c r="H88" s="118"/>
    </row>
    <row r="89" spans="2:8">
      <c r="B89"/>
      <c r="C89" s="1536"/>
      <c r="D89" s="1537"/>
      <c r="E89" s="1537"/>
      <c r="F89" s="1538"/>
      <c r="G89"/>
      <c r="H89" s="118"/>
    </row>
    <row r="90" spans="2:8">
      <c r="B90"/>
      <c r="C90" s="1536"/>
      <c r="D90" s="1537"/>
      <c r="E90" s="1537"/>
      <c r="F90" s="1538"/>
      <c r="G90"/>
      <c r="H90" s="118"/>
    </row>
    <row r="91" spans="2:8">
      <c r="B91"/>
      <c r="C91" s="1536"/>
      <c r="D91" s="1537"/>
      <c r="E91" s="1537"/>
      <c r="F91" s="1538"/>
      <c r="G91"/>
      <c r="H91" s="118"/>
    </row>
    <row r="92" spans="2:8">
      <c r="B92"/>
      <c r="C92" s="1539"/>
      <c r="D92" s="1540"/>
      <c r="E92" s="1540"/>
      <c r="F92" s="1541"/>
      <c r="G92"/>
      <c r="H92" s="118"/>
    </row>
    <row r="93" spans="2:8">
      <c r="B93"/>
      <c r="C93" s="184"/>
      <c r="D93" s="184"/>
      <c r="E93" s="184"/>
      <c r="F93" s="184"/>
      <c r="G93"/>
      <c r="H93" s="118"/>
    </row>
    <row r="94" spans="2:8">
      <c r="B94"/>
      <c r="C94" s="184"/>
      <c r="D94" s="184"/>
      <c r="E94" s="184"/>
      <c r="F94" s="228"/>
      <c r="G94"/>
      <c r="H94" s="118"/>
    </row>
    <row r="95" spans="2:8">
      <c r="B95"/>
      <c r="C95" s="184"/>
      <c r="D95" s="184"/>
      <c r="E95" s="184"/>
      <c r="F95" s="228"/>
      <c r="G95"/>
      <c r="H95" s="118"/>
    </row>
    <row r="96" spans="2:8" ht="15.75">
      <c r="B96"/>
      <c r="C96" s="1299" t="s">
        <v>1395</v>
      </c>
      <c r="D96" s="1300"/>
      <c r="E96" s="1300"/>
      <c r="F96" s="1300"/>
      <c r="G96"/>
      <c r="H96" s="118"/>
    </row>
    <row r="97" spans="2:8" ht="8.25" customHeight="1">
      <c r="B97"/>
      <c r="C97"/>
      <c r="D97"/>
      <c r="E97"/>
      <c r="F97" s="184"/>
      <c r="G97"/>
      <c r="H97" s="118"/>
    </row>
    <row r="98" spans="2:8">
      <c r="B98"/>
      <c r="C98" s="361" t="s">
        <v>305</v>
      </c>
      <c r="D98" s="882">
        <f>VLOOKUP(D10,K34:Q40,2,FALSE)</f>
        <v>43859</v>
      </c>
      <c r="E98"/>
      <c r="F98" s="894"/>
      <c r="G98"/>
      <c r="H98" s="118"/>
    </row>
    <row r="99" spans="2:8">
      <c r="B99"/>
      <c r="C99" s="361" t="s">
        <v>120</v>
      </c>
      <c r="D99" s="871">
        <f>VLOOKUP(D10,K34:P40,6,FALSE)</f>
        <v>33526</v>
      </c>
      <c r="E99"/>
      <c r="F99"/>
      <c r="G99"/>
      <c r="H99" s="118"/>
    </row>
    <row r="100" spans="2:8" hidden="1">
      <c r="B100"/>
      <c r="C100" s="361" t="s">
        <v>306</v>
      </c>
      <c r="D100" s="883">
        <f>VLOOKUP(D10,K34:Q40,4,FALSE)</f>
        <v>-0.3</v>
      </c>
      <c r="E100"/>
      <c r="F100"/>
      <c r="G100"/>
      <c r="H100" s="118"/>
    </row>
    <row r="101" spans="2:8" hidden="1">
      <c r="B101"/>
      <c r="C101" s="361" t="s">
        <v>307</v>
      </c>
      <c r="D101" s="884" t="str">
        <f>VLOOKUP(D10,K34:Q40,5,FALSE)</f>
        <v>No qualification</v>
      </c>
      <c r="E101"/>
      <c r="F101"/>
      <c r="G101"/>
      <c r="H101" s="118"/>
    </row>
    <row r="102" spans="2:8" hidden="1">
      <c r="B102"/>
      <c r="C102" s="361" t="s">
        <v>308</v>
      </c>
      <c r="D102" s="884">
        <f>VLOOKUP(D10,K34:Q40,7,FALSE)</f>
        <v>0</v>
      </c>
      <c r="E102"/>
      <c r="F102"/>
      <c r="G102"/>
      <c r="H102" s="118"/>
    </row>
    <row r="103" spans="2:8" hidden="1">
      <c r="B103"/>
      <c r="C103" s="361" t="s">
        <v>309</v>
      </c>
      <c r="D103" s="885" t="str">
        <f>VLOOKUP(D10,K34:R40,8,FALSE)</f>
        <v/>
      </c>
      <c r="E103"/>
      <c r="F103"/>
      <c r="G103"/>
      <c r="H103" s="118"/>
    </row>
    <row r="104" spans="2:8">
      <c r="B104"/>
      <c r="C104" s="361" t="s">
        <v>311</v>
      </c>
      <c r="D104" s="1347">
        <f>NETWORKDAYS(D12,D16)</f>
        <v>0</v>
      </c>
      <c r="E104"/>
      <c r="F104"/>
      <c r="G104"/>
      <c r="H104" s="118"/>
    </row>
    <row r="105" spans="2:8">
      <c r="B105"/>
      <c r="C105" s="361" t="s">
        <v>135</v>
      </c>
      <c r="D105" s="1347">
        <f>D22</f>
        <v>0</v>
      </c>
      <c r="E105"/>
      <c r="F105"/>
      <c r="G105"/>
      <c r="H105" s="118"/>
    </row>
    <row r="106" spans="2:8">
      <c r="B106"/>
      <c r="C106" s="1276"/>
      <c r="D106" s="1276"/>
      <c r="E106"/>
      <c r="F106"/>
      <c r="G106"/>
      <c r="H106" s="118"/>
    </row>
    <row r="107" spans="2:8">
      <c r="B107"/>
      <c r="C107"/>
      <c r="D107"/>
      <c r="E107"/>
      <c r="F107"/>
      <c r="G107"/>
      <c r="H107" s="118"/>
    </row>
    <row r="108" spans="2:8">
      <c r="B108"/>
      <c r="C108"/>
      <c r="D108"/>
      <c r="E108"/>
      <c r="F108"/>
      <c r="G108"/>
      <c r="H108" s="118"/>
    </row>
    <row r="109" spans="2:8" ht="15">
      <c r="B109"/>
      <c r="C109" s="1346" t="s">
        <v>1429</v>
      </c>
      <c r="D109"/>
      <c r="E109" s="1277"/>
      <c r="F109"/>
      <c r="G109"/>
      <c r="H109" s="118"/>
    </row>
    <row r="110" spans="2:8" ht="5.25" customHeight="1">
      <c r="B110"/>
      <c r="C110" s="1276"/>
      <c r="D110"/>
      <c r="E110" s="1277"/>
      <c r="F110"/>
      <c r="G110"/>
      <c r="H110" s="118"/>
    </row>
    <row r="111" spans="2:8">
      <c r="B111"/>
      <c r="C111" s="1325" t="s">
        <v>1428</v>
      </c>
      <c r="D111" s="1326" t="s">
        <v>1430</v>
      </c>
      <c r="E111" s="1326" t="s">
        <v>1</v>
      </c>
      <c r="F111" s="1326" t="s">
        <v>1427</v>
      </c>
      <c r="G111"/>
      <c r="H111" s="118"/>
    </row>
    <row r="112" spans="2:8">
      <c r="B112"/>
      <c r="C112" s="1348" t="s">
        <v>1449</v>
      </c>
      <c r="D112" s="1319" t="s">
        <v>568</v>
      </c>
      <c r="E112" s="1352" t="str">
        <f>IF(D143=" &amp;","",D143)</f>
        <v/>
      </c>
      <c r="F112" s="1353">
        <f>'7900'!E185</f>
        <v>0</v>
      </c>
      <c r="G112"/>
      <c r="H112" s="118"/>
    </row>
    <row r="113" spans="2:8">
      <c r="B113"/>
      <c r="C113"/>
      <c r="D113"/>
      <c r="E113"/>
      <c r="F113"/>
      <c r="G113"/>
      <c r="H113" s="118"/>
    </row>
    <row r="114" spans="2:8">
      <c r="B114"/>
      <c r="C114" s="1320">
        <v>8900</v>
      </c>
      <c r="D114" s="1321" t="s">
        <v>1328</v>
      </c>
      <c r="E114" s="1352">
        <f>SUMIF('8900'!$E$313:$E$336,Cover!D114,'8900'!$F$313:$F$336)</f>
        <v>0</v>
      </c>
      <c r="F114" s="1353">
        <f>IFERROR(SUMIF('8900'!$E$313:$E$336,Cover!D114,'8900'!$I$313:$I$336),0)</f>
        <v>0</v>
      </c>
      <c r="G114"/>
      <c r="H114" s="118"/>
    </row>
    <row r="115" spans="2:8">
      <c r="B115"/>
      <c r="C115" s="1320">
        <v>8910</v>
      </c>
      <c r="D115" s="1321" t="s">
        <v>1330</v>
      </c>
      <c r="E115" s="1352">
        <f>SUMIF('8900'!$E$313:$E$336,Cover!D115,'8900'!$F$313:$F$336)</f>
        <v>3</v>
      </c>
      <c r="F115" s="1353">
        <f>IFERROR(SUMIF('8900'!$E$313:$E$336,Cover!D115,'8900'!$I$313:$I$336),0)</f>
        <v>30471.557499999999</v>
      </c>
      <c r="G115"/>
      <c r="H115" s="118"/>
    </row>
    <row r="116" spans="2:8">
      <c r="B116"/>
      <c r="C116" s="1320">
        <v>8920</v>
      </c>
      <c r="D116" s="1321" t="s">
        <v>1332</v>
      </c>
      <c r="E116" s="1352">
        <f>SUMIF('8900'!$E$313:$E$336,Cover!D116,'8900'!$F$313:$F$336)</f>
        <v>0</v>
      </c>
      <c r="F116" s="1353">
        <f>IFERROR(SUMIF('8900'!$E$313:$E$336,Cover!D116,'8900'!$I$313:$I$336),0)</f>
        <v>0</v>
      </c>
      <c r="G116"/>
      <c r="H116" s="118"/>
    </row>
    <row r="117" spans="2:8">
      <c r="B117"/>
      <c r="C117" s="1320">
        <v>8940</v>
      </c>
      <c r="D117" s="1321" t="s">
        <v>1348</v>
      </c>
      <c r="E117" s="1352">
        <f>SUMIF('8900'!$E$313:$E$336,Cover!D117,'8900'!$F$313:$F$336)</f>
        <v>0</v>
      </c>
      <c r="F117" s="1353">
        <f>IFERROR(SUMIF('8900'!$E$313:$E$336,Cover!D117,'8900'!$I$313:$I$336),0)</f>
        <v>0</v>
      </c>
      <c r="G117"/>
      <c r="H117" s="118"/>
    </row>
    <row r="118" spans="2:8">
      <c r="B118"/>
      <c r="C118" s="1322" t="s">
        <v>1394</v>
      </c>
      <c r="D118" s="1324" t="s">
        <v>1460</v>
      </c>
      <c r="E118" s="1352">
        <f>SUMIF('8900'!$E$313:$E$336,Cover!D118,'8900'!$F$313:$F$336)</f>
        <v>0</v>
      </c>
      <c r="F118" s="1353">
        <f>IFERROR(SUMIF('8900'!$E$313:$E$336,Cover!D118,'8900'!$I$313:$I$336),0)</f>
        <v>0</v>
      </c>
      <c r="G118"/>
      <c r="H118" s="118"/>
    </row>
    <row r="119" spans="2:8">
      <c r="B119"/>
      <c r="C119" s="1322">
        <v>7900</v>
      </c>
      <c r="D119" s="1324" t="s">
        <v>568</v>
      </c>
      <c r="E119" s="1352">
        <f>'7900'!G17</f>
        <v>0</v>
      </c>
      <c r="F119" s="1523"/>
      <c r="G119"/>
      <c r="H119" s="118"/>
    </row>
    <row r="120" spans="2:8">
      <c r="B120"/>
      <c r="C120" s="1322" t="s">
        <v>316</v>
      </c>
      <c r="D120" s="1324" t="s">
        <v>568</v>
      </c>
      <c r="E120" s="1352">
        <f>'7900'!G22</f>
        <v>0</v>
      </c>
      <c r="F120" s="1523"/>
      <c r="G120"/>
      <c r="H120" s="118"/>
    </row>
    <row r="121" spans="2:8">
      <c r="B121"/>
      <c r="C121" s="1322" t="s">
        <v>1426</v>
      </c>
      <c r="D121" s="1324" t="s">
        <v>568</v>
      </c>
      <c r="E121" s="1352">
        <f>'7900'!G27</f>
        <v>0</v>
      </c>
      <c r="F121" s="1523"/>
      <c r="G121"/>
      <c r="H121" s="118"/>
    </row>
    <row r="122" spans="2:8">
      <c r="B122"/>
      <c r="C122" s="1323"/>
      <c r="D122" s="1323"/>
      <c r="E122" s="1323"/>
      <c r="F122" s="1323"/>
      <c r="G122"/>
      <c r="H122" s="118"/>
    </row>
    <row r="123" spans="2:8" hidden="1">
      <c r="B123"/>
      <c r="C123" s="1276"/>
      <c r="D123" s="1296"/>
      <c r="E123"/>
      <c r="F123"/>
      <c r="G123"/>
      <c r="H123" s="118"/>
    </row>
    <row r="124" spans="2:8">
      <c r="B124"/>
      <c r="C124" s="1276"/>
      <c r="D124" s="1296"/>
      <c r="E124"/>
      <c r="F124"/>
      <c r="G124"/>
      <c r="H124" s="118"/>
    </row>
    <row r="125" spans="2:8" ht="15">
      <c r="B125"/>
      <c r="C125" s="1346" t="s">
        <v>44</v>
      </c>
      <c r="D125" s="1278"/>
      <c r="E125" s="1281"/>
      <c r="F125"/>
      <c r="G125"/>
      <c r="H125" s="118"/>
    </row>
    <row r="126" spans="2:8">
      <c r="B126"/>
      <c r="C126" s="1276"/>
      <c r="D126" s="1326" t="s">
        <v>1448</v>
      </c>
      <c r="E126" s="1326" t="s">
        <v>1287</v>
      </c>
      <c r="F126" s="1326" t="s">
        <v>1427</v>
      </c>
      <c r="G126"/>
      <c r="H126" s="118"/>
    </row>
    <row r="127" spans="2:8">
      <c r="B127"/>
      <c r="C127" s="1276"/>
      <c r="D127" s="1279" t="s">
        <v>310</v>
      </c>
      <c r="E127" s="1280">
        <v>99990132</v>
      </c>
      <c r="F127" s="1353">
        <f>SUM('7900'!I97,'7900'!I98,'7900'!I102)+SUMIF('8900'!$C$240:$C$251,Cover!D127,'8900'!$E$240:$E$251)</f>
        <v>0</v>
      </c>
      <c r="G127"/>
      <c r="H127" s="118"/>
    </row>
    <row r="128" spans="2:8">
      <c r="B128"/>
      <c r="C128" s="1276"/>
      <c r="D128" s="1279" t="s">
        <v>769</v>
      </c>
      <c r="E128" s="1280">
        <v>99990151</v>
      </c>
      <c r="F128" s="1353">
        <f>SUM('7900'!H100)+SUMIF('8900'!$C$240:$C$251,Cover!D128,'8900'!$E$240:$E$251)</f>
        <v>540</v>
      </c>
      <c r="G128"/>
      <c r="H128" s="118"/>
    </row>
    <row r="129" spans="2:8">
      <c r="B129"/>
      <c r="C129" s="1276"/>
      <c r="D129" s="1279" t="s">
        <v>1431</v>
      </c>
      <c r="E129" s="1280">
        <v>99990167</v>
      </c>
      <c r="F129" s="1353">
        <f>SUM('7900'!I104,'7900'!I105)+SUMIF('8900'!$C$240:$C$251,Cover!D129,'8900'!$E$240:$E$251)</f>
        <v>0</v>
      </c>
      <c r="G129"/>
      <c r="H129" s="118"/>
    </row>
    <row r="130" spans="2:8">
      <c r="B130"/>
      <c r="C130" s="1276"/>
      <c r="D130" s="1279" t="s">
        <v>1432</v>
      </c>
      <c r="E130" s="1280">
        <v>12080015</v>
      </c>
      <c r="F130" s="1353">
        <f>IF(D10=8900, SUMIF('8900'!$C$240:$C$251,Cover!D130,'8900'!$E$240:$E$251), IF(D10=7900, VLOOKUP(D10,K33:X40,11,FALSE), "ERROR"))</f>
        <v>2514.4425000000001</v>
      </c>
      <c r="G130"/>
      <c r="H130" s="118"/>
    </row>
    <row r="131" spans="2:8">
      <c r="B131"/>
      <c r="C131" s="1276"/>
      <c r="D131" s="1279" t="s">
        <v>1355</v>
      </c>
      <c r="E131" s="1280">
        <v>99990166</v>
      </c>
      <c r="F131" s="1353">
        <f>'7900'!I107+SUMIF('8900'!C240:C251,Cover!D131,'8900'!$E$240:$E$251)</f>
        <v>0</v>
      </c>
      <c r="G131"/>
      <c r="H131" s="118"/>
    </row>
    <row r="132" spans="2:8">
      <c r="B132"/>
      <c r="C132" s="1276"/>
      <c r="D132" s="1279" t="s">
        <v>1443</v>
      </c>
      <c r="E132" s="1280">
        <v>10030001</v>
      </c>
      <c r="F132" s="1353">
        <f>SUMIF('8900'!C240:C251,Cover!D132,'8900'!$E$240:$E$251)</f>
        <v>0</v>
      </c>
      <c r="G132"/>
      <c r="H132" s="118"/>
    </row>
    <row r="133" spans="2:8">
      <c r="B133"/>
      <c r="C133" s="1276"/>
      <c r="D133" s="1279" t="s">
        <v>1440</v>
      </c>
      <c r="E133" s="1280">
        <v>99030001</v>
      </c>
      <c r="F133" s="1353">
        <f>SUMIF('8900'!C240:C251,Cover!D133,'8900'!$E$240:$E$251)</f>
        <v>0</v>
      </c>
      <c r="G133"/>
      <c r="H133" s="118"/>
    </row>
    <row r="134" spans="2:8">
      <c r="B134"/>
      <c r="C134" s="1276"/>
      <c r="D134" s="1279" t="s">
        <v>1441</v>
      </c>
      <c r="E134" s="1280">
        <v>12080017</v>
      </c>
      <c r="F134" s="1353">
        <f>SUMIF('8900'!C240:C251,Cover!D134,'8900'!$E$240:$E$251)</f>
        <v>0</v>
      </c>
      <c r="G134"/>
      <c r="H134" s="118"/>
    </row>
    <row r="135" spans="2:8">
      <c r="B135"/>
      <c r="C135" s="1276"/>
      <c r="D135" s="1279" t="s">
        <v>1442</v>
      </c>
      <c r="E135" s="1280">
        <v>12080009</v>
      </c>
      <c r="F135" s="1353">
        <f>SUMIF('8900'!C240:C251,Cover!D135,'8900'!$E$240:$E$251)</f>
        <v>0</v>
      </c>
      <c r="G135"/>
      <c r="H135" s="118"/>
    </row>
    <row r="136" spans="2:8">
      <c r="B136"/>
      <c r="C136" s="1276"/>
      <c r="D136" s="1279"/>
      <c r="E136" s="1281"/>
      <c r="F136" s="1281"/>
      <c r="G136"/>
      <c r="H136" s="118"/>
    </row>
    <row r="137" spans="2:8" ht="13.5" thickBot="1">
      <c r="B137"/>
      <c r="C137" s="1276"/>
      <c r="D137" s="1278"/>
      <c r="E137" s="1367" t="s">
        <v>1447</v>
      </c>
      <c r="F137" s="1354">
        <f>SUM(F127:F135,F112:F121)</f>
        <v>33526</v>
      </c>
      <c r="G137"/>
      <c r="H137" s="118"/>
    </row>
    <row r="138" spans="2:8" ht="9" customHeight="1">
      <c r="B138"/>
      <c r="C138" s="1276"/>
      <c r="D138" s="1278"/>
      <c r="E138" s="1355"/>
      <c r="F138" s="1356"/>
      <c r="G138"/>
      <c r="H138" s="118"/>
    </row>
    <row r="139" spans="2:8">
      <c r="B139"/>
      <c r="C139" s="1276"/>
      <c r="D139" s="1278"/>
      <c r="E139" s="1368" t="s">
        <v>1451</v>
      </c>
      <c r="F139" s="1345">
        <f>D99-F137</f>
        <v>0</v>
      </c>
      <c r="G139"/>
      <c r="H139" s="118"/>
    </row>
    <row r="140" spans="2:8">
      <c r="B140"/>
      <c r="C140" s="1276"/>
      <c r="D140" s="1278"/>
      <c r="E140" s="1281"/>
      <c r="F140"/>
      <c r="G140"/>
      <c r="H140" s="118"/>
    </row>
    <row r="141" spans="2:8">
      <c r="B141"/>
      <c r="C141" s="1276"/>
      <c r="D141" s="1276"/>
      <c r="E141"/>
      <c r="F141"/>
      <c r="G141"/>
      <c r="H141" s="118"/>
    </row>
    <row r="142" spans="2:8" hidden="1">
      <c r="B142"/>
      <c r="C142"/>
      <c r="D142"/>
      <c r="E142"/>
      <c r="F142"/>
      <c r="G142"/>
      <c r="H142" s="118"/>
    </row>
    <row r="143" spans="2:8" hidden="1">
      <c r="B143"/>
      <c r="C143" s="361" t="s">
        <v>1287</v>
      </c>
      <c r="D143" s="1532" t="str">
        <f>IFERROR(VLOOKUP(D10,K34:X36,14,FALSE),"")</f>
        <v/>
      </c>
      <c r="E143" s="1532"/>
      <c r="F143"/>
      <c r="G143"/>
      <c r="H143" s="118"/>
    </row>
    <row r="144" spans="2:8">
      <c r="B144"/>
      <c r="C144"/>
      <c r="D144"/>
      <c r="E144"/>
      <c r="F144" s="228"/>
      <c r="G144"/>
      <c r="H144" s="118"/>
    </row>
    <row r="145" spans="2:8">
      <c r="B145"/>
      <c r="C145"/>
      <c r="D145"/>
      <c r="E145"/>
      <c r="F145" s="228"/>
      <c r="G145"/>
      <c r="H145" s="118"/>
    </row>
    <row r="146" spans="2:8" ht="15.75">
      <c r="B146"/>
      <c r="C146" s="1299" t="s">
        <v>1396</v>
      </c>
      <c r="D146" s="1299"/>
      <c r="E146" s="1299"/>
      <c r="F146" s="1299"/>
      <c r="G146"/>
      <c r="H146" s="118"/>
    </row>
    <row r="147" spans="2:8">
      <c r="B147" s="931"/>
      <c r="C147" s="1271"/>
      <c r="D147"/>
      <c r="E147"/>
      <c r="F147" s="184"/>
      <c r="G147"/>
      <c r="H147" s="118"/>
    </row>
    <row r="148" spans="2:8">
      <c r="B148" s="931"/>
      <c r="C148" s="1272" t="str">
        <f>PROPER(E62)</f>
        <v>No Consumable Forecast Provided, Please Complete!</v>
      </c>
      <c r="D148"/>
      <c r="E148"/>
      <c r="F148"/>
      <c r="G148"/>
      <c r="H148" s="118"/>
    </row>
    <row r="149" spans="2:8">
      <c r="B149" s="931"/>
      <c r="C149" s="1272" t="str">
        <f>'7900'!F13</f>
        <v/>
      </c>
      <c r="D149"/>
      <c r="E149"/>
      <c r="F149"/>
      <c r="G149"/>
      <c r="H149" s="118"/>
    </row>
    <row r="150" spans="2:8">
      <c r="B150" s="931"/>
      <c r="C150" s="1273" t="str">
        <f>'7900'!F11</f>
        <v/>
      </c>
      <c r="D150"/>
      <c r="E150"/>
      <c r="F150"/>
      <c r="G150"/>
      <c r="H150" s="118"/>
    </row>
    <row r="151" spans="2:8">
      <c r="B151" s="931"/>
      <c r="C151" s="1272" t="str">
        <f>VLOOKUP(D10,$K$34:$W$40,13,FALSE) &amp;" - Is the single installation amount (not including travel)"</f>
        <v xml:space="preserve"> - Is the single installation amount (not including travel)</v>
      </c>
      <c r="D151" s="205"/>
      <c r="E151"/>
      <c r="F151"/>
      <c r="G151"/>
      <c r="H151" s="118"/>
    </row>
    <row r="152" spans="2:8">
      <c r="B152" s="931"/>
      <c r="C152" s="1272" t="str">
        <f ca="1">docprop("Category")</f>
        <v>Linx 7.9</v>
      </c>
      <c r="D152"/>
      <c r="E152"/>
      <c r="F152"/>
      <c r="G152"/>
      <c r="H152" s="118"/>
    </row>
    <row r="153" spans="2:8">
      <c r="B153" s="931"/>
      <c r="C153" s="1271" t="str">
        <f>IF(D48="Yes", "Note Finance " &amp;D49 &amp;" For $" &amp;D51 &amp;" over the period " &amp;D52 &amp;" months", "")</f>
        <v/>
      </c>
      <c r="D153"/>
      <c r="E153"/>
      <c r="F153"/>
      <c r="G153"/>
      <c r="H153" s="118"/>
    </row>
    <row r="154" spans="2:8">
      <c r="B154"/>
      <c r="C154" s="1271"/>
      <c r="D154"/>
      <c r="E154"/>
      <c r="F154"/>
      <c r="G154"/>
      <c r="H154" s="118"/>
    </row>
    <row r="155" spans="2:8">
      <c r="B155"/>
      <c r="C155" s="1271"/>
      <c r="D155"/>
      <c r="E155"/>
      <c r="F155" s="228"/>
      <c r="G155"/>
      <c r="H155" s="118"/>
    </row>
    <row r="156" spans="2:8">
      <c r="B156"/>
      <c r="C156" s="1271"/>
      <c r="D156"/>
      <c r="E156"/>
      <c r="F156" s="228"/>
      <c r="G156"/>
      <c r="H156" s="118"/>
    </row>
    <row r="157" spans="2:8" ht="15.75">
      <c r="B157"/>
      <c r="C157" s="1274"/>
      <c r="D157" s="1275"/>
      <c r="E157" s="1275"/>
      <c r="F157" s="1275"/>
      <c r="G157"/>
      <c r="H157" s="118"/>
    </row>
    <row r="158" spans="2:8">
      <c r="B158"/>
      <c r="C158"/>
      <c r="D158"/>
      <c r="E158"/>
      <c r="F158" s="184"/>
      <c r="G158"/>
      <c r="H158" s="118"/>
    </row>
    <row r="159" spans="2:8">
      <c r="B159"/>
      <c r="C159"/>
      <c r="D159"/>
      <c r="E159"/>
      <c r="F159"/>
      <c r="G159"/>
      <c r="H159" s="118"/>
    </row>
    <row r="160" spans="2:8">
      <c r="B160"/>
      <c r="C160"/>
      <c r="D160"/>
      <c r="E160"/>
      <c r="F160"/>
      <c r="G160"/>
      <c r="H160" s="118"/>
    </row>
    <row r="161" spans="2:8">
      <c r="B161"/>
      <c r="C161"/>
      <c r="D161"/>
      <c r="E161"/>
      <c r="F161"/>
      <c r="G161"/>
      <c r="H161" s="118"/>
    </row>
    <row r="162" spans="2:8">
      <c r="B162"/>
      <c r="C162"/>
      <c r="D162"/>
      <c r="E162"/>
      <c r="F162"/>
      <c r="G162"/>
      <c r="H162" s="118"/>
    </row>
    <row r="163" spans="2:8">
      <c r="B163"/>
      <c r="C163"/>
      <c r="D163"/>
      <c r="E163"/>
      <c r="F163"/>
      <c r="G163"/>
      <c r="H163" s="118"/>
    </row>
    <row r="164" spans="2:8">
      <c r="B164"/>
      <c r="C164"/>
      <c r="D164"/>
      <c r="E164"/>
      <c r="F164"/>
      <c r="G164"/>
      <c r="H164" s="118"/>
    </row>
    <row r="165" spans="2:8">
      <c r="B165"/>
      <c r="C165"/>
      <c r="D165"/>
      <c r="E165"/>
      <c r="F165"/>
      <c r="G165"/>
      <c r="H165" s="118"/>
    </row>
    <row r="166" spans="2:8">
      <c r="B166"/>
      <c r="C166"/>
      <c r="D166"/>
      <c r="E166"/>
      <c r="F166"/>
      <c r="G166"/>
      <c r="H166" s="118"/>
    </row>
    <row r="167" spans="2:8">
      <c r="B167"/>
      <c r="C167"/>
      <c r="D167"/>
      <c r="E167"/>
      <c r="F167"/>
      <c r="G167"/>
      <c r="H167" s="118"/>
    </row>
    <row r="168" spans="2:8">
      <c r="B168"/>
      <c r="C168"/>
      <c r="D168"/>
      <c r="E168"/>
      <c r="F168"/>
      <c r="G168"/>
      <c r="H168" s="118"/>
    </row>
    <row r="169" spans="2:8">
      <c r="B169"/>
      <c r="C169"/>
      <c r="D169"/>
      <c r="E169"/>
      <c r="F169"/>
      <c r="G169"/>
      <c r="H169" s="118"/>
    </row>
    <row r="170" spans="2:8">
      <c r="B170"/>
      <c r="C170"/>
      <c r="D170"/>
      <c r="E170"/>
      <c r="F170"/>
      <c r="G170"/>
      <c r="H170" s="118"/>
    </row>
    <row r="171" spans="2:8">
      <c r="B171"/>
      <c r="C171"/>
      <c r="D171"/>
      <c r="E171"/>
      <c r="F171"/>
      <c r="G171"/>
      <c r="H171" s="118"/>
    </row>
    <row r="172" spans="2:8">
      <c r="B172"/>
      <c r="C172"/>
      <c r="D172"/>
      <c r="E172"/>
      <c r="F172" s="185"/>
      <c r="G172"/>
      <c r="H172" s="118"/>
    </row>
    <row r="173" spans="2:8">
      <c r="B173"/>
      <c r="C173" s="185"/>
      <c r="D173" s="185"/>
      <c r="E173" s="185"/>
      <c r="F173" s="185"/>
      <c r="G173"/>
      <c r="H173" s="118"/>
    </row>
    <row r="174" spans="2:8">
      <c r="B174"/>
      <c r="C174" s="185"/>
      <c r="D174" s="185"/>
      <c r="E174" s="185"/>
      <c r="F174" s="185"/>
      <c r="G174"/>
      <c r="H174" s="118"/>
    </row>
    <row r="175" spans="2:8">
      <c r="B175"/>
      <c r="C175" s="185"/>
      <c r="D175" s="185"/>
      <c r="E175" s="185"/>
      <c r="F175" s="185"/>
      <c r="G175"/>
      <c r="H175" s="118"/>
    </row>
    <row r="176" spans="2:8">
      <c r="B176"/>
      <c r="C176" s="185"/>
      <c r="D176" s="185"/>
      <c r="E176" s="185"/>
      <c r="F176" s="185"/>
      <c r="G176"/>
      <c r="H176" s="118"/>
    </row>
    <row r="177" spans="2:8">
      <c r="B177"/>
      <c r="C177" s="185"/>
      <c r="D177" s="185"/>
      <c r="E177" s="185"/>
      <c r="F177" s="185"/>
      <c r="G177"/>
      <c r="H177" s="118"/>
    </row>
    <row r="178" spans="2:8">
      <c r="B178"/>
      <c r="C178" s="185"/>
      <c r="D178" s="185"/>
      <c r="E178" s="185"/>
      <c r="F178" s="185"/>
      <c r="G178"/>
      <c r="H178" s="118"/>
    </row>
    <row r="179" spans="2:8">
      <c r="B179"/>
      <c r="C179" s="185"/>
      <c r="D179" s="185"/>
      <c r="E179" s="185"/>
      <c r="F179" s="185"/>
      <c r="G179"/>
      <c r="H179" s="118"/>
    </row>
    <row r="180" spans="2:8">
      <c r="B180"/>
      <c r="C180" s="185"/>
      <c r="D180" s="185"/>
      <c r="E180" s="185"/>
      <c r="F180" s="185"/>
      <c r="G180"/>
      <c r="H180" s="118"/>
    </row>
    <row r="181" spans="2:8">
      <c r="B181"/>
      <c r="C181" s="185"/>
      <c r="D181" s="185"/>
      <c r="E181" s="185"/>
      <c r="F181" s="185"/>
      <c r="G181"/>
      <c r="H181" s="118"/>
    </row>
    <row r="182" spans="2:8">
      <c r="B182"/>
      <c r="C182" s="185"/>
      <c r="D182" s="185"/>
      <c r="E182" s="185"/>
      <c r="F182" s="185"/>
      <c r="G182"/>
      <c r="H182" s="118"/>
    </row>
    <row r="183" spans="2:8">
      <c r="B183"/>
      <c r="C183" s="185"/>
      <c r="D183" s="185"/>
      <c r="E183" s="185"/>
      <c r="F183" s="185"/>
      <c r="G183"/>
      <c r="H183" s="118"/>
    </row>
    <row r="184" spans="2:8">
      <c r="B184"/>
      <c r="C184" s="185"/>
      <c r="D184" s="185"/>
      <c r="E184" s="185"/>
      <c r="F184" s="138"/>
      <c r="G184" s="121"/>
      <c r="H184" s="118"/>
    </row>
    <row r="185" spans="2:8">
      <c r="B185"/>
      <c r="C185" s="138"/>
      <c r="D185" s="138"/>
      <c r="E185" s="138"/>
      <c r="F185" s="2"/>
      <c r="G185"/>
      <c r="H185" s="118"/>
    </row>
    <row r="186" spans="2:8">
      <c r="C186" s="112"/>
      <c r="D186" s="112"/>
      <c r="F186" s="112"/>
    </row>
    <row r="187" spans="2:8" hidden="1">
      <c r="C187" s="112"/>
      <c r="D187" s="112"/>
      <c r="F187" s="112"/>
    </row>
    <row r="188" spans="2:8" hidden="1">
      <c r="C188" s="112"/>
      <c r="D188" s="112"/>
      <c r="F188" s="112"/>
    </row>
    <row r="189" spans="2:8" hidden="1">
      <c r="C189" s="112"/>
      <c r="D189" s="112"/>
      <c r="F189" s="112"/>
    </row>
    <row r="190" spans="2:8" hidden="1">
      <c r="C190" s="112"/>
      <c r="D190" s="112"/>
      <c r="F190" s="112"/>
    </row>
    <row r="191" spans="2:8" hidden="1">
      <c r="C191" s="112"/>
      <c r="D191" s="112"/>
      <c r="F191" s="112"/>
    </row>
    <row r="192" spans="2:8" hidden="1">
      <c r="C192" s="112"/>
      <c r="D192" s="112"/>
      <c r="F192" s="112"/>
    </row>
    <row r="193" spans="3:8" hidden="1">
      <c r="C193" s="112"/>
      <c r="D193" s="112"/>
      <c r="F193" s="112"/>
    </row>
    <row r="194" spans="3:8" hidden="1">
      <c r="C194" s="112"/>
      <c r="D194" s="112"/>
      <c r="F194" s="112"/>
    </row>
    <row r="195" spans="3:8" hidden="1">
      <c r="C195" s="112"/>
      <c r="D195" s="112"/>
      <c r="F195" s="112"/>
    </row>
    <row r="196" spans="3:8" hidden="1">
      <c r="C196" s="112"/>
      <c r="D196" s="112"/>
      <c r="F196" s="112"/>
    </row>
    <row r="197" spans="3:8" hidden="1">
      <c r="C197" s="112"/>
      <c r="D197" s="112"/>
      <c r="F197" s="112"/>
    </row>
    <row r="198" spans="3:8" hidden="1">
      <c r="C198" s="112"/>
      <c r="D198" s="112"/>
      <c r="F198" s="112"/>
    </row>
    <row r="199" spans="3:8" hidden="1">
      <c r="C199" s="112"/>
      <c r="D199" s="112"/>
      <c r="F199" s="112"/>
    </row>
    <row r="200" spans="3:8" hidden="1">
      <c r="C200" s="112"/>
      <c r="D200" s="112"/>
      <c r="F200" s="112"/>
    </row>
    <row r="201" spans="3:8" hidden="1">
      <c r="C201" s="112"/>
      <c r="D201" s="112"/>
      <c r="F201" s="112"/>
    </row>
    <row r="202" spans="3:8" hidden="1">
      <c r="C202" s="112"/>
      <c r="D202" s="112"/>
      <c r="F202" s="138"/>
      <c r="G202" s="138"/>
      <c r="H202" s="138"/>
    </row>
    <row r="203" spans="3:8" hidden="1">
      <c r="C203" s="112"/>
      <c r="D203" s="112"/>
      <c r="E203" s="138" t="s">
        <v>95</v>
      </c>
      <c r="F203" s="138"/>
      <c r="G203" s="138"/>
      <c r="H203" s="138"/>
    </row>
    <row r="204" spans="3:8" hidden="1">
      <c r="C204" s="112"/>
      <c r="D204" s="112"/>
      <c r="E204" s="138" t="s">
        <v>96</v>
      </c>
      <c r="F204" s="138"/>
      <c r="G204" s="138"/>
      <c r="H204" s="138"/>
    </row>
    <row r="205" spans="3:8" hidden="1">
      <c r="C205" s="112"/>
      <c r="D205" s="112"/>
      <c r="E205" s="138" t="s">
        <v>97</v>
      </c>
      <c r="F205" s="138"/>
      <c r="G205" s="138"/>
      <c r="H205" s="138"/>
    </row>
    <row r="206" spans="3:8" hidden="1">
      <c r="C206" s="112"/>
      <c r="D206" s="112"/>
      <c r="E206" s="138"/>
      <c r="F206" s="138"/>
      <c r="G206" s="138"/>
      <c r="H206" s="138"/>
    </row>
    <row r="207" spans="3:8" hidden="1">
      <c r="C207" s="112"/>
      <c r="D207" s="112"/>
      <c r="E207" s="138"/>
      <c r="F207" s="138"/>
      <c r="G207" s="138"/>
      <c r="H207" s="138"/>
    </row>
    <row r="208" spans="3:8" hidden="1">
      <c r="C208" s="112"/>
      <c r="D208" s="112"/>
      <c r="E208" s="138"/>
      <c r="F208" s="138"/>
      <c r="G208" s="138"/>
      <c r="H208" s="138"/>
    </row>
    <row r="209" spans="3:8" hidden="1">
      <c r="C209" s="112"/>
      <c r="D209" s="112"/>
      <c r="E209" s="138"/>
      <c r="F209" s="138"/>
      <c r="G209" s="138"/>
      <c r="H209" s="138"/>
    </row>
    <row r="210" spans="3:8" hidden="1">
      <c r="C210" s="112"/>
      <c r="D210" s="112"/>
      <c r="E210" s="138"/>
      <c r="F210" s="138"/>
      <c r="G210" s="138"/>
      <c r="H210" s="138"/>
    </row>
    <row r="211" spans="3:8" hidden="1">
      <c r="C211" s="112"/>
      <c r="D211" s="112"/>
      <c r="E211" s="138"/>
      <c r="F211" s="138"/>
      <c r="G211" s="138"/>
      <c r="H211" s="138"/>
    </row>
    <row r="212" spans="3:8" hidden="1">
      <c r="C212" s="112"/>
      <c r="D212" s="112"/>
      <c r="E212" s="258" t="s">
        <v>1021</v>
      </c>
      <c r="F212" s="138"/>
      <c r="G212" s="138"/>
      <c r="H212" s="138"/>
    </row>
    <row r="213" spans="3:8" hidden="1">
      <c r="C213" s="112"/>
      <c r="D213" s="112"/>
      <c r="E213" s="258" t="s">
        <v>1022</v>
      </c>
      <c r="F213" s="138"/>
      <c r="G213" s="138"/>
      <c r="H213" s="138"/>
    </row>
    <row r="214" spans="3:8" hidden="1">
      <c r="C214" s="112"/>
      <c r="D214" s="112"/>
      <c r="E214" s="258" t="s">
        <v>1197</v>
      </c>
      <c r="F214" s="138"/>
      <c r="G214" s="138"/>
      <c r="H214" s="138"/>
    </row>
    <row r="215" spans="3:8" hidden="1">
      <c r="C215" s="112"/>
      <c r="D215" s="112"/>
      <c r="E215" s="152" t="s">
        <v>7</v>
      </c>
      <c r="F215" s="138"/>
      <c r="G215" s="138"/>
      <c r="H215" s="138"/>
    </row>
    <row r="216" spans="3:8" hidden="1">
      <c r="C216" s="112"/>
      <c r="D216" s="112"/>
      <c r="E216" s="258" t="s">
        <v>1273</v>
      </c>
      <c r="F216" s="138"/>
      <c r="G216" s="138"/>
      <c r="H216" s="138"/>
    </row>
    <row r="217" spans="3:8" hidden="1">
      <c r="C217" s="112"/>
      <c r="D217" s="112"/>
      <c r="E217" s="1094" t="s">
        <v>1242</v>
      </c>
      <c r="F217" s="138"/>
      <c r="G217" s="138"/>
      <c r="H217" s="138"/>
    </row>
    <row r="218" spans="3:8" hidden="1">
      <c r="C218" s="112"/>
      <c r="D218" s="112"/>
      <c r="E218" s="258" t="s">
        <v>1188</v>
      </c>
      <c r="F218" s="138"/>
      <c r="G218" s="138"/>
      <c r="H218" s="138"/>
    </row>
    <row r="219" spans="3:8" hidden="1">
      <c r="C219" s="112"/>
      <c r="D219" s="112"/>
      <c r="E219" s="152" t="s">
        <v>76</v>
      </c>
      <c r="F219" s="138"/>
      <c r="G219" s="138"/>
      <c r="H219" s="138"/>
    </row>
    <row r="220" spans="3:8" hidden="1">
      <c r="C220" s="112"/>
      <c r="D220" s="112"/>
      <c r="E220" s="258" t="s">
        <v>1187</v>
      </c>
      <c r="F220" s="138"/>
      <c r="G220" s="138"/>
      <c r="H220" s="138"/>
    </row>
    <row r="221" spans="3:8" hidden="1">
      <c r="C221" s="112"/>
      <c r="D221" s="112"/>
      <c r="E221" s="152" t="s">
        <v>77</v>
      </c>
      <c r="F221" s="138"/>
      <c r="G221" s="138"/>
      <c r="H221" s="138"/>
    </row>
    <row r="222" spans="3:8" hidden="1">
      <c r="C222" s="112"/>
      <c r="D222" s="112"/>
      <c r="E222" s="221" t="s">
        <v>113</v>
      </c>
      <c r="F222" s="138"/>
      <c r="G222" s="138"/>
      <c r="H222" s="138"/>
    </row>
    <row r="223" spans="3:8" hidden="1">
      <c r="C223" s="112"/>
      <c r="D223" s="112"/>
      <c r="E223" s="221" t="s">
        <v>1241</v>
      </c>
      <c r="F223" s="138"/>
      <c r="G223" s="181" t="s">
        <v>79</v>
      </c>
      <c r="H223" s="138"/>
    </row>
    <row r="224" spans="3:8" hidden="1">
      <c r="C224" s="112"/>
      <c r="D224" s="112"/>
      <c r="E224" s="152" t="s">
        <v>78</v>
      </c>
      <c r="F224" s="138"/>
      <c r="G224" s="138"/>
      <c r="H224" s="138"/>
    </row>
    <row r="225" spans="3:8" hidden="1">
      <c r="C225" s="112"/>
      <c r="D225" s="112"/>
      <c r="E225" s="221"/>
      <c r="F225" s="138"/>
      <c r="G225" s="138"/>
      <c r="H225" s="138"/>
    </row>
    <row r="226" spans="3:8" hidden="1">
      <c r="C226" s="112"/>
      <c r="D226" s="112"/>
      <c r="E226" s="152"/>
      <c r="F226" s="112"/>
    </row>
    <row r="227" spans="3:8" hidden="1">
      <c r="C227" s="112"/>
      <c r="D227" s="112"/>
      <c r="F227" s="112"/>
    </row>
    <row r="228" spans="3:8" hidden="1">
      <c r="C228" s="112"/>
      <c r="D228" s="112"/>
      <c r="F228" s="112"/>
    </row>
    <row r="229" spans="3:8" hidden="1">
      <c r="C229" s="112"/>
      <c r="D229" s="112"/>
      <c r="F229" s="112"/>
    </row>
    <row r="230" spans="3:8" hidden="1">
      <c r="C230" s="112"/>
      <c r="D230" s="112"/>
      <c r="F230" s="112"/>
    </row>
    <row r="231" spans="3:8" hidden="1">
      <c r="C231" s="112"/>
      <c r="D231" s="112"/>
      <c r="F231" s="112"/>
    </row>
    <row r="232" spans="3:8" hidden="1">
      <c r="C232" s="112"/>
      <c r="D232" s="112"/>
      <c r="F232" s="112"/>
    </row>
    <row r="233" spans="3:8" hidden="1">
      <c r="C233" s="112"/>
      <c r="D233" s="112"/>
      <c r="F233" s="112"/>
    </row>
    <row r="234" spans="3:8" hidden="1">
      <c r="C234" s="112"/>
      <c r="D234" s="112"/>
      <c r="F234" s="112"/>
    </row>
    <row r="235" spans="3:8" hidden="1">
      <c r="C235" s="112"/>
      <c r="D235" s="112"/>
      <c r="F235" s="112"/>
    </row>
    <row r="236" spans="3:8" hidden="1">
      <c r="C236" s="112"/>
      <c r="D236" s="112"/>
      <c r="F236" s="112"/>
    </row>
    <row r="237" spans="3:8" hidden="1">
      <c r="C237" s="112"/>
      <c r="D237" s="112"/>
      <c r="F237" s="112"/>
    </row>
    <row r="238" spans="3:8" hidden="1">
      <c r="C238" s="112"/>
      <c r="D238" s="112"/>
      <c r="F238" s="112"/>
    </row>
    <row r="239" spans="3:8" hidden="1">
      <c r="C239" s="112"/>
      <c r="D239" s="112"/>
      <c r="F239" s="112"/>
    </row>
    <row r="240" spans="3:8" hidden="1">
      <c r="C240" s="112"/>
      <c r="D240" s="112"/>
      <c r="F240" s="112"/>
    </row>
    <row r="241" spans="3:6" hidden="1">
      <c r="C241" s="112"/>
      <c r="D241" s="112"/>
      <c r="F241" s="112"/>
    </row>
    <row r="242" spans="3:6" hidden="1">
      <c r="C242" s="112"/>
      <c r="D242" s="112"/>
      <c r="F242" s="112"/>
    </row>
    <row r="243" spans="3:6" hidden="1">
      <c r="C243" s="112"/>
      <c r="D243" s="112"/>
      <c r="F243" s="112"/>
    </row>
    <row r="244" spans="3:6" hidden="1">
      <c r="C244" s="112"/>
      <c r="D244" s="112"/>
      <c r="F244" s="112"/>
    </row>
    <row r="245" spans="3:6" hidden="1">
      <c r="C245" s="112"/>
      <c r="D245" s="112"/>
      <c r="F245" s="112"/>
    </row>
    <row r="246" spans="3:6" hidden="1">
      <c r="C246" s="112"/>
      <c r="D246" s="112"/>
      <c r="F246" s="112"/>
    </row>
    <row r="247" spans="3:6" hidden="1">
      <c r="C247" s="112"/>
      <c r="D247" s="112"/>
      <c r="F247" s="112"/>
    </row>
    <row r="248" spans="3:6" hidden="1">
      <c r="C248" s="112"/>
      <c r="D248" s="112"/>
      <c r="F248" s="112"/>
    </row>
    <row r="249" spans="3:6" hidden="1">
      <c r="C249" s="112"/>
      <c r="D249" s="112"/>
      <c r="F249" s="112"/>
    </row>
    <row r="250" spans="3:6" hidden="1">
      <c r="C250" s="112"/>
      <c r="D250" s="112"/>
      <c r="F250" s="112"/>
    </row>
    <row r="251" spans="3:6" hidden="1">
      <c r="C251" s="112"/>
      <c r="D251" s="112"/>
      <c r="F251" s="112"/>
    </row>
    <row r="252" spans="3:6" hidden="1">
      <c r="C252" s="112"/>
      <c r="D252" s="112"/>
      <c r="F252" s="112"/>
    </row>
    <row r="253" spans="3:6" hidden="1">
      <c r="C253" s="112"/>
      <c r="D253" s="112"/>
      <c r="F253" s="112"/>
    </row>
    <row r="254" spans="3:6" hidden="1">
      <c r="C254" s="112"/>
      <c r="D254" s="112"/>
      <c r="F254" s="112"/>
    </row>
    <row r="255" spans="3:6" hidden="1">
      <c r="C255" s="112"/>
      <c r="D255" s="112"/>
      <c r="F255" s="112"/>
    </row>
    <row r="256" spans="3:6" hidden="1">
      <c r="C256" s="112"/>
      <c r="D256" s="112"/>
      <c r="F256" s="112"/>
    </row>
    <row r="257" spans="3:6" hidden="1">
      <c r="C257" s="112"/>
      <c r="D257" s="112"/>
      <c r="F257" s="112"/>
    </row>
    <row r="258" spans="3:6" hidden="1">
      <c r="C258" s="112"/>
      <c r="D258" s="112"/>
      <c r="F258" s="112"/>
    </row>
    <row r="259" spans="3:6" hidden="1">
      <c r="C259" s="112"/>
      <c r="D259" s="112"/>
      <c r="F259" s="112"/>
    </row>
    <row r="260" spans="3:6" hidden="1">
      <c r="C260" s="112"/>
      <c r="D260" s="112"/>
      <c r="F260" s="112"/>
    </row>
    <row r="261" spans="3:6" hidden="1">
      <c r="C261" s="112"/>
      <c r="D261" s="112"/>
      <c r="F261" s="112"/>
    </row>
    <row r="262" spans="3:6" hidden="1">
      <c r="C262" s="112"/>
      <c r="D262" s="112"/>
      <c r="F262" s="112"/>
    </row>
    <row r="263" spans="3:6" hidden="1">
      <c r="C263" s="112"/>
      <c r="D263" s="112"/>
      <c r="F263" s="112"/>
    </row>
    <row r="264" spans="3:6" hidden="1">
      <c r="C264" s="112"/>
      <c r="D264" s="112"/>
      <c r="F264" s="112"/>
    </row>
    <row r="265" spans="3:6" hidden="1">
      <c r="C265" s="112"/>
      <c r="D265" s="112"/>
      <c r="F265" s="112"/>
    </row>
    <row r="266" spans="3:6" hidden="1">
      <c r="C266" s="112"/>
      <c r="D266" s="112"/>
      <c r="F266" s="112"/>
    </row>
    <row r="267" spans="3:6" hidden="1">
      <c r="C267" s="112"/>
      <c r="D267" s="112"/>
      <c r="F267" s="112"/>
    </row>
    <row r="268" spans="3:6" hidden="1">
      <c r="C268" s="112"/>
      <c r="D268" s="112"/>
      <c r="F268" s="112"/>
    </row>
    <row r="269" spans="3:6" hidden="1">
      <c r="C269" s="112"/>
      <c r="D269" s="112"/>
      <c r="F269" s="112"/>
    </row>
    <row r="270" spans="3:6" hidden="1">
      <c r="C270" s="112"/>
      <c r="D270" s="112"/>
      <c r="F270" s="112"/>
    </row>
    <row r="271" spans="3:6" hidden="1">
      <c r="C271" s="112"/>
      <c r="D271" s="112"/>
      <c r="F271" s="112"/>
    </row>
    <row r="272" spans="3:6" hidden="1">
      <c r="C272" s="112"/>
      <c r="D272" s="112"/>
      <c r="F272" s="112"/>
    </row>
    <row r="273" spans="3:6" hidden="1">
      <c r="C273" s="112"/>
      <c r="D273" s="112"/>
      <c r="F273" s="112"/>
    </row>
    <row r="274" spans="3:6" hidden="1">
      <c r="C274" s="112"/>
      <c r="D274" s="112"/>
      <c r="F274" s="112"/>
    </row>
    <row r="275" spans="3:6" hidden="1">
      <c r="C275" s="112"/>
      <c r="D275" s="112"/>
      <c r="F275" s="112"/>
    </row>
    <row r="276" spans="3:6" hidden="1">
      <c r="C276" s="112"/>
      <c r="D276" s="112"/>
      <c r="F276" s="112"/>
    </row>
    <row r="277" spans="3:6" hidden="1">
      <c r="C277" s="112"/>
      <c r="D277" s="112"/>
      <c r="F277" s="112"/>
    </row>
    <row r="278" spans="3:6" hidden="1">
      <c r="C278" s="112"/>
      <c r="D278" s="112"/>
      <c r="F278" s="112"/>
    </row>
    <row r="279" spans="3:6" hidden="1">
      <c r="C279" s="112"/>
      <c r="D279" s="112"/>
      <c r="F279" s="112"/>
    </row>
    <row r="280" spans="3:6" hidden="1">
      <c r="C280" s="112"/>
      <c r="D280" s="112"/>
      <c r="F280" s="112"/>
    </row>
    <row r="281" spans="3:6" hidden="1">
      <c r="C281" s="112"/>
      <c r="D281" s="112"/>
      <c r="F281" s="112"/>
    </row>
    <row r="282" spans="3:6" hidden="1">
      <c r="C282" s="112"/>
      <c r="D282" s="112"/>
      <c r="F282" s="112"/>
    </row>
    <row r="283" spans="3:6" hidden="1">
      <c r="C283" s="112"/>
      <c r="D283" s="112"/>
      <c r="F283" s="112"/>
    </row>
    <row r="284" spans="3:6" hidden="1">
      <c r="C284" s="112"/>
      <c r="D284" s="112"/>
      <c r="F284" s="112"/>
    </row>
    <row r="285" spans="3:6" hidden="1">
      <c r="C285" s="112"/>
      <c r="D285" s="112"/>
      <c r="F285" s="112"/>
    </row>
    <row r="286" spans="3:6" hidden="1">
      <c r="C286" s="112"/>
      <c r="D286" s="112"/>
      <c r="F286" s="112"/>
    </row>
    <row r="287" spans="3:6" hidden="1">
      <c r="C287" s="112"/>
      <c r="D287" s="112"/>
      <c r="F287" s="112"/>
    </row>
    <row r="288" spans="3:6" hidden="1">
      <c r="C288" s="112"/>
      <c r="D288" s="112"/>
      <c r="F288" s="112"/>
    </row>
    <row r="289" spans="3:6" hidden="1">
      <c r="C289" s="112"/>
      <c r="D289" s="112"/>
      <c r="F289" s="112"/>
    </row>
    <row r="290" spans="3:6" hidden="1">
      <c r="C290" s="112"/>
      <c r="D290" s="112"/>
      <c r="F290" s="112"/>
    </row>
    <row r="291" spans="3:6" hidden="1">
      <c r="C291" s="112"/>
      <c r="D291" s="112"/>
      <c r="F291" s="112"/>
    </row>
    <row r="292" spans="3:6" hidden="1">
      <c r="C292" s="112"/>
      <c r="D292" s="112"/>
      <c r="F292" s="112"/>
    </row>
    <row r="293" spans="3:6" hidden="1">
      <c r="C293" s="112"/>
      <c r="D293" s="112"/>
      <c r="F293" s="112"/>
    </row>
    <row r="294" spans="3:6" hidden="1">
      <c r="C294" s="112"/>
      <c r="D294" s="112"/>
      <c r="F294" s="112"/>
    </row>
    <row r="295" spans="3:6" hidden="1">
      <c r="C295" s="112"/>
      <c r="D295" s="112"/>
      <c r="F295" s="112"/>
    </row>
    <row r="296" spans="3:6" hidden="1">
      <c r="C296" s="112"/>
      <c r="D296" s="112"/>
      <c r="F296" s="112"/>
    </row>
    <row r="297" spans="3:6" hidden="1">
      <c r="C297" s="112"/>
      <c r="D297" s="112"/>
      <c r="F297" s="112"/>
    </row>
    <row r="298" spans="3:6" hidden="1">
      <c r="C298" s="112"/>
      <c r="D298" s="112"/>
      <c r="F298" s="112"/>
    </row>
    <row r="299" spans="3:6" hidden="1">
      <c r="C299" s="112"/>
      <c r="D299" s="112"/>
      <c r="F299" s="112"/>
    </row>
    <row r="300" spans="3:6" hidden="1">
      <c r="C300" s="112"/>
      <c r="D300" s="112"/>
      <c r="F300" s="112"/>
    </row>
    <row r="301" spans="3:6">
      <c r="C301" s="112"/>
      <c r="D301" s="112"/>
      <c r="F301" s="112"/>
    </row>
    <row r="302" spans="3:6">
      <c r="C302" s="112"/>
      <c r="D302" s="112"/>
      <c r="F302" s="112"/>
    </row>
    <row r="303" spans="3:6">
      <c r="C303" s="112"/>
      <c r="D303" s="112"/>
      <c r="F303" s="112"/>
    </row>
    <row r="304" spans="3:6">
      <c r="C304" s="112"/>
      <c r="D304" s="112"/>
      <c r="F304" s="112"/>
    </row>
    <row r="305" spans="3:6">
      <c r="C305" s="112"/>
      <c r="D305" s="112"/>
      <c r="F305" s="112"/>
    </row>
    <row r="306" spans="3:6">
      <c r="C306" s="112"/>
      <c r="D306" s="112"/>
      <c r="F306" s="112"/>
    </row>
    <row r="307" spans="3:6">
      <c r="C307" s="112"/>
      <c r="D307" s="112"/>
      <c r="F307" s="112"/>
    </row>
    <row r="308" spans="3:6">
      <c r="C308" s="112"/>
      <c r="D308" s="112"/>
      <c r="F308" s="112"/>
    </row>
    <row r="309" spans="3:6">
      <c r="C309" s="112"/>
      <c r="D309" s="112"/>
      <c r="F309" s="112"/>
    </row>
    <row r="310" spans="3:6">
      <c r="C310" s="112"/>
      <c r="D310" s="112"/>
      <c r="F310" s="112"/>
    </row>
    <row r="311" spans="3:6">
      <c r="C311" s="112"/>
      <c r="D311" s="112"/>
      <c r="F311" s="112"/>
    </row>
    <row r="312" spans="3:6">
      <c r="C312" s="112"/>
      <c r="D312" s="112"/>
      <c r="F312" s="112"/>
    </row>
    <row r="313" spans="3:6">
      <c r="C313" s="112"/>
      <c r="D313" s="112"/>
      <c r="F313" s="112"/>
    </row>
    <row r="314" spans="3:6">
      <c r="C314" s="112"/>
      <c r="D314" s="112"/>
      <c r="F314" s="112"/>
    </row>
    <row r="315" spans="3:6">
      <c r="C315" s="112"/>
      <c r="D315" s="112"/>
      <c r="F315" s="112"/>
    </row>
    <row r="316" spans="3:6">
      <c r="C316" s="112"/>
      <c r="D316" s="112"/>
      <c r="F316" s="112"/>
    </row>
    <row r="317" spans="3:6">
      <c r="C317" s="112"/>
      <c r="D317" s="112"/>
      <c r="F317" s="112"/>
    </row>
    <row r="318" spans="3:6">
      <c r="C318" s="112"/>
      <c r="D318" s="112"/>
      <c r="F318" s="112"/>
    </row>
    <row r="319" spans="3:6">
      <c r="C319" s="112"/>
      <c r="D319" s="112"/>
      <c r="F319" s="112"/>
    </row>
    <row r="320" spans="3:6">
      <c r="C320" s="112"/>
      <c r="D320" s="112"/>
      <c r="F320" s="112"/>
    </row>
    <row r="321" spans="3:6">
      <c r="C321" s="112"/>
      <c r="D321" s="112"/>
      <c r="F321" s="112"/>
    </row>
    <row r="322" spans="3:6">
      <c r="C322" s="112"/>
      <c r="D322" s="112"/>
      <c r="F322" s="112"/>
    </row>
    <row r="323" spans="3:6">
      <c r="C323" s="112"/>
      <c r="D323" s="112"/>
      <c r="F323" s="112"/>
    </row>
    <row r="324" spans="3:6">
      <c r="C324" s="112"/>
      <c r="D324" s="112"/>
    </row>
  </sheetData>
  <sheetProtection password="C583" sheet="1" selectLockedCells="1"/>
  <protectedRanges>
    <protectedRange sqref="C84:C90 E84:E90 D33:D34 C39 C67 F71:F74 D72:D73 F62:F65 E61 F157:F158 D59:D60 D8 F8 D12:D22 F33:F42 F57:F60 F97 F147 F93 D46 F46 D48:D52" name="Range1"/>
    <protectedRange sqref="D25" name="Range1_1"/>
    <protectedRange sqref="D24" name="Range1_2"/>
    <protectedRange sqref="D28:D29" name="Range1_6"/>
    <protectedRange sqref="D23" name="Range1_2_1"/>
  </protectedRanges>
  <sortState xmlns:xlrd2="http://schemas.microsoft.com/office/spreadsheetml/2017/richdata2" ref="E142:E154">
    <sortCondition ref="E142"/>
  </sortState>
  <mergeCells count="28">
    <mergeCell ref="C5:F5"/>
    <mergeCell ref="C6:F6"/>
    <mergeCell ref="D13:E13"/>
    <mergeCell ref="C38:D38"/>
    <mergeCell ref="C39:D39"/>
    <mergeCell ref="C35:D35"/>
    <mergeCell ref="D19:E19"/>
    <mergeCell ref="D16:E16"/>
    <mergeCell ref="D12:E12"/>
    <mergeCell ref="D15:E15"/>
    <mergeCell ref="D17:E17"/>
    <mergeCell ref="D18:E18"/>
    <mergeCell ref="D25:E25"/>
    <mergeCell ref="D23:E23"/>
    <mergeCell ref="D22:E22"/>
    <mergeCell ref="D14:E14"/>
    <mergeCell ref="D20:E20"/>
    <mergeCell ref="D21:E21"/>
    <mergeCell ref="D48:E48"/>
    <mergeCell ref="D49:E49"/>
    <mergeCell ref="D51:E51"/>
    <mergeCell ref="D50:E50"/>
    <mergeCell ref="D143:E143"/>
    <mergeCell ref="C77:F92"/>
    <mergeCell ref="C59:D59"/>
    <mergeCell ref="C60:D60"/>
    <mergeCell ref="D24:E24"/>
    <mergeCell ref="D52:E52"/>
  </mergeCells>
  <conditionalFormatting sqref="D12:E18 E38:E43 E59 D22:E22">
    <cfRule type="containsBlanks" dxfId="18" priority="21">
      <formula>LEN(TRIM(D12))=0</formula>
    </cfRule>
  </conditionalFormatting>
  <conditionalFormatting sqref="E60">
    <cfRule type="containsBlanks" dxfId="17" priority="20">
      <formula>LEN(TRIM(E60))=0</formula>
    </cfRule>
  </conditionalFormatting>
  <conditionalFormatting sqref="D25:E25">
    <cfRule type="containsBlanks" dxfId="16" priority="18">
      <formula>LEN(TRIM(D25))=0</formula>
    </cfRule>
  </conditionalFormatting>
  <conditionalFormatting sqref="D24">
    <cfRule type="containsBlanks" dxfId="15" priority="17">
      <formula>LEN(TRIM(D24))=0</formula>
    </cfRule>
  </conditionalFormatting>
  <conditionalFormatting sqref="D28:D29">
    <cfRule type="containsBlanks" dxfId="14" priority="15">
      <formula>LEN(TRIM(D28))=0</formula>
    </cfRule>
  </conditionalFormatting>
  <conditionalFormatting sqref="D23:E23">
    <cfRule type="containsBlanks" dxfId="13" priority="14">
      <formula>LEN(TRIM(D23))=0</formula>
    </cfRule>
  </conditionalFormatting>
  <conditionalFormatting sqref="D49:E49">
    <cfRule type="containsBlanks" dxfId="12" priority="12">
      <formula>LEN(TRIM(D49))=0</formula>
    </cfRule>
  </conditionalFormatting>
  <conditionalFormatting sqref="D51:E51">
    <cfRule type="containsBlanks" dxfId="11" priority="11">
      <formula>LEN(TRIM(D51))=0</formula>
    </cfRule>
  </conditionalFormatting>
  <conditionalFormatting sqref="D50:E50">
    <cfRule type="containsBlanks" dxfId="10" priority="10">
      <formula>LEN(TRIM(D50))=0</formula>
    </cfRule>
  </conditionalFormatting>
  <conditionalFormatting sqref="D52:E52">
    <cfRule type="containsBlanks" dxfId="9" priority="9">
      <formula>LEN(TRIM(D52))=0</formula>
    </cfRule>
  </conditionalFormatting>
  <conditionalFormatting sqref="D48:E48">
    <cfRule type="containsBlanks" dxfId="8" priority="8">
      <formula>LEN(TRIM(D48))=0</formula>
    </cfRule>
  </conditionalFormatting>
  <conditionalFormatting sqref="D19:E19">
    <cfRule type="containsBlanks" dxfId="7" priority="7">
      <formula>LEN(TRIM(D19))=0</formula>
    </cfRule>
  </conditionalFormatting>
  <conditionalFormatting sqref="C77:F92">
    <cfRule type="containsBlanks" dxfId="6" priority="6">
      <formula>LEN(TRIM(C77))=0</formula>
    </cfRule>
  </conditionalFormatting>
  <conditionalFormatting sqref="E114:F121">
    <cfRule type="cellIs" dxfId="5" priority="5" operator="greaterThan">
      <formula>0</formula>
    </cfRule>
  </conditionalFormatting>
  <conditionalFormatting sqref="E112">
    <cfRule type="cellIs" dxfId="4" priority="3" operator="greaterThan">
      <formula>0</formula>
    </cfRule>
  </conditionalFormatting>
  <conditionalFormatting sqref="F112">
    <cfRule type="cellIs" dxfId="3" priority="2" operator="greaterThan">
      <formula>0</formula>
    </cfRule>
  </conditionalFormatting>
  <conditionalFormatting sqref="F127:F135">
    <cfRule type="cellIs" dxfId="2" priority="1" operator="greaterThan">
      <formula>0</formula>
    </cfRule>
  </conditionalFormatting>
  <dataValidations xWindow="742" yWindow="367" count="13">
    <dataValidation type="list" showInputMessage="1" showErrorMessage="1" prompt="&lt;select Yes / Blank&gt;" sqref="D69:D70 D67" xr:uid="{00000000-0002-0000-0100-000000000000}">
      <formula1>$E$204:$E$205</formula1>
    </dataValidation>
    <dataValidation type="list" allowBlank="1" showInputMessage="1" showErrorMessage="1" sqref="D15:E15" xr:uid="{00000000-0002-0000-0100-000001000000}">
      <formula1>"New Customer, Existing Customer"</formula1>
    </dataValidation>
    <dataValidation type="list" allowBlank="1" showInputMessage="1" showErrorMessage="1" promptTitle="Welcome Pack" prompt="Has the welcome kit been sent to the customer?" sqref="D25:E25" xr:uid="{00000000-0002-0000-0100-000002000000}">
      <formula1>"Completed, Incomplete"</formula1>
    </dataValidation>
    <dataValidation type="list" allowBlank="1" showInputMessage="1" showErrorMessage="1" sqref="D24:E24" xr:uid="{00000000-0002-0000-0100-000003000000}">
      <formula1>"Project Engineer - Please call to discuss, no further information required"</formula1>
    </dataValidation>
    <dataValidation type="list" allowBlank="1" showErrorMessage="1" promptTitle="Technology" prompt="Please select which model (s) this project is required for the project" sqref="D10" xr:uid="{00000000-0002-0000-0100-000004000000}">
      <formula1>$K$36:$K$37</formula1>
    </dataValidation>
    <dataValidation type="list" allowBlank="1" showInputMessage="1" showErrorMessage="1" sqref="D20:E20" xr:uid="{00000000-0002-0000-0100-000005000000}">
      <formula1>"IBTO, CTO"</formula1>
    </dataValidation>
    <dataValidation showErrorMessage="1" prompt="&lt;select Yes / Blank&gt;" sqref="E36" xr:uid="{00000000-0002-0000-0100-000006000000}"/>
    <dataValidation allowBlank="1" showErrorMessage="1" promptTitle="Welcome Pack" prompt="Has the customer recieved a welcome pack?" sqref="D28:D29" xr:uid="{00000000-0002-0000-0100-000007000000}"/>
    <dataValidation type="list" allowBlank="1" showInputMessage="1" showErrorMessage="1" sqref="D23:E23 D50:E50 D48:E48" xr:uid="{00000000-0002-0000-0100-000008000000}">
      <formula1>"Yes, No"</formula1>
    </dataValidation>
    <dataValidation type="list" showInputMessage="1" showErrorMessage="1" prompt="&lt;select Yes / Blank&gt;" sqref="F71:F73 D73" xr:uid="{00000000-0002-0000-0100-000009000000}">
      <formula1>$G$211:$G$215</formula1>
    </dataValidation>
    <dataValidation type="list" allowBlank="1" showInputMessage="1" showErrorMessage="1" sqref="D49:E49" xr:uid="{00000000-0002-0000-0100-00000A000000}">
      <formula1>"Rental, Lease"</formula1>
    </dataValidation>
    <dataValidation allowBlank="1" showErrorMessage="1" sqref="D13:E13 E28:E29" xr:uid="{00000000-0002-0000-0100-00000B000000}"/>
    <dataValidation type="list" showErrorMessage="1" prompt="&lt;select Yes / Blank&gt;" sqref="E35" xr:uid="{00000000-0002-0000-0100-00000C000000}">
      <formula1>$E$204:$E$205</formula1>
    </dataValidation>
  </dataValidations>
  <pageMargins left="0.74803149606299213" right="0.74803149606299213" top="0.98425196850393704" bottom="0.98425196850393704" header="0.51181102362204722" footer="0.51181102362204722"/>
  <pageSetup paperSize="9" scale="70" fitToHeight="2" orientation="portrait" r:id="rId1"/>
  <headerFooter alignWithMargins="0">
    <oddHeader>&amp;F</oddHeader>
    <oddFooter>&amp;L&amp;BMatthews Australasia Pty Ltd Confidential&amp;B&amp;C&amp;D&amp;RPage &amp;P</oddFooter>
  </headerFooter>
  <rowBreaks count="2" manualBreakCount="2">
    <brk id="56" min="1" max="6" man="1"/>
    <brk id="143" min="1" max="6" man="1"/>
  </rowBreaks>
  <ignoredErrors>
    <ignoredError sqref="D61 E28 D29" unlockedFormula="1"/>
    <ignoredError sqref="D100" evalError="1"/>
    <ignoredError sqref="N34:N36 N38:O40" evalError="1" numberStoredAsText="1"/>
    <ignoredError sqref="L17:P33 L37:P37 L34:M36 O34:P36 L38:M40 D114:D118 D119:D121 D112" numberStoredAsText="1"/>
    <ignoredError sqref="P38:P40" evalError="1" numberStoredAsText="1" formula="1"/>
  </ignoredError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5" tint="0.39997558519241921"/>
  </sheetPr>
  <dimension ref="B4:AO270"/>
  <sheetViews>
    <sheetView showGridLines="0" showRowColHeaders="0" zoomScaleNormal="100" workbookViewId="0">
      <selection activeCell="E38" sqref="E38"/>
    </sheetView>
  </sheetViews>
  <sheetFormatPr defaultColWidth="9.140625" defaultRowHeight="12.75"/>
  <cols>
    <col min="1" max="1" width="9.140625" style="112"/>
    <col min="2" max="2" width="6.5703125" style="112" customWidth="1"/>
    <col min="3" max="4" width="9.140625" style="112"/>
    <col min="5" max="26" width="4.28515625" style="112" customWidth="1"/>
    <col min="27" max="16384" width="9.140625" style="112"/>
  </cols>
  <sheetData>
    <row r="4" spans="2:27">
      <c r="B4" s="276"/>
      <c r="C4" s="276"/>
      <c r="D4" s="276"/>
      <c r="E4" s="276"/>
      <c r="F4" s="276"/>
      <c r="G4" s="276"/>
      <c r="H4" s="276"/>
      <c r="I4" s="276"/>
      <c r="J4" s="276"/>
      <c r="K4" s="276"/>
      <c r="L4" s="276"/>
      <c r="M4" s="276"/>
      <c r="N4" s="276"/>
      <c r="O4" s="276"/>
      <c r="P4" s="276"/>
      <c r="Q4" s="276"/>
      <c r="R4" s="276"/>
      <c r="S4" s="276"/>
      <c r="T4" s="276"/>
      <c r="U4" s="276"/>
      <c r="V4" s="276"/>
      <c r="W4" s="276"/>
      <c r="X4" s="276"/>
      <c r="Y4" s="276"/>
      <c r="Z4" s="276"/>
      <c r="AA4" s="276"/>
    </row>
    <row r="5" spans="2:27" ht="26.25">
      <c r="B5" s="276"/>
      <c r="C5" s="275" t="s">
        <v>278</v>
      </c>
      <c r="D5" s="276"/>
      <c r="E5" s="276"/>
      <c r="F5" s="276"/>
      <c r="G5" s="276"/>
      <c r="H5" s="276"/>
      <c r="I5" s="276"/>
      <c r="J5" s="276"/>
      <c r="K5" s="276"/>
      <c r="L5" s="276"/>
      <c r="M5" s="276"/>
      <c r="N5" s="276"/>
      <c r="O5" s="276"/>
      <c r="P5" s="276"/>
      <c r="Q5" s="276"/>
      <c r="R5" s="276"/>
      <c r="S5" s="276"/>
      <c r="T5" s="276"/>
      <c r="U5" s="276"/>
      <c r="V5" s="276"/>
      <c r="W5" s="276"/>
      <c r="X5" s="276"/>
      <c r="Y5" s="276"/>
      <c r="Z5" s="276"/>
      <c r="AA5" s="276"/>
    </row>
    <row r="6" spans="2:27">
      <c r="B6" s="276"/>
      <c r="C6" s="277" t="s">
        <v>146</v>
      </c>
      <c r="D6" s="276"/>
      <c r="E6" s="276"/>
      <c r="F6" s="276"/>
      <c r="G6" s="276"/>
      <c r="H6" s="276"/>
      <c r="I6" s="276"/>
      <c r="J6" s="276"/>
      <c r="K6" s="276"/>
      <c r="L6" s="276"/>
      <c r="M6" s="276"/>
      <c r="N6" s="276"/>
      <c r="O6" s="276"/>
      <c r="P6" s="276"/>
      <c r="Q6" s="276"/>
      <c r="R6" s="276"/>
      <c r="S6" s="276"/>
      <c r="T6" s="276"/>
      <c r="U6" s="276"/>
      <c r="V6" s="276"/>
      <c r="W6" s="276"/>
      <c r="X6" s="276"/>
      <c r="Y6" s="276"/>
      <c r="Z6" s="276"/>
      <c r="AA6" s="276"/>
    </row>
    <row r="7" spans="2:27">
      <c r="B7" s="276"/>
      <c r="C7" s="276"/>
      <c r="D7" s="278"/>
      <c r="E7" s="276"/>
      <c r="F7" s="276"/>
      <c r="G7" s="276"/>
      <c r="H7" s="276"/>
      <c r="I7" s="276"/>
      <c r="J7" s="276"/>
      <c r="K7" s="276"/>
      <c r="L7" s="276"/>
      <c r="M7" s="276"/>
      <c r="N7" s="276"/>
      <c r="O7" s="276"/>
      <c r="P7" s="276"/>
      <c r="Q7" s="276"/>
      <c r="R7" s="276"/>
      <c r="S7" s="276"/>
      <c r="T7" s="276"/>
      <c r="U7" s="276"/>
      <c r="V7" s="276"/>
      <c r="W7" s="276"/>
      <c r="X7" s="276"/>
      <c r="Y7" s="276"/>
      <c r="Z7" s="276"/>
      <c r="AA7" s="276"/>
    </row>
    <row r="8" spans="2:27">
      <c r="B8" s="276"/>
      <c r="C8" s="276"/>
      <c r="D8" s="278"/>
      <c r="E8" s="276"/>
      <c r="F8" s="276"/>
      <c r="G8" s="276"/>
      <c r="H8" s="276"/>
      <c r="I8" s="276"/>
      <c r="J8" s="276"/>
      <c r="K8" s="276"/>
      <c r="L8" s="276"/>
      <c r="M8" s="276"/>
      <c r="N8" s="276"/>
      <c r="O8" s="276"/>
      <c r="P8" s="276"/>
      <c r="Q8" s="276"/>
      <c r="R8" s="276"/>
      <c r="S8" s="276"/>
      <c r="T8" s="276"/>
      <c r="U8" s="276"/>
      <c r="V8" s="276"/>
      <c r="W8" s="276"/>
      <c r="X8" s="276"/>
      <c r="Y8" s="276"/>
      <c r="Z8" s="276"/>
      <c r="AA8" s="276"/>
    </row>
    <row r="9" spans="2:27" ht="15">
      <c r="B9" s="276"/>
      <c r="C9" s="276"/>
      <c r="D9" s="279" t="s">
        <v>147</v>
      </c>
      <c r="E9" s="280"/>
      <c r="F9" s="280"/>
      <c r="G9" s="280"/>
      <c r="H9" s="280"/>
      <c r="I9" s="280"/>
      <c r="J9" s="280"/>
      <c r="K9" s="280"/>
      <c r="L9" s="280"/>
      <c r="M9" s="280"/>
      <c r="N9" s="280"/>
      <c r="O9" s="280"/>
      <c r="P9" s="280"/>
      <c r="Q9" s="280"/>
      <c r="R9" s="280"/>
      <c r="S9" s="280"/>
      <c r="T9" s="280"/>
      <c r="U9" s="280"/>
      <c r="V9" s="280"/>
      <c r="W9" s="280"/>
      <c r="X9" s="280"/>
      <c r="Y9" s="280"/>
      <c r="Z9" s="280"/>
      <c r="AA9" s="276"/>
    </row>
    <row r="10" spans="2:27">
      <c r="B10" s="276"/>
      <c r="C10" s="276"/>
      <c r="D10" s="278"/>
      <c r="E10" s="276"/>
      <c r="F10" s="276"/>
      <c r="G10" s="276"/>
      <c r="H10" s="276"/>
      <c r="I10" s="276"/>
      <c r="J10" s="276"/>
      <c r="K10" s="276"/>
      <c r="L10" s="276"/>
      <c r="M10" s="276"/>
      <c r="N10" s="276"/>
      <c r="O10" s="276"/>
      <c r="P10" s="276"/>
      <c r="Q10" s="276"/>
      <c r="R10" s="276"/>
      <c r="S10" s="276"/>
      <c r="T10" s="276"/>
      <c r="U10" s="276"/>
      <c r="V10" s="276"/>
      <c r="W10" s="276"/>
      <c r="X10" s="276"/>
      <c r="Y10" s="276"/>
      <c r="Z10" s="276"/>
      <c r="AA10" s="276"/>
    </row>
    <row r="11" spans="2:27">
      <c r="B11" s="276"/>
      <c r="C11" s="276"/>
      <c r="D11" s="278"/>
      <c r="E11" s="281" t="s">
        <v>148</v>
      </c>
      <c r="F11" s="281"/>
      <c r="G11" s="281"/>
      <c r="H11" s="281"/>
      <c r="I11" s="281"/>
      <c r="J11" s="281"/>
      <c r="K11" s="281"/>
      <c r="L11" s="276"/>
      <c r="M11" s="276"/>
      <c r="N11" s="276"/>
      <c r="O11" s="276"/>
      <c r="P11" s="282"/>
      <c r="Q11" s="282"/>
      <c r="R11" s="282"/>
      <c r="S11" s="282"/>
      <c r="T11" s="282"/>
      <c r="U11" s="282"/>
      <c r="V11" s="282"/>
      <c r="W11" s="282"/>
      <c r="X11" s="282"/>
      <c r="Y11" s="276"/>
      <c r="Z11" s="276"/>
      <c r="AA11" s="276"/>
    </row>
    <row r="12" spans="2:27">
      <c r="B12" s="276"/>
      <c r="C12" s="276"/>
      <c r="D12" s="278"/>
      <c r="E12" s="276"/>
      <c r="F12" s="276"/>
      <c r="G12" s="276"/>
      <c r="H12" s="276"/>
      <c r="I12" s="276"/>
      <c r="J12" s="276"/>
      <c r="K12" s="276"/>
      <c r="L12" s="276"/>
      <c r="M12" s="276"/>
      <c r="N12" s="276"/>
      <c r="O12" s="276"/>
      <c r="P12" s="282"/>
      <c r="Q12" s="282"/>
      <c r="R12" s="282"/>
      <c r="S12" s="282"/>
      <c r="T12" s="282"/>
      <c r="U12" s="282"/>
      <c r="V12" s="276"/>
      <c r="W12" s="282"/>
      <c r="X12" s="282"/>
      <c r="Y12" s="276"/>
      <c r="Z12" s="276"/>
      <c r="AA12" s="276"/>
    </row>
    <row r="13" spans="2:27">
      <c r="B13" s="276"/>
      <c r="C13" s="276"/>
      <c r="D13" s="278"/>
      <c r="E13" s="276"/>
      <c r="F13" s="276"/>
      <c r="G13" s="276"/>
      <c r="H13" s="276"/>
      <c r="I13" s="276"/>
      <c r="J13" s="276"/>
      <c r="K13" s="276"/>
      <c r="L13" s="283" t="s">
        <v>149</v>
      </c>
      <c r="M13" s="284"/>
      <c r="N13" s="276"/>
      <c r="O13" s="276"/>
      <c r="P13" s="285"/>
      <c r="Q13" s="283" t="s">
        <v>150</v>
      </c>
      <c r="R13" s="284"/>
      <c r="S13" s="276"/>
      <c r="T13" s="282"/>
      <c r="U13" s="282"/>
      <c r="V13" s="283" t="s">
        <v>151</v>
      </c>
      <c r="W13" s="284"/>
      <c r="X13" s="282"/>
      <c r="Y13" s="276"/>
      <c r="Z13" s="276"/>
      <c r="AA13" s="276"/>
    </row>
    <row r="14" spans="2:27">
      <c r="B14" s="276"/>
      <c r="C14" s="276"/>
      <c r="D14" s="278"/>
      <c r="E14" s="276"/>
      <c r="F14" s="276"/>
      <c r="G14" s="276"/>
      <c r="H14" s="276"/>
      <c r="I14" s="276"/>
      <c r="J14" s="276"/>
      <c r="K14" s="276"/>
      <c r="L14" s="276"/>
      <c r="M14" s="276"/>
      <c r="N14" s="276"/>
      <c r="O14" s="276"/>
      <c r="P14" s="276"/>
      <c r="Q14" s="276"/>
      <c r="R14" s="276"/>
      <c r="S14" s="276"/>
      <c r="T14" s="276"/>
      <c r="U14" s="276"/>
      <c r="V14" s="276"/>
      <c r="W14" s="276"/>
      <c r="X14" s="276"/>
      <c r="Y14" s="276"/>
      <c r="Z14" s="276"/>
      <c r="AA14" s="276"/>
    </row>
    <row r="15" spans="2:27">
      <c r="B15" s="276"/>
      <c r="C15" s="276"/>
      <c r="D15" s="278"/>
      <c r="E15" s="276"/>
      <c r="F15" s="276"/>
      <c r="G15" s="276"/>
      <c r="H15" s="276"/>
      <c r="I15" s="276"/>
      <c r="J15" s="276"/>
      <c r="K15" s="276"/>
      <c r="L15" s="283" t="s">
        <v>152</v>
      </c>
      <c r="M15" s="284"/>
      <c r="N15" s="276"/>
      <c r="O15" s="276"/>
      <c r="P15" s="285"/>
      <c r="Q15" s="283" t="s">
        <v>153</v>
      </c>
      <c r="R15" s="284"/>
      <c r="S15" s="276"/>
      <c r="T15" s="282"/>
      <c r="U15" s="282"/>
      <c r="V15" s="283" t="s">
        <v>154</v>
      </c>
      <c r="W15" s="284"/>
      <c r="X15" s="282"/>
      <c r="Y15" s="276"/>
      <c r="Z15" s="276"/>
      <c r="AA15" s="276"/>
    </row>
    <row r="16" spans="2:27">
      <c r="B16" s="276"/>
      <c r="C16" s="276"/>
      <c r="D16" s="278"/>
      <c r="E16" s="276"/>
      <c r="F16" s="276"/>
      <c r="G16" s="276"/>
      <c r="H16" s="276"/>
      <c r="I16" s="276"/>
      <c r="J16" s="276"/>
      <c r="K16" s="276"/>
      <c r="L16" s="283"/>
      <c r="M16" s="286"/>
      <c r="N16" s="276"/>
      <c r="O16" s="276"/>
      <c r="P16" s="285"/>
      <c r="Q16" s="283"/>
      <c r="R16" s="286"/>
      <c r="S16" s="276"/>
      <c r="T16" s="282"/>
      <c r="U16" s="282"/>
      <c r="V16" s="283"/>
      <c r="W16" s="286"/>
      <c r="X16" s="282"/>
      <c r="Y16" s="276"/>
      <c r="Z16" s="276"/>
      <c r="AA16" s="276"/>
    </row>
    <row r="17" spans="2:41">
      <c r="B17" s="276"/>
      <c r="C17" s="276"/>
      <c r="D17" s="278"/>
      <c r="E17" s="281"/>
      <c r="F17" s="281"/>
      <c r="G17" s="281"/>
      <c r="H17" s="281"/>
      <c r="I17" s="281"/>
      <c r="J17" s="281"/>
      <c r="K17" s="281"/>
      <c r="L17" s="283" t="s">
        <v>155</v>
      </c>
      <c r="M17" s="284"/>
      <c r="N17" s="282"/>
      <c r="O17" s="282"/>
      <c r="P17" s="282"/>
      <c r="Q17" s="282"/>
      <c r="R17" s="282"/>
      <c r="S17" s="282"/>
      <c r="T17" s="282"/>
      <c r="U17" s="282"/>
      <c r="V17" s="282"/>
      <c r="W17" s="282"/>
      <c r="X17" s="282"/>
      <c r="Y17" s="276"/>
      <c r="Z17" s="276"/>
      <c r="AA17" s="276"/>
    </row>
    <row r="18" spans="2:41">
      <c r="B18" s="276"/>
      <c r="C18" s="276"/>
      <c r="D18" s="278"/>
      <c r="E18" s="276"/>
      <c r="F18" s="276"/>
      <c r="G18" s="276"/>
      <c r="H18" s="276"/>
      <c r="I18" s="276"/>
      <c r="J18" s="276"/>
      <c r="K18" s="276"/>
      <c r="L18" s="276"/>
      <c r="M18" s="276"/>
      <c r="N18" s="276"/>
      <c r="O18" s="276"/>
      <c r="P18" s="276"/>
      <c r="Q18" s="276"/>
      <c r="R18" s="276"/>
      <c r="S18" s="276"/>
      <c r="T18" s="276"/>
      <c r="U18" s="276"/>
      <c r="V18" s="276"/>
      <c r="W18" s="276"/>
      <c r="X18" s="276"/>
      <c r="Y18" s="276"/>
      <c r="Z18" s="276"/>
      <c r="AA18" s="276"/>
    </row>
    <row r="19" spans="2:41">
      <c r="B19" s="276"/>
      <c r="C19" s="276"/>
      <c r="D19" s="278"/>
      <c r="E19" s="281" t="s">
        <v>156</v>
      </c>
      <c r="F19" s="276"/>
      <c r="G19" s="276"/>
      <c r="H19" s="276"/>
      <c r="I19" s="276"/>
      <c r="J19" s="276"/>
      <c r="K19" s="276"/>
      <c r="L19" s="276"/>
      <c r="M19" s="276"/>
      <c r="N19" s="276"/>
      <c r="O19" s="276"/>
      <c r="P19" s="276"/>
      <c r="Q19" s="1575"/>
      <c r="R19" s="1575"/>
      <c r="S19" s="1575"/>
      <c r="T19" s="1575"/>
      <c r="U19" s="276"/>
      <c r="V19" s="276"/>
      <c r="W19" s="276"/>
      <c r="X19" s="276"/>
      <c r="Y19" s="276"/>
      <c r="Z19" s="276"/>
      <c r="AA19" s="276"/>
    </row>
    <row r="20" spans="2:41">
      <c r="B20" s="276"/>
      <c r="C20" s="276"/>
      <c r="D20" s="278"/>
      <c r="E20" s="278" t="s">
        <v>157</v>
      </c>
      <c r="F20" s="276"/>
      <c r="G20" s="276"/>
      <c r="H20" s="276"/>
      <c r="I20" s="276"/>
      <c r="J20" s="276"/>
      <c r="K20" s="276"/>
      <c r="L20" s="276"/>
      <c r="M20" s="276"/>
      <c r="N20" s="276"/>
      <c r="O20" s="276"/>
      <c r="P20" s="276"/>
      <c r="Q20" s="276"/>
      <c r="R20" s="276"/>
      <c r="S20" s="276"/>
      <c r="T20" s="276"/>
      <c r="U20" s="276"/>
      <c r="V20" s="276"/>
      <c r="W20" s="276"/>
      <c r="X20" s="276"/>
      <c r="Y20" s="276"/>
      <c r="Z20" s="276"/>
      <c r="AA20" s="276"/>
    </row>
    <row r="21" spans="2:41">
      <c r="B21" s="276"/>
      <c r="C21" s="276"/>
      <c r="D21" s="278"/>
      <c r="E21" s="281"/>
      <c r="F21" s="276"/>
      <c r="G21" s="276"/>
      <c r="H21" s="276"/>
      <c r="I21" s="276"/>
      <c r="J21" s="276"/>
      <c r="K21" s="276"/>
      <c r="L21" s="276"/>
      <c r="M21" s="276"/>
      <c r="N21" s="276"/>
      <c r="O21" s="276"/>
      <c r="P21" s="276"/>
      <c r="Q21" s="276"/>
      <c r="R21" s="276"/>
      <c r="S21" s="276"/>
      <c r="T21" s="276"/>
      <c r="U21" s="276"/>
      <c r="V21" s="276"/>
      <c r="W21" s="276"/>
      <c r="X21" s="276"/>
      <c r="Y21" s="276"/>
      <c r="Z21" s="276"/>
      <c r="AA21" s="276"/>
    </row>
    <row r="22" spans="2:41">
      <c r="B22" s="276"/>
      <c r="C22" s="276"/>
      <c r="D22" s="278"/>
      <c r="E22" s="281" t="s">
        <v>158</v>
      </c>
      <c r="F22" s="281"/>
      <c r="G22" s="281"/>
      <c r="H22" s="281"/>
      <c r="I22" s="281"/>
      <c r="J22" s="281"/>
      <c r="K22" s="281"/>
      <c r="L22" s="1575"/>
      <c r="M22" s="1575"/>
      <c r="N22" s="1575"/>
      <c r="O22" s="1575"/>
      <c r="P22" s="1575"/>
      <c r="Q22" s="1575"/>
      <c r="R22" s="1575"/>
      <c r="S22" s="1575"/>
      <c r="T22" s="1575"/>
      <c r="U22" s="276"/>
      <c r="V22" s="276"/>
      <c r="W22" s="276"/>
      <c r="X22" s="276"/>
      <c r="Y22" s="276"/>
      <c r="Z22" s="276"/>
      <c r="AA22" s="276"/>
    </row>
    <row r="23" spans="2:41">
      <c r="B23" s="276"/>
      <c r="C23" s="276"/>
      <c r="D23" s="278"/>
      <c r="E23" s="281"/>
      <c r="F23" s="276"/>
      <c r="G23" s="276"/>
      <c r="H23" s="276"/>
      <c r="I23" s="276"/>
      <c r="J23" s="276"/>
      <c r="K23" s="276"/>
      <c r="L23" s="276"/>
      <c r="M23" s="276"/>
      <c r="N23" s="276"/>
      <c r="O23" s="276"/>
      <c r="P23" s="276"/>
      <c r="Q23" s="276"/>
      <c r="R23" s="276"/>
      <c r="S23" s="276"/>
      <c r="T23" s="276"/>
      <c r="U23" s="276"/>
      <c r="V23" s="276"/>
      <c r="W23" s="276"/>
      <c r="X23" s="276"/>
      <c r="Y23" s="276"/>
      <c r="Z23" s="276"/>
      <c r="AA23" s="276"/>
    </row>
    <row r="24" spans="2:41">
      <c r="B24" s="276"/>
      <c r="C24" s="276"/>
      <c r="D24" s="278"/>
      <c r="E24" s="281" t="s">
        <v>159</v>
      </c>
      <c r="F24" s="276"/>
      <c r="G24" s="276"/>
      <c r="H24" s="276"/>
      <c r="I24" s="276"/>
      <c r="J24" s="276"/>
      <c r="K24" s="276"/>
      <c r="L24" s="276"/>
      <c r="M24" s="276"/>
      <c r="N24" s="276"/>
      <c r="O24" s="276"/>
      <c r="P24" s="276"/>
      <c r="Q24" s="276"/>
      <c r="R24" s="276"/>
      <c r="S24" s="276"/>
      <c r="T24" s="276"/>
      <c r="U24" s="276"/>
      <c r="V24" s="276"/>
      <c r="W24" s="276"/>
      <c r="X24" s="276"/>
      <c r="Y24" s="276"/>
      <c r="Z24" s="276"/>
      <c r="AA24" s="276"/>
    </row>
    <row r="25" spans="2:41">
      <c r="B25" s="276"/>
      <c r="C25" s="276"/>
      <c r="D25" s="278"/>
      <c r="E25" s="281"/>
      <c r="F25" s="276"/>
      <c r="G25" s="276"/>
      <c r="H25" s="276"/>
      <c r="I25" s="276"/>
      <c r="J25" s="276"/>
      <c r="K25" s="276"/>
      <c r="L25" s="276"/>
      <c r="M25" s="276"/>
      <c r="N25" s="276"/>
      <c r="O25" s="276"/>
      <c r="P25" s="276"/>
      <c r="Q25" s="276"/>
      <c r="R25" s="276"/>
      <c r="S25" s="276"/>
      <c r="T25" s="276"/>
      <c r="U25" s="276"/>
      <c r="V25" s="276"/>
      <c r="W25" s="276"/>
      <c r="X25" s="276"/>
      <c r="Y25" s="276"/>
      <c r="Z25" s="276"/>
      <c r="AA25" s="276"/>
    </row>
    <row r="26" spans="2:41">
      <c r="B26" s="276"/>
      <c r="C26" s="276"/>
      <c r="D26" s="278"/>
      <c r="E26" s="281"/>
      <c r="F26" s="1577"/>
      <c r="G26" s="1578"/>
      <c r="H26" s="1578"/>
      <c r="I26" s="1578"/>
      <c r="J26" s="1578"/>
      <c r="K26" s="1578"/>
      <c r="L26" s="1578"/>
      <c r="M26" s="1578"/>
      <c r="N26" s="1578"/>
      <c r="O26" s="1578"/>
      <c r="P26" s="1578"/>
      <c r="Q26" s="1578"/>
      <c r="R26" s="1578"/>
      <c r="S26" s="1578"/>
      <c r="T26" s="1578"/>
      <c r="U26" s="1578"/>
      <c r="V26" s="1578"/>
      <c r="W26" s="1579"/>
      <c r="X26" s="276"/>
      <c r="Y26" s="276"/>
      <c r="Z26" s="276"/>
      <c r="AA26" s="276"/>
    </row>
    <row r="27" spans="2:41">
      <c r="B27" s="276"/>
      <c r="C27" s="276"/>
      <c r="D27" s="278"/>
      <c r="E27" s="281"/>
      <c r="F27" s="1580"/>
      <c r="G27" s="1581"/>
      <c r="H27" s="1581"/>
      <c r="I27" s="1581"/>
      <c r="J27" s="1581"/>
      <c r="K27" s="1581"/>
      <c r="L27" s="1581"/>
      <c r="M27" s="1581"/>
      <c r="N27" s="1581"/>
      <c r="O27" s="1581"/>
      <c r="P27" s="1581"/>
      <c r="Q27" s="1581"/>
      <c r="R27" s="1581"/>
      <c r="S27" s="1581"/>
      <c r="T27" s="1581"/>
      <c r="U27" s="1581"/>
      <c r="V27" s="1581"/>
      <c r="W27" s="1582"/>
      <c r="X27" s="276"/>
      <c r="Y27" s="276"/>
      <c r="Z27" s="276"/>
      <c r="AA27" s="276"/>
    </row>
    <row r="28" spans="2:41">
      <c r="B28" s="276"/>
      <c r="C28" s="276"/>
      <c r="D28" s="278"/>
      <c r="E28" s="281"/>
      <c r="F28" s="1580"/>
      <c r="G28" s="1581"/>
      <c r="H28" s="1581"/>
      <c r="I28" s="1581"/>
      <c r="J28" s="1581"/>
      <c r="K28" s="1581"/>
      <c r="L28" s="1581"/>
      <c r="M28" s="1581"/>
      <c r="N28" s="1581"/>
      <c r="O28" s="1581"/>
      <c r="P28" s="1581"/>
      <c r="Q28" s="1581"/>
      <c r="R28" s="1581"/>
      <c r="S28" s="1581"/>
      <c r="T28" s="1581"/>
      <c r="U28" s="1581"/>
      <c r="V28" s="1581"/>
      <c r="W28" s="1582"/>
      <c r="X28" s="276"/>
      <c r="Y28" s="276"/>
      <c r="Z28" s="276"/>
      <c r="AA28" s="276"/>
    </row>
    <row r="29" spans="2:41">
      <c r="B29" s="276"/>
      <c r="C29" s="276"/>
      <c r="D29" s="278"/>
      <c r="E29" s="281"/>
      <c r="F29" s="1580"/>
      <c r="G29" s="1581"/>
      <c r="H29" s="1581"/>
      <c r="I29" s="1581"/>
      <c r="J29" s="1581"/>
      <c r="K29" s="1581"/>
      <c r="L29" s="1581"/>
      <c r="M29" s="1581"/>
      <c r="N29" s="1581"/>
      <c r="O29" s="1581"/>
      <c r="P29" s="1581"/>
      <c r="Q29" s="1581"/>
      <c r="R29" s="1581"/>
      <c r="S29" s="1581"/>
      <c r="T29" s="1581"/>
      <c r="U29" s="1581"/>
      <c r="V29" s="1581"/>
      <c r="W29" s="1582"/>
      <c r="X29" s="276"/>
      <c r="Y29" s="276"/>
      <c r="Z29" s="276"/>
      <c r="AA29" s="276"/>
    </row>
    <row r="30" spans="2:41">
      <c r="B30" s="276"/>
      <c r="C30" s="276"/>
      <c r="D30" s="278"/>
      <c r="E30" s="281"/>
      <c r="F30" s="1580"/>
      <c r="G30" s="1581"/>
      <c r="H30" s="1581"/>
      <c r="I30" s="1581"/>
      <c r="J30" s="1581"/>
      <c r="K30" s="1581"/>
      <c r="L30" s="1581"/>
      <c r="M30" s="1581"/>
      <c r="N30" s="1581"/>
      <c r="O30" s="1581"/>
      <c r="P30" s="1581"/>
      <c r="Q30" s="1581"/>
      <c r="R30" s="1581"/>
      <c r="S30" s="1581"/>
      <c r="T30" s="1581"/>
      <c r="U30" s="1581"/>
      <c r="V30" s="1581"/>
      <c r="W30" s="1582"/>
      <c r="X30" s="276"/>
      <c r="Y30" s="276"/>
      <c r="Z30" s="276"/>
      <c r="AA30" s="276"/>
    </row>
    <row r="31" spans="2:41">
      <c r="B31" s="276"/>
      <c r="C31" s="276"/>
      <c r="D31" s="278"/>
      <c r="E31" s="276"/>
      <c r="F31" s="1583"/>
      <c r="G31" s="1584"/>
      <c r="H31" s="1584"/>
      <c r="I31" s="1584"/>
      <c r="J31" s="1584"/>
      <c r="K31" s="1584"/>
      <c r="L31" s="1584"/>
      <c r="M31" s="1584"/>
      <c r="N31" s="1584"/>
      <c r="O31" s="1584"/>
      <c r="P31" s="1584"/>
      <c r="Q31" s="1584"/>
      <c r="R31" s="1584"/>
      <c r="S31" s="1584"/>
      <c r="T31" s="1584"/>
      <c r="U31" s="1584"/>
      <c r="V31" s="1584"/>
      <c r="W31" s="1585"/>
      <c r="X31" s="276"/>
      <c r="Y31" s="276"/>
      <c r="Z31" s="276"/>
      <c r="AA31" s="276"/>
    </row>
    <row r="32" spans="2:41">
      <c r="B32" s="276"/>
      <c r="C32" s="276"/>
      <c r="D32" s="278"/>
      <c r="E32" s="281"/>
      <c r="F32" s="281"/>
      <c r="G32" s="281"/>
      <c r="H32" s="281"/>
      <c r="I32" s="281"/>
      <c r="J32" s="281"/>
      <c r="K32" s="281"/>
      <c r="L32" s="282"/>
      <c r="M32" s="282"/>
      <c r="N32" s="282"/>
      <c r="O32" s="282"/>
      <c r="P32" s="282"/>
      <c r="Q32" s="282"/>
      <c r="R32" s="282"/>
      <c r="S32" s="282"/>
      <c r="T32" s="282"/>
      <c r="U32" s="276"/>
      <c r="V32" s="289"/>
      <c r="W32" s="276"/>
      <c r="X32" s="276"/>
      <c r="Y32" s="276"/>
      <c r="Z32" s="276"/>
      <c r="AA32" s="276"/>
      <c r="AI32" s="273"/>
      <c r="AJ32" s="273"/>
      <c r="AK32" s="273"/>
      <c r="AL32" s="273"/>
      <c r="AM32" s="273"/>
      <c r="AN32" s="273"/>
      <c r="AO32" s="273"/>
    </row>
    <row r="33" spans="2:41">
      <c r="B33" s="276"/>
      <c r="C33" s="276"/>
      <c r="D33" s="278"/>
      <c r="E33" s="281"/>
      <c r="F33" s="281"/>
      <c r="G33" s="281"/>
      <c r="H33" s="281"/>
      <c r="I33" s="281"/>
      <c r="J33" s="281"/>
      <c r="K33" s="281"/>
      <c r="L33" s="282"/>
      <c r="M33" s="282"/>
      <c r="N33" s="282"/>
      <c r="O33" s="282"/>
      <c r="P33" s="282"/>
      <c r="Q33" s="282"/>
      <c r="R33" s="282"/>
      <c r="S33" s="282"/>
      <c r="T33" s="282"/>
      <c r="U33" s="276"/>
      <c r="V33" s="289"/>
      <c r="W33" s="276"/>
      <c r="X33" s="276"/>
      <c r="Y33" s="276"/>
      <c r="Z33" s="276"/>
      <c r="AA33" s="276"/>
      <c r="AI33" s="273"/>
      <c r="AJ33" s="273"/>
      <c r="AK33" s="273"/>
      <c r="AL33" s="273"/>
      <c r="AM33" s="273"/>
      <c r="AN33" s="273"/>
      <c r="AO33" s="273"/>
    </row>
    <row r="34" spans="2:41" ht="15">
      <c r="B34" s="276"/>
      <c r="C34" s="276"/>
      <c r="D34" s="279" t="s">
        <v>160</v>
      </c>
      <c r="E34" s="287"/>
      <c r="F34" s="287"/>
      <c r="G34" s="287"/>
      <c r="H34" s="287"/>
      <c r="I34" s="287"/>
      <c r="J34" s="287"/>
      <c r="K34" s="287"/>
      <c r="L34" s="287"/>
      <c r="M34" s="287"/>
      <c r="N34" s="287"/>
      <c r="O34" s="287"/>
      <c r="P34" s="287"/>
      <c r="Q34" s="287"/>
      <c r="R34" s="287"/>
      <c r="S34" s="287"/>
      <c r="T34" s="287"/>
      <c r="U34" s="280"/>
      <c r="V34" s="290"/>
      <c r="W34" s="280"/>
      <c r="X34" s="280"/>
      <c r="Y34" s="280"/>
      <c r="Z34" s="280"/>
      <c r="AA34" s="276"/>
      <c r="AJ34" s="273"/>
      <c r="AK34" s="273"/>
      <c r="AL34" s="273"/>
      <c r="AM34" s="273"/>
      <c r="AN34" s="273"/>
      <c r="AO34" s="273"/>
    </row>
    <row r="35" spans="2:41" ht="15">
      <c r="B35" s="276"/>
      <c r="C35" s="276"/>
      <c r="D35" s="291"/>
      <c r="E35" s="281"/>
      <c r="F35" s="281"/>
      <c r="G35" s="281"/>
      <c r="H35" s="281"/>
      <c r="I35" s="281"/>
      <c r="J35" s="281"/>
      <c r="K35" s="281"/>
      <c r="L35" s="282"/>
      <c r="M35" s="282"/>
      <c r="N35" s="282"/>
      <c r="O35" s="282"/>
      <c r="P35" s="282"/>
      <c r="Q35" s="282"/>
      <c r="R35" s="282"/>
      <c r="S35" s="282"/>
      <c r="T35" s="282"/>
      <c r="U35" s="276"/>
      <c r="V35" s="289"/>
      <c r="W35" s="276"/>
      <c r="X35" s="276"/>
      <c r="Y35" s="276"/>
      <c r="Z35" s="276"/>
      <c r="AA35" s="276"/>
      <c r="AI35" s="273"/>
      <c r="AJ35" s="273"/>
      <c r="AK35" s="273"/>
      <c r="AL35" s="273"/>
      <c r="AM35" s="273"/>
      <c r="AN35" s="273"/>
      <c r="AO35" s="273"/>
    </row>
    <row r="36" spans="2:41">
      <c r="B36" s="276"/>
      <c r="C36" s="276"/>
      <c r="D36" s="278"/>
      <c r="E36" s="281" t="s">
        <v>161</v>
      </c>
      <c r="F36" s="281"/>
      <c r="G36" s="281"/>
      <c r="H36" s="281"/>
      <c r="I36" s="281"/>
      <c r="J36" s="281"/>
      <c r="K36" s="281"/>
      <c r="L36" s="276"/>
      <c r="M36" s="276"/>
      <c r="N36" s="292" t="s">
        <v>281</v>
      </c>
      <c r="O36" s="284"/>
      <c r="P36" s="276"/>
      <c r="Q36" s="292" t="s">
        <v>282</v>
      </c>
      <c r="R36" s="284"/>
      <c r="S36" s="276"/>
      <c r="T36" s="292" t="s">
        <v>283</v>
      </c>
      <c r="U36" s="284"/>
      <c r="V36" s="276"/>
      <c r="W36" s="292" t="s">
        <v>154</v>
      </c>
      <c r="X36" s="284"/>
      <c r="Y36" s="276"/>
      <c r="Z36" s="282"/>
      <c r="AA36" s="276"/>
      <c r="AI36" s="273"/>
      <c r="AJ36" s="273"/>
      <c r="AK36" s="273"/>
      <c r="AL36" s="273"/>
      <c r="AM36" s="273"/>
      <c r="AN36" s="273"/>
      <c r="AO36" s="273"/>
    </row>
    <row r="37" spans="2:41">
      <c r="B37" s="276"/>
      <c r="C37" s="276"/>
      <c r="D37" s="278"/>
      <c r="E37" s="281"/>
      <c r="F37" s="281"/>
      <c r="G37" s="276"/>
      <c r="H37" s="281"/>
      <c r="I37" s="281"/>
      <c r="J37" s="281"/>
      <c r="K37" s="281"/>
      <c r="L37" s="276"/>
      <c r="M37" s="276"/>
      <c r="N37" s="276"/>
      <c r="O37" s="282"/>
      <c r="P37" s="276"/>
      <c r="Q37" s="282"/>
      <c r="R37" s="282"/>
      <c r="S37" s="282"/>
      <c r="T37" s="282"/>
      <c r="U37" s="282"/>
      <c r="V37" s="282"/>
      <c r="W37" s="276"/>
      <c r="X37" s="289"/>
      <c r="Y37" s="276"/>
      <c r="Z37" s="276"/>
      <c r="AA37" s="276"/>
      <c r="AI37" s="273"/>
      <c r="AJ37" s="273"/>
      <c r="AK37" s="273"/>
      <c r="AL37" s="273"/>
      <c r="AM37" s="273"/>
      <c r="AN37" s="273"/>
      <c r="AO37" s="273"/>
    </row>
    <row r="38" spans="2:41">
      <c r="B38" s="276"/>
      <c r="C38" s="276"/>
      <c r="D38" s="278"/>
      <c r="E38" s="281"/>
      <c r="F38" s="281"/>
      <c r="G38" s="276"/>
      <c r="H38" s="281"/>
      <c r="I38" s="281"/>
      <c r="J38" s="281"/>
      <c r="K38" s="281"/>
      <c r="L38" s="276"/>
      <c r="M38" s="276"/>
      <c r="N38" s="292" t="s">
        <v>280</v>
      </c>
      <c r="O38" s="284"/>
      <c r="P38" s="276"/>
      <c r="Q38" s="293" t="s">
        <v>284</v>
      </c>
      <c r="R38" s="284"/>
      <c r="S38" s="282"/>
      <c r="T38" s="293" t="s">
        <v>163</v>
      </c>
      <c r="U38" s="284"/>
      <c r="V38" s="282"/>
      <c r="W38" s="292" t="s">
        <v>162</v>
      </c>
      <c r="X38" s="284"/>
      <c r="Y38" s="276"/>
      <c r="Z38" s="276"/>
      <c r="AA38" s="276"/>
      <c r="AI38" s="273"/>
      <c r="AJ38" s="273"/>
      <c r="AK38" s="273"/>
      <c r="AL38" s="273"/>
      <c r="AM38" s="273"/>
      <c r="AN38" s="273"/>
      <c r="AO38" s="273"/>
    </row>
    <row r="39" spans="2:41">
      <c r="B39" s="276"/>
      <c r="C39" s="276"/>
      <c r="D39" s="278"/>
      <c r="E39" s="281"/>
      <c r="F39" s="281"/>
      <c r="G39" s="276"/>
      <c r="H39" s="281"/>
      <c r="I39" s="281"/>
      <c r="J39" s="281"/>
      <c r="K39" s="281"/>
      <c r="L39" s="276"/>
      <c r="M39" s="276"/>
      <c r="N39" s="276"/>
      <c r="O39" s="282"/>
      <c r="P39" s="276"/>
      <c r="Q39" s="282"/>
      <c r="R39" s="282"/>
      <c r="S39" s="282"/>
      <c r="T39" s="282"/>
      <c r="U39" s="282"/>
      <c r="V39" s="282"/>
      <c r="W39" s="276"/>
      <c r="X39" s="289"/>
      <c r="Y39" s="276"/>
      <c r="Z39" s="276"/>
      <c r="AA39" s="276"/>
      <c r="AI39" s="273"/>
      <c r="AJ39" s="273"/>
      <c r="AK39" s="273"/>
      <c r="AL39" s="273"/>
      <c r="AM39" s="273"/>
      <c r="AN39" s="273"/>
      <c r="AO39" s="273"/>
    </row>
    <row r="40" spans="2:41">
      <c r="B40" s="276"/>
      <c r="C40" s="276"/>
      <c r="D40" s="278"/>
      <c r="E40" s="281"/>
      <c r="F40" s="281"/>
      <c r="G40" s="276"/>
      <c r="H40" s="281"/>
      <c r="I40" s="281"/>
      <c r="J40" s="281"/>
      <c r="K40" s="281"/>
      <c r="L40" s="276"/>
      <c r="M40" s="276"/>
      <c r="N40" s="292" t="s">
        <v>285</v>
      </c>
      <c r="O40" s="284"/>
      <c r="P40" s="282"/>
      <c r="Q40" s="292" t="s">
        <v>286</v>
      </c>
      <c r="R40" s="284"/>
      <c r="S40" s="282"/>
      <c r="T40" s="292" t="s">
        <v>287</v>
      </c>
      <c r="U40" s="284"/>
      <c r="V40" s="282"/>
      <c r="W40" s="292" t="s">
        <v>288</v>
      </c>
      <c r="X40" s="284"/>
      <c r="Y40" s="276"/>
      <c r="Z40" s="276"/>
      <c r="AA40" s="276"/>
      <c r="AI40" s="273"/>
      <c r="AJ40" s="273"/>
      <c r="AK40" s="273"/>
      <c r="AL40" s="273"/>
      <c r="AM40" s="273"/>
      <c r="AN40" s="273"/>
      <c r="AO40" s="273"/>
    </row>
    <row r="41" spans="2:41">
      <c r="B41" s="276"/>
      <c r="C41" s="276"/>
      <c r="D41" s="278"/>
      <c r="E41" s="281"/>
      <c r="F41" s="281"/>
      <c r="G41" s="276"/>
      <c r="H41" s="281"/>
      <c r="I41" s="281"/>
      <c r="J41" s="281"/>
      <c r="K41" s="281"/>
      <c r="L41" s="276"/>
      <c r="M41" s="276"/>
      <c r="N41" s="276"/>
      <c r="O41" s="282"/>
      <c r="P41" s="276"/>
      <c r="Q41" s="282"/>
      <c r="R41" s="282"/>
      <c r="S41" s="282"/>
      <c r="T41" s="282"/>
      <c r="U41" s="282"/>
      <c r="V41" s="282"/>
      <c r="W41" s="276"/>
      <c r="X41" s="289"/>
      <c r="Y41" s="276"/>
      <c r="Z41" s="276"/>
      <c r="AA41" s="276"/>
      <c r="AI41" s="273"/>
      <c r="AJ41" s="273"/>
      <c r="AK41" s="273"/>
      <c r="AL41" s="273"/>
      <c r="AM41" s="273"/>
      <c r="AN41" s="273"/>
      <c r="AO41" s="273"/>
    </row>
    <row r="42" spans="2:41">
      <c r="B42" s="276"/>
      <c r="C42" s="276"/>
      <c r="D42" s="278"/>
      <c r="E42" s="281"/>
      <c r="F42" s="281"/>
      <c r="G42" s="276"/>
      <c r="H42" s="281"/>
      <c r="I42" s="281"/>
      <c r="J42" s="281"/>
      <c r="K42" s="281"/>
      <c r="L42" s="276"/>
      <c r="M42" s="276"/>
      <c r="N42" s="292" t="s">
        <v>164</v>
      </c>
      <c r="O42" s="284"/>
      <c r="P42" s="276"/>
      <c r="Q42" s="282"/>
      <c r="R42" s="276"/>
      <c r="S42" s="276"/>
      <c r="T42" s="276"/>
      <c r="U42" s="276"/>
      <c r="V42" s="276"/>
      <c r="W42" s="292" t="s">
        <v>165</v>
      </c>
      <c r="X42" s="284"/>
      <c r="Y42" s="276"/>
      <c r="Z42" s="276"/>
      <c r="AA42" s="276"/>
      <c r="AI42" s="273"/>
      <c r="AJ42" s="273"/>
      <c r="AK42" s="273"/>
      <c r="AL42" s="273"/>
      <c r="AM42" s="273"/>
      <c r="AN42" s="273"/>
      <c r="AO42" s="273"/>
    </row>
    <row r="43" spans="2:41">
      <c r="B43" s="276"/>
      <c r="C43" s="276"/>
      <c r="D43" s="276"/>
      <c r="E43" s="281"/>
      <c r="F43" s="281"/>
      <c r="G43" s="281"/>
      <c r="H43" s="281"/>
      <c r="I43" s="281"/>
      <c r="J43" s="281"/>
      <c r="K43" s="281"/>
      <c r="L43" s="282"/>
      <c r="M43" s="282"/>
      <c r="N43" s="282"/>
      <c r="O43" s="282"/>
      <c r="P43" s="282"/>
      <c r="Q43" s="282"/>
      <c r="R43" s="282"/>
      <c r="S43" s="282"/>
      <c r="T43" s="282"/>
      <c r="U43" s="276"/>
      <c r="V43" s="289"/>
      <c r="W43" s="276"/>
      <c r="X43" s="276"/>
      <c r="Y43" s="276"/>
      <c r="Z43" s="276"/>
      <c r="AA43" s="276"/>
      <c r="AI43" s="273"/>
      <c r="AJ43" s="273"/>
      <c r="AK43" s="273"/>
      <c r="AL43" s="273"/>
      <c r="AM43" s="273"/>
      <c r="AN43" s="273"/>
      <c r="AO43" s="273"/>
    </row>
    <row r="44" spans="2:41">
      <c r="B44" s="276"/>
      <c r="C44" s="276"/>
      <c r="D44" s="276"/>
      <c r="E44" s="281" t="s">
        <v>166</v>
      </c>
      <c r="F44" s="281"/>
      <c r="G44" s="281"/>
      <c r="H44" s="281"/>
      <c r="I44" s="281"/>
      <c r="J44" s="281"/>
      <c r="K44" s="281"/>
      <c r="L44" s="282"/>
      <c r="M44" s="282"/>
      <c r="N44" s="1575"/>
      <c r="O44" s="1575"/>
      <c r="P44" s="1575"/>
      <c r="Q44" s="1575"/>
      <c r="R44" s="1575"/>
      <c r="S44" s="282"/>
      <c r="T44" s="282"/>
      <c r="U44" s="276"/>
      <c r="V44" s="289"/>
      <c r="W44" s="276"/>
      <c r="X44" s="276"/>
      <c r="Y44" s="276"/>
      <c r="Z44" s="276"/>
      <c r="AA44" s="276"/>
      <c r="AI44" s="273"/>
      <c r="AJ44" s="273"/>
      <c r="AK44" s="273"/>
      <c r="AL44" s="273"/>
      <c r="AM44" s="273"/>
      <c r="AN44" s="273"/>
      <c r="AO44" s="273"/>
    </row>
    <row r="45" spans="2:41">
      <c r="B45" s="276"/>
      <c r="C45" s="276"/>
      <c r="D45" s="276"/>
      <c r="E45" s="281"/>
      <c r="F45" s="278" t="s">
        <v>167</v>
      </c>
      <c r="G45" s="276"/>
      <c r="H45" s="281"/>
      <c r="I45" s="281"/>
      <c r="J45" s="281"/>
      <c r="K45" s="281"/>
      <c r="L45" s="282"/>
      <c r="M45" s="282"/>
      <c r="N45" s="282"/>
      <c r="O45" s="282"/>
      <c r="P45" s="282"/>
      <c r="Q45" s="282"/>
      <c r="R45" s="282"/>
      <c r="S45" s="282"/>
      <c r="T45" s="282"/>
      <c r="U45" s="276"/>
      <c r="V45" s="289"/>
      <c r="W45" s="276"/>
      <c r="X45" s="276"/>
      <c r="Y45" s="276"/>
      <c r="Z45" s="276"/>
      <c r="AA45" s="276"/>
      <c r="AI45" s="273"/>
      <c r="AJ45" s="273"/>
      <c r="AK45" s="273"/>
      <c r="AL45" s="273"/>
      <c r="AM45" s="273"/>
      <c r="AN45" s="273"/>
      <c r="AO45" s="273"/>
    </row>
    <row r="46" spans="2:41">
      <c r="B46" s="276"/>
      <c r="C46" s="276"/>
      <c r="D46" s="276"/>
      <c r="E46" s="281"/>
      <c r="F46" s="278"/>
      <c r="G46" s="276"/>
      <c r="H46" s="281"/>
      <c r="I46" s="281"/>
      <c r="J46" s="281"/>
      <c r="K46" s="281"/>
      <c r="L46" s="282"/>
      <c r="M46" s="282"/>
      <c r="N46" s="282"/>
      <c r="O46" s="282"/>
      <c r="P46" s="282"/>
      <c r="Q46" s="282"/>
      <c r="R46" s="282"/>
      <c r="S46" s="282"/>
      <c r="T46" s="282"/>
      <c r="U46" s="276"/>
      <c r="V46" s="289"/>
      <c r="W46" s="276"/>
      <c r="X46" s="276"/>
      <c r="Y46" s="276"/>
      <c r="Z46" s="276"/>
      <c r="AA46" s="276"/>
      <c r="AI46" s="273"/>
      <c r="AJ46" s="273"/>
      <c r="AK46" s="273"/>
      <c r="AL46" s="273"/>
      <c r="AM46" s="273"/>
      <c r="AN46" s="273"/>
      <c r="AO46" s="273"/>
    </row>
    <row r="47" spans="2:41">
      <c r="B47" s="276"/>
      <c r="C47" s="276"/>
      <c r="D47" s="276"/>
      <c r="E47" s="281"/>
      <c r="F47" s="278"/>
      <c r="G47" s="276"/>
      <c r="H47" s="281"/>
      <c r="I47" s="281"/>
      <c r="J47" s="281"/>
      <c r="K47" s="281"/>
      <c r="L47" s="282"/>
      <c r="M47" s="282"/>
      <c r="N47" s="282"/>
      <c r="O47" s="282"/>
      <c r="P47" s="282"/>
      <c r="Q47" s="282"/>
      <c r="R47" s="282"/>
      <c r="S47" s="282"/>
      <c r="T47" s="282"/>
      <c r="U47" s="276"/>
      <c r="V47" s="289"/>
      <c r="W47" s="276"/>
      <c r="X47" s="276"/>
      <c r="Y47" s="276"/>
      <c r="Z47" s="276"/>
      <c r="AA47" s="276"/>
      <c r="AI47" s="273"/>
      <c r="AJ47" s="273"/>
      <c r="AK47" s="273"/>
      <c r="AL47" s="273"/>
      <c r="AM47" s="273"/>
      <c r="AN47" s="273"/>
      <c r="AO47" s="273"/>
    </row>
    <row r="48" spans="2:41">
      <c r="B48" s="276"/>
      <c r="C48" s="276"/>
      <c r="D48" s="276"/>
      <c r="E48" s="281" t="s">
        <v>168</v>
      </c>
      <c r="F48" s="281"/>
      <c r="G48" s="281"/>
      <c r="H48" s="281"/>
      <c r="I48" s="281"/>
      <c r="J48" s="281"/>
      <c r="K48" s="281"/>
      <c r="L48" s="281"/>
      <c r="M48" s="281"/>
      <c r="N48" s="281"/>
      <c r="O48" s="281"/>
      <c r="P48" s="276"/>
      <c r="Q48" s="292" t="s">
        <v>169</v>
      </c>
      <c r="R48" s="284"/>
      <c r="S48" s="276"/>
      <c r="T48" s="294" t="s">
        <v>170</v>
      </c>
      <c r="U48" s="284"/>
      <c r="V48" s="276"/>
      <c r="W48" s="295" t="s">
        <v>171</v>
      </c>
      <c r="X48" s="284"/>
      <c r="Y48" s="276"/>
      <c r="Z48" s="276"/>
      <c r="AA48" s="276"/>
      <c r="AI48" s="273"/>
      <c r="AJ48" s="273"/>
      <c r="AK48" s="273"/>
      <c r="AL48" s="273"/>
      <c r="AM48" s="273"/>
      <c r="AN48" s="273"/>
      <c r="AO48" s="273"/>
    </row>
    <row r="49" spans="2:41">
      <c r="B49" s="276"/>
      <c r="C49" s="276"/>
      <c r="D49" s="276"/>
      <c r="E49" s="281"/>
      <c r="F49" s="281"/>
      <c r="G49" s="281"/>
      <c r="H49" s="281"/>
      <c r="I49" s="281"/>
      <c r="J49" s="281"/>
      <c r="K49" s="281"/>
      <c r="L49" s="281"/>
      <c r="M49" s="281"/>
      <c r="N49" s="281"/>
      <c r="O49" s="281"/>
      <c r="P49" s="276"/>
      <c r="Q49" s="292"/>
      <c r="R49" s="286"/>
      <c r="S49" s="276"/>
      <c r="T49" s="294"/>
      <c r="U49" s="286"/>
      <c r="V49" s="276"/>
      <c r="W49" s="295"/>
      <c r="X49" s="286"/>
      <c r="Y49" s="276"/>
      <c r="Z49" s="276"/>
      <c r="AA49" s="276"/>
      <c r="AI49" s="273"/>
      <c r="AJ49" s="273"/>
      <c r="AK49" s="273"/>
      <c r="AL49" s="273"/>
      <c r="AM49" s="273"/>
      <c r="AN49" s="273"/>
      <c r="AO49" s="273"/>
    </row>
    <row r="50" spans="2:41">
      <c r="B50" s="276"/>
      <c r="C50" s="276"/>
      <c r="D50" s="276"/>
      <c r="E50" s="281"/>
      <c r="F50" s="281"/>
      <c r="G50" s="281"/>
      <c r="H50" s="281"/>
      <c r="I50" s="281"/>
      <c r="J50" s="281"/>
      <c r="K50" s="281"/>
      <c r="L50" s="281"/>
      <c r="M50" s="281"/>
      <c r="N50" s="281"/>
      <c r="O50" s="281"/>
      <c r="P50" s="276"/>
      <c r="Q50" s="276"/>
      <c r="R50" s="276"/>
      <c r="S50" s="276"/>
      <c r="T50" s="294"/>
      <c r="U50" s="286"/>
      <c r="V50" s="295"/>
      <c r="W50" s="286"/>
      <c r="X50" s="276"/>
      <c r="Y50" s="276"/>
      <c r="Z50" s="276"/>
      <c r="AA50" s="276"/>
      <c r="AI50" s="273"/>
      <c r="AJ50" s="273"/>
      <c r="AK50" s="273"/>
      <c r="AL50" s="273"/>
      <c r="AM50" s="273"/>
      <c r="AN50" s="273"/>
      <c r="AO50" s="273"/>
    </row>
    <row r="51" spans="2:41">
      <c r="B51" s="276"/>
      <c r="C51" s="276"/>
      <c r="D51" s="276"/>
      <c r="E51" s="281" t="s">
        <v>172</v>
      </c>
      <c r="F51" s="281"/>
      <c r="G51" s="281"/>
      <c r="H51" s="281"/>
      <c r="I51" s="281"/>
      <c r="J51" s="281"/>
      <c r="K51" s="281"/>
      <c r="L51" s="281"/>
      <c r="M51" s="281"/>
      <c r="N51" s="281"/>
      <c r="O51" s="281"/>
      <c r="P51" s="276"/>
      <c r="Q51" s="276"/>
      <c r="R51" s="276"/>
      <c r="S51" s="276"/>
      <c r="T51" s="294" t="s">
        <v>170</v>
      </c>
      <c r="U51" s="284"/>
      <c r="V51" s="295"/>
      <c r="W51" s="295" t="s">
        <v>171</v>
      </c>
      <c r="X51" s="284"/>
      <c r="Y51" s="276"/>
      <c r="Z51" s="276"/>
      <c r="AA51" s="296"/>
    </row>
    <row r="52" spans="2:41">
      <c r="B52" s="276"/>
      <c r="C52" s="276"/>
      <c r="D52" s="276"/>
      <c r="E52" s="281"/>
      <c r="F52" s="281"/>
      <c r="G52" s="281"/>
      <c r="H52" s="281"/>
      <c r="I52" s="281"/>
      <c r="J52" s="281"/>
      <c r="K52" s="281"/>
      <c r="L52" s="281"/>
      <c r="M52" s="281"/>
      <c r="N52" s="281"/>
      <c r="O52" s="281"/>
      <c r="P52" s="276"/>
      <c r="Q52" s="276"/>
      <c r="R52" s="276"/>
      <c r="S52" s="276"/>
      <c r="T52" s="294"/>
      <c r="U52" s="286"/>
      <c r="V52" s="295"/>
      <c r="W52" s="295"/>
      <c r="X52" s="286"/>
      <c r="Y52" s="276"/>
      <c r="Z52" s="276"/>
      <c r="AA52" s="296"/>
    </row>
    <row r="53" spans="2:41">
      <c r="B53" s="276"/>
      <c r="C53" s="276"/>
      <c r="D53" s="276"/>
      <c r="E53" s="281"/>
      <c r="F53" s="285" t="s">
        <v>173</v>
      </c>
      <c r="G53" s="276"/>
      <c r="H53" s="281"/>
      <c r="I53" s="281"/>
      <c r="J53" s="281"/>
      <c r="K53" s="281"/>
      <c r="L53" s="282"/>
      <c r="M53" s="282"/>
      <c r="N53" s="282"/>
      <c r="O53" s="282"/>
      <c r="P53" s="282"/>
      <c r="Q53" s="282"/>
      <c r="R53" s="282"/>
      <c r="S53" s="276"/>
      <c r="T53" s="294" t="s">
        <v>170</v>
      </c>
      <c r="U53" s="284"/>
      <c r="V53" s="295"/>
      <c r="W53" s="295" t="s">
        <v>171</v>
      </c>
      <c r="X53" s="284"/>
      <c r="Y53" s="276"/>
      <c r="Z53" s="276"/>
      <c r="AA53" s="276"/>
    </row>
    <row r="54" spans="2:41">
      <c r="B54" s="276"/>
      <c r="C54" s="276"/>
      <c r="D54" s="276"/>
      <c r="E54" s="281"/>
      <c r="F54" s="297" t="s">
        <v>174</v>
      </c>
      <c r="G54" s="276"/>
      <c r="H54" s="281"/>
      <c r="I54" s="281"/>
      <c r="J54" s="281"/>
      <c r="K54" s="281"/>
      <c r="L54" s="282"/>
      <c r="M54" s="282"/>
      <c r="N54" s="282"/>
      <c r="O54" s="282"/>
      <c r="P54" s="282"/>
      <c r="Q54" s="282"/>
      <c r="R54" s="282"/>
      <c r="S54" s="276"/>
      <c r="T54" s="282"/>
      <c r="U54" s="282"/>
      <c r="V54" s="282"/>
      <c r="W54" s="282"/>
      <c r="X54" s="282"/>
      <c r="Y54" s="276"/>
      <c r="Z54" s="276"/>
      <c r="AA54" s="276"/>
    </row>
    <row r="55" spans="2:41">
      <c r="B55" s="276"/>
      <c r="C55" s="276"/>
      <c r="D55" s="276"/>
      <c r="E55" s="281"/>
      <c r="F55" s="285"/>
      <c r="G55" s="276"/>
      <c r="H55" s="281"/>
      <c r="I55" s="281"/>
      <c r="J55" s="281"/>
      <c r="K55" s="281"/>
      <c r="L55" s="282"/>
      <c r="M55" s="282"/>
      <c r="N55" s="282"/>
      <c r="O55" s="282"/>
      <c r="P55" s="282"/>
      <c r="Q55" s="282"/>
      <c r="R55" s="282"/>
      <c r="S55" s="276"/>
      <c r="T55" s="282"/>
      <c r="U55" s="282"/>
      <c r="V55" s="282"/>
      <c r="W55" s="282"/>
      <c r="X55" s="282"/>
      <c r="Y55" s="276"/>
      <c r="Z55" s="276"/>
      <c r="AA55" s="276"/>
    </row>
    <row r="56" spans="2:41">
      <c r="B56" s="276"/>
      <c r="C56" s="276"/>
      <c r="D56" s="276"/>
      <c r="E56" s="281"/>
      <c r="F56" s="285" t="s">
        <v>175</v>
      </c>
      <c r="G56" s="276"/>
      <c r="H56" s="281"/>
      <c r="I56" s="281"/>
      <c r="J56" s="281"/>
      <c r="K56" s="298"/>
      <c r="L56" s="298"/>
      <c r="M56" s="298"/>
      <c r="N56" s="298"/>
      <c r="O56" s="298"/>
      <c r="P56" s="298"/>
      <c r="Q56" s="298"/>
      <c r="R56" s="298"/>
      <c r="S56" s="298"/>
      <c r="T56" s="294" t="s">
        <v>170</v>
      </c>
      <c r="U56" s="284"/>
      <c r="V56" s="295"/>
      <c r="W56" s="295" t="s">
        <v>171</v>
      </c>
      <c r="X56" s="284"/>
      <c r="Y56" s="276"/>
      <c r="Z56" s="276"/>
      <c r="AA56" s="276"/>
    </row>
    <row r="57" spans="2:41">
      <c r="B57" s="276"/>
      <c r="C57" s="276"/>
      <c r="D57" s="276"/>
      <c r="E57" s="281"/>
      <c r="F57" s="285"/>
      <c r="G57" s="276"/>
      <c r="H57" s="281"/>
      <c r="I57" s="281"/>
      <c r="J57" s="281"/>
      <c r="K57" s="298"/>
      <c r="L57" s="298"/>
      <c r="M57" s="298"/>
      <c r="N57" s="298"/>
      <c r="O57" s="298"/>
      <c r="P57" s="298"/>
      <c r="Q57" s="298"/>
      <c r="R57" s="298"/>
      <c r="S57" s="298"/>
      <c r="T57" s="298"/>
      <c r="U57" s="298"/>
      <c r="V57" s="298"/>
      <c r="W57" s="298"/>
      <c r="X57" s="298"/>
      <c r="Y57" s="276"/>
      <c r="Z57" s="276"/>
      <c r="AA57" s="276"/>
    </row>
    <row r="58" spans="2:41">
      <c r="B58" s="276"/>
      <c r="C58" s="276"/>
      <c r="D58" s="276"/>
      <c r="E58" s="281"/>
      <c r="F58" s="285"/>
      <c r="G58" s="276"/>
      <c r="H58" s="281"/>
      <c r="I58" s="281"/>
      <c r="J58" s="281"/>
      <c r="K58" s="298"/>
      <c r="L58" s="298"/>
      <c r="M58" s="298"/>
      <c r="N58" s="298"/>
      <c r="O58" s="298"/>
      <c r="P58" s="298"/>
      <c r="Q58" s="298"/>
      <c r="R58" s="298"/>
      <c r="S58" s="298"/>
      <c r="T58" s="298"/>
      <c r="U58" s="298"/>
      <c r="V58" s="298"/>
      <c r="W58" s="298"/>
      <c r="X58" s="298"/>
      <c r="Y58" s="276"/>
      <c r="Z58" s="276"/>
      <c r="AA58" s="276"/>
    </row>
    <row r="59" spans="2:41">
      <c r="B59" s="276"/>
      <c r="C59" s="276"/>
      <c r="D59" s="276"/>
      <c r="E59" s="281"/>
      <c r="F59" s="281"/>
      <c r="G59" s="285"/>
      <c r="H59" s="281"/>
      <c r="I59" s="281"/>
      <c r="J59" s="281"/>
      <c r="K59" s="298"/>
      <c r="L59" s="298"/>
      <c r="M59" s="298"/>
      <c r="N59" s="298"/>
      <c r="O59" s="298"/>
      <c r="P59" s="298"/>
      <c r="Q59" s="298"/>
      <c r="R59" s="298"/>
      <c r="S59" s="298"/>
      <c r="T59" s="298"/>
      <c r="U59" s="298"/>
      <c r="V59" s="298"/>
      <c r="W59" s="298"/>
      <c r="X59" s="298"/>
      <c r="Y59" s="276"/>
      <c r="Z59" s="276"/>
      <c r="AA59" s="276"/>
    </row>
    <row r="60" spans="2:41">
      <c r="B60" s="276"/>
      <c r="C60" s="276"/>
      <c r="D60" s="276"/>
      <c r="E60" s="281"/>
      <c r="F60" s="281" t="s">
        <v>10</v>
      </c>
      <c r="G60" s="281"/>
      <c r="H60" s="281"/>
      <c r="I60" s="281"/>
      <c r="J60" s="281"/>
      <c r="K60" s="298"/>
      <c r="L60" s="298"/>
      <c r="M60" s="298"/>
      <c r="N60" s="298"/>
      <c r="O60" s="298"/>
      <c r="P60" s="298"/>
      <c r="Q60" s="298"/>
      <c r="R60" s="298"/>
      <c r="S60" s="298"/>
      <c r="T60" s="298"/>
      <c r="U60" s="298"/>
      <c r="V60" s="298"/>
      <c r="W60" s="298"/>
      <c r="X60" s="298"/>
      <c r="Y60" s="276"/>
      <c r="Z60" s="276"/>
      <c r="AA60" s="276"/>
    </row>
    <row r="61" spans="2:41">
      <c r="B61" s="276"/>
      <c r="C61" s="276"/>
      <c r="D61" s="276"/>
      <c r="E61" s="281"/>
      <c r="F61" s="1590"/>
      <c r="G61" s="1591"/>
      <c r="H61" s="1591"/>
      <c r="I61" s="1591"/>
      <c r="J61" s="1591"/>
      <c r="K61" s="1591"/>
      <c r="L61" s="1591"/>
      <c r="M61" s="1591"/>
      <c r="N61" s="1591"/>
      <c r="O61" s="1591"/>
      <c r="P61" s="1591"/>
      <c r="Q61" s="1591"/>
      <c r="R61" s="1591"/>
      <c r="S61" s="1591"/>
      <c r="T61" s="1591"/>
      <c r="U61" s="1591"/>
      <c r="V61" s="1591"/>
      <c r="W61" s="1592"/>
      <c r="X61" s="298"/>
      <c r="Y61" s="276"/>
      <c r="Z61" s="276"/>
      <c r="AA61" s="276"/>
    </row>
    <row r="62" spans="2:41">
      <c r="B62" s="276"/>
      <c r="C62" s="276"/>
      <c r="D62" s="276"/>
      <c r="E62" s="281"/>
      <c r="F62" s="1593"/>
      <c r="G62" s="1594"/>
      <c r="H62" s="1594"/>
      <c r="I62" s="1594"/>
      <c r="J62" s="1594"/>
      <c r="K62" s="1594"/>
      <c r="L62" s="1594"/>
      <c r="M62" s="1594"/>
      <c r="N62" s="1594"/>
      <c r="O62" s="1594"/>
      <c r="P62" s="1594"/>
      <c r="Q62" s="1594"/>
      <c r="R62" s="1594"/>
      <c r="S62" s="1594"/>
      <c r="T62" s="1594"/>
      <c r="U62" s="1594"/>
      <c r="V62" s="1594"/>
      <c r="W62" s="1595"/>
      <c r="X62" s="298"/>
      <c r="Y62" s="276"/>
      <c r="Z62" s="276"/>
      <c r="AA62" s="276"/>
    </row>
    <row r="63" spans="2:41">
      <c r="B63" s="276"/>
      <c r="C63" s="276"/>
      <c r="D63" s="276"/>
      <c r="E63" s="281"/>
      <c r="F63" s="1593"/>
      <c r="G63" s="1594"/>
      <c r="H63" s="1594"/>
      <c r="I63" s="1594"/>
      <c r="J63" s="1594"/>
      <c r="K63" s="1594"/>
      <c r="L63" s="1594"/>
      <c r="M63" s="1594"/>
      <c r="N63" s="1594"/>
      <c r="O63" s="1594"/>
      <c r="P63" s="1594"/>
      <c r="Q63" s="1594"/>
      <c r="R63" s="1594"/>
      <c r="S63" s="1594"/>
      <c r="T63" s="1594"/>
      <c r="U63" s="1594"/>
      <c r="V63" s="1594"/>
      <c r="W63" s="1595"/>
      <c r="X63" s="298"/>
      <c r="Y63" s="276"/>
      <c r="Z63" s="276"/>
      <c r="AA63" s="276"/>
    </row>
    <row r="64" spans="2:41">
      <c r="B64" s="276"/>
      <c r="C64" s="276"/>
      <c r="D64" s="276"/>
      <c r="E64" s="281"/>
      <c r="F64" s="1596"/>
      <c r="G64" s="1597"/>
      <c r="H64" s="1597"/>
      <c r="I64" s="1597"/>
      <c r="J64" s="1597"/>
      <c r="K64" s="1597"/>
      <c r="L64" s="1597"/>
      <c r="M64" s="1597"/>
      <c r="N64" s="1597"/>
      <c r="O64" s="1597"/>
      <c r="P64" s="1597"/>
      <c r="Q64" s="1597"/>
      <c r="R64" s="1597"/>
      <c r="S64" s="1597"/>
      <c r="T64" s="1597"/>
      <c r="U64" s="1597"/>
      <c r="V64" s="1597"/>
      <c r="W64" s="1598"/>
      <c r="X64" s="298"/>
      <c r="Y64" s="276"/>
      <c r="Z64" s="276"/>
      <c r="AA64" s="276"/>
    </row>
    <row r="65" spans="2:41">
      <c r="B65" s="276"/>
      <c r="C65" s="276"/>
      <c r="D65" s="276"/>
      <c r="E65" s="281"/>
      <c r="F65" s="281"/>
      <c r="G65" s="281"/>
      <c r="H65" s="281"/>
      <c r="I65" s="281"/>
      <c r="J65" s="281"/>
      <c r="K65" s="281"/>
      <c r="L65" s="281"/>
      <c r="M65" s="281"/>
      <c r="N65" s="281"/>
      <c r="O65" s="281"/>
      <c r="P65" s="276"/>
      <c r="Q65" s="276"/>
      <c r="R65" s="276"/>
      <c r="S65" s="276"/>
      <c r="T65" s="294"/>
      <c r="U65" s="286"/>
      <c r="V65" s="295"/>
      <c r="W65" s="286"/>
      <c r="X65" s="276"/>
      <c r="Y65" s="276"/>
      <c r="Z65" s="276"/>
      <c r="AA65" s="276"/>
      <c r="AI65" s="273"/>
      <c r="AJ65" s="273"/>
      <c r="AK65" s="273"/>
      <c r="AL65" s="273"/>
      <c r="AM65" s="273"/>
      <c r="AN65" s="273"/>
      <c r="AO65" s="273"/>
    </row>
    <row r="66" spans="2:41">
      <c r="B66" s="276"/>
      <c r="C66" s="276"/>
      <c r="D66" s="276"/>
      <c r="E66" s="281"/>
      <c r="F66" s="281"/>
      <c r="G66" s="281"/>
      <c r="H66" s="281"/>
      <c r="I66" s="281"/>
      <c r="J66" s="281"/>
      <c r="K66" s="281"/>
      <c r="L66" s="281"/>
      <c r="M66" s="281"/>
      <c r="N66" s="281"/>
      <c r="O66" s="281"/>
      <c r="P66" s="276"/>
      <c r="Q66" s="276"/>
      <c r="R66" s="276"/>
      <c r="S66" s="276"/>
      <c r="T66" s="294"/>
      <c r="U66" s="286"/>
      <c r="V66" s="295"/>
      <c r="W66" s="286"/>
      <c r="X66" s="276"/>
      <c r="Y66" s="276"/>
      <c r="Z66" s="276"/>
      <c r="AA66" s="276"/>
      <c r="AI66" s="273"/>
      <c r="AJ66" s="273"/>
      <c r="AK66" s="273"/>
      <c r="AL66" s="273"/>
      <c r="AM66" s="273"/>
      <c r="AN66" s="273"/>
      <c r="AO66" s="273"/>
    </row>
    <row r="67" spans="2:41">
      <c r="B67" s="276"/>
      <c r="C67" s="276"/>
      <c r="D67" s="276"/>
      <c r="E67" s="281"/>
      <c r="F67" s="281"/>
      <c r="G67" s="281"/>
      <c r="H67" s="281"/>
      <c r="I67" s="281"/>
      <c r="J67" s="281"/>
      <c r="K67" s="281"/>
      <c r="L67" s="281"/>
      <c r="M67" s="281"/>
      <c r="N67" s="281"/>
      <c r="O67" s="281"/>
      <c r="P67" s="276"/>
      <c r="Q67" s="276"/>
      <c r="R67" s="276"/>
      <c r="S67" s="276"/>
      <c r="T67" s="294"/>
      <c r="U67" s="286"/>
      <c r="V67" s="295"/>
      <c r="W67" s="286"/>
      <c r="X67" s="276"/>
      <c r="Y67" s="276"/>
      <c r="Z67" s="276"/>
      <c r="AA67" s="276"/>
      <c r="AI67" s="273"/>
      <c r="AJ67" s="273"/>
      <c r="AK67" s="273"/>
      <c r="AL67" s="273"/>
      <c r="AM67" s="273"/>
      <c r="AN67" s="273"/>
      <c r="AO67" s="273"/>
    </row>
    <row r="68" spans="2:41" ht="15">
      <c r="B68" s="276"/>
      <c r="C68" s="276"/>
      <c r="D68" s="279" t="s">
        <v>176</v>
      </c>
      <c r="E68" s="287"/>
      <c r="F68" s="287"/>
      <c r="G68" s="299"/>
      <c r="H68" s="299"/>
      <c r="I68" s="299"/>
      <c r="J68" s="299"/>
      <c r="K68" s="299"/>
      <c r="L68" s="299"/>
      <c r="M68" s="299"/>
      <c r="N68" s="299"/>
      <c r="O68" s="287"/>
      <c r="P68" s="287"/>
      <c r="Q68" s="287"/>
      <c r="R68" s="287"/>
      <c r="S68" s="287"/>
      <c r="T68" s="287"/>
      <c r="U68" s="280"/>
      <c r="V68" s="290"/>
      <c r="W68" s="280"/>
      <c r="X68" s="280"/>
      <c r="Y68" s="280"/>
      <c r="Z68" s="280"/>
      <c r="AA68" s="276"/>
      <c r="AI68" s="273"/>
      <c r="AJ68" s="273"/>
      <c r="AK68" s="273"/>
      <c r="AL68" s="273"/>
      <c r="AM68" s="273"/>
      <c r="AN68" s="273"/>
      <c r="AO68" s="273"/>
    </row>
    <row r="69" spans="2:41" ht="15">
      <c r="B69" s="276"/>
      <c r="C69" s="276"/>
      <c r="D69" s="291"/>
      <c r="E69" s="281"/>
      <c r="F69" s="281"/>
      <c r="G69" s="300"/>
      <c r="H69" s="300"/>
      <c r="I69" s="300"/>
      <c r="J69" s="300"/>
      <c r="K69" s="300"/>
      <c r="L69" s="300"/>
      <c r="M69" s="300"/>
      <c r="N69" s="300"/>
      <c r="O69" s="282"/>
      <c r="P69" s="282"/>
      <c r="Q69" s="282"/>
      <c r="R69" s="282"/>
      <c r="S69" s="282"/>
      <c r="T69" s="282"/>
      <c r="U69" s="276"/>
      <c r="V69" s="289"/>
      <c r="W69" s="276"/>
      <c r="X69" s="276"/>
      <c r="Y69" s="276"/>
      <c r="Z69" s="276"/>
      <c r="AA69" s="276"/>
      <c r="AI69" s="273"/>
      <c r="AJ69" s="273"/>
      <c r="AK69" s="273"/>
      <c r="AL69" s="273"/>
      <c r="AM69" s="273"/>
      <c r="AN69" s="273"/>
      <c r="AO69" s="273"/>
    </row>
    <row r="70" spans="2:41">
      <c r="B70" s="276"/>
      <c r="C70" s="276"/>
      <c r="D70" s="276"/>
      <c r="E70" s="281" t="s">
        <v>177</v>
      </c>
      <c r="F70" s="281"/>
      <c r="G70" s="281"/>
      <c r="H70" s="281"/>
      <c r="I70" s="276"/>
      <c r="J70" s="281"/>
      <c r="K70" s="276"/>
      <c r="L70" s="292" t="s">
        <v>107</v>
      </c>
      <c r="M70" s="284"/>
      <c r="N70" s="281"/>
      <c r="O70" s="281"/>
      <c r="P70" s="292" t="s">
        <v>108</v>
      </c>
      <c r="Q70" s="284"/>
      <c r="R70" s="282"/>
      <c r="S70" s="282"/>
      <c r="T70" s="282"/>
      <c r="U70" s="282"/>
      <c r="V70" s="282"/>
      <c r="W70" s="276"/>
      <c r="X70" s="276"/>
      <c r="Y70" s="276"/>
      <c r="Z70" s="276"/>
      <c r="AA70" s="276"/>
      <c r="AI70" s="273"/>
      <c r="AJ70" s="273"/>
      <c r="AK70" s="273"/>
      <c r="AL70" s="273"/>
      <c r="AM70" s="273"/>
      <c r="AN70" s="273"/>
      <c r="AO70" s="273"/>
    </row>
    <row r="71" spans="2:41">
      <c r="B71" s="276"/>
      <c r="C71" s="276"/>
      <c r="D71" s="276"/>
      <c r="E71" s="281"/>
      <c r="F71" s="281"/>
      <c r="G71" s="281"/>
      <c r="H71" s="281"/>
      <c r="I71" s="276"/>
      <c r="J71" s="281"/>
      <c r="K71" s="276"/>
      <c r="L71" s="292"/>
      <c r="M71" s="286"/>
      <c r="N71" s="286"/>
      <c r="O71" s="286"/>
      <c r="P71" s="286"/>
      <c r="Q71" s="286"/>
      <c r="R71" s="286"/>
      <c r="S71" s="282"/>
      <c r="T71" s="282"/>
      <c r="U71" s="282"/>
      <c r="V71" s="282"/>
      <c r="W71" s="276"/>
      <c r="X71" s="276"/>
      <c r="Y71" s="276"/>
      <c r="Z71" s="276"/>
      <c r="AA71" s="276"/>
      <c r="AI71" s="273"/>
      <c r="AJ71" s="273"/>
      <c r="AK71" s="273"/>
      <c r="AL71" s="273"/>
      <c r="AM71" s="273"/>
      <c r="AN71" s="273"/>
      <c r="AO71" s="273"/>
    </row>
    <row r="72" spans="2:41">
      <c r="B72" s="276"/>
      <c r="C72" s="276"/>
      <c r="D72" s="276"/>
      <c r="E72" s="281" t="s">
        <v>178</v>
      </c>
      <c r="F72" s="276"/>
      <c r="G72" s="276"/>
      <c r="H72" s="276"/>
      <c r="I72" s="276"/>
      <c r="J72" s="276"/>
      <c r="K72" s="276"/>
      <c r="L72" s="1575"/>
      <c r="M72" s="1575"/>
      <c r="N72" s="1575"/>
      <c r="O72" s="1575"/>
      <c r="P72" s="1575"/>
      <c r="Q72" s="1575"/>
      <c r="R72" s="276"/>
      <c r="S72" s="282"/>
      <c r="T72" s="282"/>
      <c r="U72" s="282"/>
      <c r="V72" s="282"/>
      <c r="W72" s="276"/>
      <c r="X72" s="276"/>
      <c r="Y72" s="276"/>
      <c r="Z72" s="276"/>
      <c r="AA72" s="276"/>
      <c r="AI72" s="273"/>
      <c r="AJ72" s="273"/>
      <c r="AK72" s="273"/>
      <c r="AL72" s="273"/>
      <c r="AM72" s="273"/>
      <c r="AN72" s="273"/>
      <c r="AO72" s="273"/>
    </row>
    <row r="73" spans="2:41">
      <c r="B73" s="276"/>
      <c r="C73" s="276"/>
      <c r="D73" s="276"/>
      <c r="E73" s="281"/>
      <c r="F73" s="281"/>
      <c r="G73" s="281"/>
      <c r="H73" s="281"/>
      <c r="I73" s="281"/>
      <c r="J73" s="281"/>
      <c r="K73" s="281"/>
      <c r="L73" s="281"/>
      <c r="M73" s="281"/>
      <c r="N73" s="281"/>
      <c r="O73" s="281"/>
      <c r="P73" s="286"/>
      <c r="Q73" s="286"/>
      <c r="R73" s="282"/>
      <c r="S73" s="282"/>
      <c r="T73" s="282"/>
      <c r="U73" s="282"/>
      <c r="V73" s="282"/>
      <c r="W73" s="276"/>
      <c r="X73" s="276"/>
      <c r="Y73" s="276"/>
      <c r="Z73" s="276"/>
      <c r="AA73" s="276"/>
      <c r="AI73" s="273"/>
      <c r="AJ73" s="273"/>
      <c r="AK73" s="273"/>
      <c r="AL73" s="273"/>
      <c r="AM73" s="273"/>
      <c r="AN73" s="273"/>
      <c r="AO73" s="273"/>
    </row>
    <row r="74" spans="2:41">
      <c r="B74" s="276"/>
      <c r="C74" s="276"/>
      <c r="D74" s="276"/>
      <c r="E74" s="281"/>
      <c r="F74" s="281"/>
      <c r="G74" s="1586" t="s">
        <v>179</v>
      </c>
      <c r="H74" s="1587"/>
      <c r="I74" s="1588"/>
      <c r="J74" s="1589" t="s">
        <v>180</v>
      </c>
      <c r="K74" s="1589"/>
      <c r="L74" s="1589"/>
      <c r="M74" s="1569" t="s">
        <v>181</v>
      </c>
      <c r="N74" s="1570"/>
      <c r="O74" s="1571"/>
      <c r="P74" s="1569" t="s">
        <v>182</v>
      </c>
      <c r="Q74" s="1570"/>
      <c r="R74" s="1571"/>
      <c r="S74" s="1569" t="s">
        <v>183</v>
      </c>
      <c r="T74" s="1570"/>
      <c r="U74" s="1571"/>
      <c r="V74" s="282"/>
      <c r="W74" s="276"/>
      <c r="X74" s="276"/>
      <c r="Y74" s="276"/>
      <c r="Z74" s="276"/>
      <c r="AA74" s="276"/>
      <c r="AI74" s="273"/>
      <c r="AJ74" s="273"/>
      <c r="AK74" s="273"/>
      <c r="AL74" s="273"/>
      <c r="AM74" s="273"/>
      <c r="AN74" s="273"/>
      <c r="AO74" s="273"/>
    </row>
    <row r="75" spans="2:41">
      <c r="B75" s="276"/>
      <c r="C75" s="276"/>
      <c r="D75" s="276"/>
      <c r="E75" s="281"/>
      <c r="F75" s="281"/>
      <c r="G75" s="1561" t="s">
        <v>184</v>
      </c>
      <c r="H75" s="1562"/>
      <c r="I75" s="1563"/>
      <c r="J75" s="1564"/>
      <c r="K75" s="1565"/>
      <c r="L75" s="1566"/>
      <c r="M75" s="1564"/>
      <c r="N75" s="1565"/>
      <c r="O75" s="1566"/>
      <c r="P75" s="1564"/>
      <c r="Q75" s="1565"/>
      <c r="R75" s="1566"/>
      <c r="S75" s="1564"/>
      <c r="T75" s="1565"/>
      <c r="U75" s="1566"/>
      <c r="V75" s="282"/>
      <c r="W75" s="276"/>
      <c r="X75" s="276"/>
      <c r="Y75" s="276"/>
      <c r="Z75" s="276"/>
      <c r="AA75" s="276"/>
      <c r="AB75" s="272"/>
      <c r="AC75" s="272"/>
      <c r="AD75" s="272"/>
      <c r="AE75" s="272"/>
      <c r="AF75" s="272"/>
      <c r="AG75" s="272"/>
      <c r="AH75" s="274"/>
      <c r="AI75" s="273"/>
      <c r="AJ75" s="273"/>
      <c r="AK75" s="273"/>
      <c r="AL75" s="273"/>
      <c r="AM75" s="273"/>
      <c r="AN75" s="273"/>
      <c r="AO75" s="273"/>
    </row>
    <row r="76" spans="2:41">
      <c r="B76" s="276"/>
      <c r="C76" s="276"/>
      <c r="D76" s="276"/>
      <c r="E76" s="281"/>
      <c r="F76" s="281"/>
      <c r="G76" s="1561" t="s">
        <v>185</v>
      </c>
      <c r="H76" s="1562"/>
      <c r="I76" s="1563"/>
      <c r="J76" s="1564"/>
      <c r="K76" s="1565"/>
      <c r="L76" s="1566"/>
      <c r="M76" s="1564"/>
      <c r="N76" s="1565"/>
      <c r="O76" s="1566"/>
      <c r="P76" s="1564"/>
      <c r="Q76" s="1565"/>
      <c r="R76" s="1566"/>
      <c r="S76" s="1564"/>
      <c r="T76" s="1565"/>
      <c r="U76" s="1566"/>
      <c r="V76" s="276"/>
      <c r="W76" s="276"/>
      <c r="X76" s="276"/>
      <c r="Y76" s="276"/>
      <c r="Z76" s="276"/>
      <c r="AA76" s="276"/>
    </row>
    <row r="77" spans="2:41">
      <c r="B77" s="276"/>
      <c r="C77" s="276"/>
      <c r="D77" s="276"/>
      <c r="E77" s="281"/>
      <c r="F77" s="281"/>
      <c r="G77" s="1561" t="s">
        <v>186</v>
      </c>
      <c r="H77" s="1562"/>
      <c r="I77" s="1563"/>
      <c r="J77" s="1564"/>
      <c r="K77" s="1565"/>
      <c r="L77" s="1566"/>
      <c r="M77" s="1564"/>
      <c r="N77" s="1565"/>
      <c r="O77" s="1566"/>
      <c r="P77" s="1564"/>
      <c r="Q77" s="1565"/>
      <c r="R77" s="1566"/>
      <c r="S77" s="1564"/>
      <c r="T77" s="1565"/>
      <c r="U77" s="1566"/>
      <c r="V77" s="276"/>
      <c r="W77" s="276"/>
      <c r="X77" s="276"/>
      <c r="Y77" s="276"/>
      <c r="Z77" s="276"/>
      <c r="AA77" s="276"/>
    </row>
    <row r="78" spans="2:41">
      <c r="B78" s="276"/>
      <c r="C78" s="276"/>
      <c r="D78" s="276"/>
      <c r="E78" s="281"/>
      <c r="F78" s="281"/>
      <c r="G78" s="1561" t="s">
        <v>187</v>
      </c>
      <c r="H78" s="1562"/>
      <c r="I78" s="1563"/>
      <c r="J78" s="1564"/>
      <c r="K78" s="1565"/>
      <c r="L78" s="1566"/>
      <c r="M78" s="1564"/>
      <c r="N78" s="1565"/>
      <c r="O78" s="1566"/>
      <c r="P78" s="1564"/>
      <c r="Q78" s="1565"/>
      <c r="R78" s="1566"/>
      <c r="S78" s="1564"/>
      <c r="T78" s="1565"/>
      <c r="U78" s="1566"/>
      <c r="V78" s="276"/>
      <c r="W78" s="276"/>
      <c r="X78" s="276"/>
      <c r="Y78" s="276"/>
      <c r="Z78" s="276"/>
      <c r="AA78" s="276"/>
    </row>
    <row r="79" spans="2:41">
      <c r="B79" s="276"/>
      <c r="C79" s="276"/>
      <c r="D79" s="276"/>
      <c r="E79" s="281"/>
      <c r="F79" s="281"/>
      <c r="G79" s="1561" t="s">
        <v>188</v>
      </c>
      <c r="H79" s="1562"/>
      <c r="I79" s="1563"/>
      <c r="J79" s="1564"/>
      <c r="K79" s="1565"/>
      <c r="L79" s="1566"/>
      <c r="M79" s="1564"/>
      <c r="N79" s="1565"/>
      <c r="O79" s="1566"/>
      <c r="P79" s="1564"/>
      <c r="Q79" s="1565"/>
      <c r="R79" s="1566"/>
      <c r="S79" s="1564"/>
      <c r="T79" s="1565"/>
      <c r="U79" s="1566"/>
      <c r="V79" s="276"/>
      <c r="W79" s="276"/>
      <c r="X79" s="276"/>
      <c r="Y79" s="276"/>
      <c r="Z79" s="276"/>
      <c r="AA79" s="276"/>
    </row>
    <row r="80" spans="2:41">
      <c r="B80" s="276"/>
      <c r="C80" s="276"/>
      <c r="D80" s="276"/>
      <c r="E80" s="281"/>
      <c r="F80" s="281"/>
      <c r="G80" s="1561" t="s">
        <v>189</v>
      </c>
      <c r="H80" s="1562"/>
      <c r="I80" s="1563"/>
      <c r="J80" s="1564"/>
      <c r="K80" s="1565"/>
      <c r="L80" s="1566"/>
      <c r="M80" s="1564"/>
      <c r="N80" s="1565"/>
      <c r="O80" s="1566"/>
      <c r="P80" s="1564"/>
      <c r="Q80" s="1565"/>
      <c r="R80" s="1566"/>
      <c r="S80" s="1564"/>
      <c r="T80" s="1565"/>
      <c r="U80" s="1566"/>
      <c r="V80" s="276"/>
      <c r="W80" s="276"/>
      <c r="X80" s="276"/>
      <c r="Y80" s="276"/>
      <c r="Z80" s="276"/>
      <c r="AA80" s="276"/>
    </row>
    <row r="81" spans="2:27">
      <c r="B81" s="276"/>
      <c r="C81" s="276"/>
      <c r="D81" s="276"/>
      <c r="E81" s="281"/>
      <c r="F81" s="281"/>
      <c r="G81" s="1561" t="s">
        <v>190</v>
      </c>
      <c r="H81" s="1562"/>
      <c r="I81" s="1563"/>
      <c r="J81" s="1564"/>
      <c r="K81" s="1565"/>
      <c r="L81" s="1566"/>
      <c r="M81" s="1564"/>
      <c r="N81" s="1565"/>
      <c r="O81" s="1566"/>
      <c r="P81" s="1564"/>
      <c r="Q81" s="1565"/>
      <c r="R81" s="1566"/>
      <c r="S81" s="1564"/>
      <c r="T81" s="1565"/>
      <c r="U81" s="1566"/>
      <c r="V81" s="276"/>
      <c r="W81" s="276"/>
      <c r="X81" s="276"/>
      <c r="Y81" s="276"/>
      <c r="Z81" s="276"/>
      <c r="AA81" s="276"/>
    </row>
    <row r="82" spans="2:27">
      <c r="B82" s="276"/>
      <c r="C82" s="276"/>
      <c r="D82" s="276"/>
      <c r="E82" s="281"/>
      <c r="F82" s="281"/>
      <c r="G82" s="1561" t="s">
        <v>191</v>
      </c>
      <c r="H82" s="1562"/>
      <c r="I82" s="1563"/>
      <c r="J82" s="1564"/>
      <c r="K82" s="1565"/>
      <c r="L82" s="1566"/>
      <c r="M82" s="1564"/>
      <c r="N82" s="1565"/>
      <c r="O82" s="1566"/>
      <c r="P82" s="1564"/>
      <c r="Q82" s="1565"/>
      <c r="R82" s="1566"/>
      <c r="S82" s="1564"/>
      <c r="T82" s="1565"/>
      <c r="U82" s="1566"/>
      <c r="V82" s="276"/>
      <c r="W82" s="276"/>
      <c r="X82" s="276"/>
      <c r="Y82" s="276"/>
      <c r="Z82" s="276"/>
      <c r="AA82" s="276"/>
    </row>
    <row r="83" spans="2:27">
      <c r="B83" s="276"/>
      <c r="C83" s="276"/>
      <c r="D83" s="276"/>
      <c r="E83" s="281"/>
      <c r="F83" s="281"/>
      <c r="G83" s="1561" t="s">
        <v>192</v>
      </c>
      <c r="H83" s="1562"/>
      <c r="I83" s="1563"/>
      <c r="J83" s="1564"/>
      <c r="K83" s="1565"/>
      <c r="L83" s="1566"/>
      <c r="M83" s="1564"/>
      <c r="N83" s="1565"/>
      <c r="O83" s="1566"/>
      <c r="P83" s="1564"/>
      <c r="Q83" s="1565"/>
      <c r="R83" s="1566"/>
      <c r="S83" s="1564"/>
      <c r="T83" s="1565"/>
      <c r="U83" s="1566"/>
      <c r="V83" s="276"/>
      <c r="W83" s="276"/>
      <c r="X83" s="276"/>
      <c r="Y83" s="276"/>
      <c r="Z83" s="276"/>
      <c r="AA83" s="276"/>
    </row>
    <row r="84" spans="2:27">
      <c r="B84" s="276"/>
      <c r="C84" s="276"/>
      <c r="D84" s="276"/>
      <c r="E84" s="281"/>
      <c r="F84" s="281"/>
      <c r="G84" s="1561" t="s">
        <v>193</v>
      </c>
      <c r="H84" s="1562"/>
      <c r="I84" s="1563"/>
      <c r="J84" s="1564"/>
      <c r="K84" s="1565"/>
      <c r="L84" s="1566"/>
      <c r="M84" s="1564"/>
      <c r="N84" s="1565"/>
      <c r="O84" s="1566"/>
      <c r="P84" s="1564"/>
      <c r="Q84" s="1565"/>
      <c r="R84" s="1566"/>
      <c r="S84" s="1564"/>
      <c r="T84" s="1565"/>
      <c r="U84" s="1566"/>
      <c r="V84" s="276"/>
      <c r="W84" s="276"/>
      <c r="X84" s="276"/>
      <c r="Y84" s="276"/>
      <c r="Z84" s="276"/>
      <c r="AA84" s="276"/>
    </row>
    <row r="85" spans="2:27">
      <c r="B85" s="276"/>
      <c r="C85" s="276"/>
      <c r="D85" s="276"/>
      <c r="E85" s="281"/>
      <c r="F85" s="281"/>
      <c r="G85" s="301"/>
      <c r="H85" s="301"/>
      <c r="I85" s="301"/>
      <c r="J85" s="286"/>
      <c r="K85" s="286"/>
      <c r="L85" s="286"/>
      <c r="M85" s="286"/>
      <c r="N85" s="286"/>
      <c r="O85" s="286"/>
      <c r="P85" s="286"/>
      <c r="Q85" s="286"/>
      <c r="R85" s="286"/>
      <c r="S85" s="282"/>
      <c r="T85" s="276"/>
      <c r="U85" s="276"/>
      <c r="V85" s="276"/>
      <c r="W85" s="276"/>
      <c r="X85" s="276"/>
      <c r="Y85" s="276"/>
      <c r="Z85" s="276"/>
      <c r="AA85" s="276"/>
    </row>
    <row r="86" spans="2:27">
      <c r="B86" s="276"/>
      <c r="C86" s="276"/>
      <c r="D86" s="276"/>
      <c r="E86" s="281"/>
      <c r="F86" s="281"/>
      <c r="G86" s="301"/>
      <c r="H86" s="301"/>
      <c r="I86" s="301"/>
      <c r="J86" s="286"/>
      <c r="K86" s="286"/>
      <c r="L86" s="286"/>
      <c r="M86" s="286"/>
      <c r="N86" s="286"/>
      <c r="O86" s="286"/>
      <c r="P86" s="286"/>
      <c r="Q86" s="286"/>
      <c r="R86" s="286"/>
      <c r="S86" s="282"/>
      <c r="T86" s="276"/>
      <c r="U86" s="276"/>
      <c r="V86" s="276"/>
      <c r="W86" s="276"/>
      <c r="X86" s="276"/>
      <c r="Y86" s="276"/>
      <c r="Z86" s="276"/>
      <c r="AA86" s="276"/>
    </row>
    <row r="87" spans="2:27">
      <c r="B87" s="276"/>
      <c r="C87" s="276"/>
      <c r="D87" s="276"/>
      <c r="E87" s="281" t="s">
        <v>194</v>
      </c>
      <c r="F87" s="281"/>
      <c r="G87" s="281"/>
      <c r="H87" s="281"/>
      <c r="I87" s="281"/>
      <c r="J87" s="281"/>
      <c r="K87" s="281"/>
      <c r="L87" s="286"/>
      <c r="M87" s="286"/>
      <c r="N87" s="286"/>
      <c r="O87" s="286"/>
      <c r="P87" s="286"/>
      <c r="Q87" s="286"/>
      <c r="R87" s="286"/>
      <c r="S87" s="282"/>
      <c r="T87" s="276"/>
      <c r="U87" s="276"/>
      <c r="V87" s="276"/>
      <c r="W87" s="276"/>
      <c r="X87" s="276"/>
      <c r="Y87" s="276"/>
      <c r="Z87" s="276"/>
      <c r="AA87" s="276"/>
    </row>
    <row r="88" spans="2:27">
      <c r="B88" s="276"/>
      <c r="C88" s="276"/>
      <c r="D88" s="276"/>
      <c r="E88" s="281"/>
      <c r="F88" s="281"/>
      <c r="G88" s="281"/>
      <c r="H88" s="281"/>
      <c r="I88" s="281"/>
      <c r="J88" s="281"/>
      <c r="K88" s="281"/>
      <c r="L88" s="286"/>
      <c r="M88" s="286"/>
      <c r="N88" s="286"/>
      <c r="O88" s="286"/>
      <c r="P88" s="286"/>
      <c r="Q88" s="286"/>
      <c r="R88" s="286"/>
      <c r="S88" s="282"/>
      <c r="T88" s="276"/>
      <c r="U88" s="276"/>
      <c r="V88" s="276"/>
      <c r="W88" s="276"/>
      <c r="X88" s="276"/>
      <c r="Y88" s="276"/>
      <c r="Z88" s="276"/>
      <c r="AA88" s="276"/>
    </row>
    <row r="89" spans="2:27">
      <c r="B89" s="276"/>
      <c r="C89" s="276"/>
      <c r="D89" s="276"/>
      <c r="E89" s="281"/>
      <c r="F89" s="276"/>
      <c r="G89" s="284"/>
      <c r="H89" s="278" t="s">
        <v>195</v>
      </c>
      <c r="I89" s="281"/>
      <c r="J89" s="281"/>
      <c r="K89" s="276"/>
      <c r="L89" s="286"/>
      <c r="M89" s="286"/>
      <c r="N89" s="286"/>
      <c r="O89" s="286"/>
      <c r="P89" s="286"/>
      <c r="Q89" s="286"/>
      <c r="R89" s="286"/>
      <c r="S89" s="282"/>
      <c r="T89" s="276"/>
      <c r="U89" s="276"/>
      <c r="V89" s="276"/>
      <c r="W89" s="276"/>
      <c r="X89" s="276"/>
      <c r="Y89" s="276"/>
      <c r="Z89" s="276"/>
      <c r="AA89" s="276"/>
    </row>
    <row r="90" spans="2:27">
      <c r="B90" s="276"/>
      <c r="C90" s="276"/>
      <c r="D90" s="276"/>
      <c r="E90" s="281"/>
      <c r="F90" s="276"/>
      <c r="G90" s="284"/>
      <c r="H90" s="302" t="s">
        <v>196</v>
      </c>
      <c r="I90" s="281"/>
      <c r="J90" s="281"/>
      <c r="K90" s="276"/>
      <c r="L90" s="286"/>
      <c r="M90" s="286"/>
      <c r="N90" s="286"/>
      <c r="O90" s="286"/>
      <c r="P90" s="286"/>
      <c r="Q90" s="286"/>
      <c r="R90" s="286"/>
      <c r="S90" s="282"/>
      <c r="T90" s="276"/>
      <c r="U90" s="276"/>
      <c r="V90" s="276"/>
      <c r="W90" s="276"/>
      <c r="X90" s="276"/>
      <c r="Y90" s="276"/>
      <c r="Z90" s="276"/>
      <c r="AA90" s="276"/>
    </row>
    <row r="91" spans="2:27">
      <c r="B91" s="276"/>
      <c r="C91" s="276"/>
      <c r="D91" s="276"/>
      <c r="E91" s="281"/>
      <c r="F91" s="276"/>
      <c r="G91" s="284"/>
      <c r="H91" s="278" t="s">
        <v>197</v>
      </c>
      <c r="I91" s="281"/>
      <c r="J91" s="281"/>
      <c r="K91" s="276"/>
      <c r="L91" s="286"/>
      <c r="M91" s="286"/>
      <c r="N91" s="286"/>
      <c r="O91" s="286"/>
      <c r="P91" s="286"/>
      <c r="Q91" s="286"/>
      <c r="R91" s="286"/>
      <c r="S91" s="282"/>
      <c r="T91" s="276"/>
      <c r="U91" s="276"/>
      <c r="V91" s="276"/>
      <c r="W91" s="276"/>
      <c r="X91" s="276"/>
      <c r="Y91" s="276"/>
      <c r="Z91" s="276"/>
      <c r="AA91" s="276"/>
    </row>
    <row r="92" spans="2:27">
      <c r="B92" s="276"/>
      <c r="C92" s="276"/>
      <c r="D92" s="276"/>
      <c r="E92" s="281"/>
      <c r="F92" s="276"/>
      <c r="G92" s="284"/>
      <c r="H92" s="278" t="s">
        <v>198</v>
      </c>
      <c r="I92" s="281"/>
      <c r="J92" s="281"/>
      <c r="K92" s="276"/>
      <c r="L92" s="286"/>
      <c r="M92" s="286"/>
      <c r="N92" s="286"/>
      <c r="O92" s="286"/>
      <c r="P92" s="286"/>
      <c r="Q92" s="286"/>
      <c r="R92" s="286"/>
      <c r="S92" s="282"/>
      <c r="T92" s="276"/>
      <c r="U92" s="276"/>
      <c r="V92" s="276"/>
      <c r="W92" s="276"/>
      <c r="X92" s="276"/>
      <c r="Y92" s="276"/>
      <c r="Z92" s="276"/>
      <c r="AA92" s="276"/>
    </row>
    <row r="93" spans="2:27">
      <c r="B93" s="276"/>
      <c r="C93" s="276"/>
      <c r="D93" s="276"/>
      <c r="E93" s="281"/>
      <c r="F93" s="276"/>
      <c r="G93" s="284"/>
      <c r="H93" s="278" t="s">
        <v>199</v>
      </c>
      <c r="I93" s="281"/>
      <c r="J93" s="281"/>
      <c r="K93" s="276"/>
      <c r="L93" s="286"/>
      <c r="M93" s="286"/>
      <c r="N93" s="286"/>
      <c r="O93" s="286"/>
      <c r="P93" s="286"/>
      <c r="Q93" s="286"/>
      <c r="R93" s="286"/>
      <c r="S93" s="282"/>
      <c r="T93" s="276"/>
      <c r="U93" s="276"/>
      <c r="V93" s="276"/>
      <c r="W93" s="276"/>
      <c r="X93" s="276"/>
      <c r="Y93" s="276"/>
      <c r="Z93" s="276"/>
      <c r="AA93" s="276"/>
    </row>
    <row r="94" spans="2:27">
      <c r="B94" s="276"/>
      <c r="C94" s="276"/>
      <c r="D94" s="276"/>
      <c r="E94" s="281"/>
      <c r="F94" s="276"/>
      <c r="G94" s="284"/>
      <c r="H94" s="278" t="s">
        <v>200</v>
      </c>
      <c r="I94" s="281"/>
      <c r="J94" s="281"/>
      <c r="K94" s="276"/>
      <c r="L94" s="286"/>
      <c r="M94" s="286"/>
      <c r="N94" s="286"/>
      <c r="O94" s="286"/>
      <c r="P94" s="286"/>
      <c r="Q94" s="286"/>
      <c r="R94" s="286"/>
      <c r="S94" s="282"/>
      <c r="T94" s="276"/>
      <c r="U94" s="276"/>
      <c r="V94" s="276"/>
      <c r="W94" s="276"/>
      <c r="X94" s="276"/>
      <c r="Y94" s="276"/>
      <c r="Z94" s="276"/>
      <c r="AA94" s="276"/>
    </row>
    <row r="95" spans="2:27">
      <c r="B95" s="276"/>
      <c r="C95" s="276"/>
      <c r="D95" s="276"/>
      <c r="E95" s="281"/>
      <c r="F95" s="276"/>
      <c r="G95" s="284"/>
      <c r="H95" s="278" t="s">
        <v>201</v>
      </c>
      <c r="I95" s="281"/>
      <c r="J95" s="281"/>
      <c r="K95" s="276"/>
      <c r="L95" s="286"/>
      <c r="M95" s="286"/>
      <c r="N95" s="286"/>
      <c r="O95" s="286"/>
      <c r="P95" s="286"/>
      <c r="Q95" s="286"/>
      <c r="R95" s="286"/>
      <c r="S95" s="282"/>
      <c r="T95" s="276"/>
      <c r="U95" s="276"/>
      <c r="V95" s="276"/>
      <c r="W95" s="276"/>
      <c r="X95" s="276"/>
      <c r="Y95" s="276"/>
      <c r="Z95" s="276"/>
      <c r="AA95" s="276"/>
    </row>
    <row r="96" spans="2:27">
      <c r="B96" s="276"/>
      <c r="C96" s="276"/>
      <c r="D96" s="276"/>
      <c r="E96" s="281"/>
      <c r="F96" s="276"/>
      <c r="G96" s="284"/>
      <c r="H96" s="278" t="s">
        <v>202</v>
      </c>
      <c r="I96" s="281"/>
      <c r="J96" s="281"/>
      <c r="K96" s="276"/>
      <c r="L96" s="286"/>
      <c r="M96" s="286"/>
      <c r="N96" s="286"/>
      <c r="O96" s="286"/>
      <c r="P96" s="286"/>
      <c r="Q96" s="286"/>
      <c r="R96" s="286"/>
      <c r="S96" s="282"/>
      <c r="T96" s="276"/>
      <c r="U96" s="276"/>
      <c r="V96" s="276"/>
      <c r="W96" s="276"/>
      <c r="X96" s="276"/>
      <c r="Y96" s="276"/>
      <c r="Z96" s="276"/>
      <c r="AA96" s="276"/>
    </row>
    <row r="97" spans="2:27">
      <c r="B97" s="276"/>
      <c r="C97" s="276"/>
      <c r="D97" s="276"/>
      <c r="E97" s="281"/>
      <c r="F97" s="281"/>
      <c r="G97" s="281"/>
      <c r="H97" s="281"/>
      <c r="I97" s="281"/>
      <c r="J97" s="281"/>
      <c r="K97" s="285"/>
      <c r="L97" s="286"/>
      <c r="M97" s="286"/>
      <c r="N97" s="286"/>
      <c r="O97" s="286"/>
      <c r="P97" s="286"/>
      <c r="Q97" s="286"/>
      <c r="R97" s="286"/>
      <c r="S97" s="282"/>
      <c r="T97" s="276"/>
      <c r="U97" s="276"/>
      <c r="V97" s="276"/>
      <c r="W97" s="276"/>
      <c r="X97" s="276"/>
      <c r="Y97" s="276"/>
      <c r="Z97" s="276"/>
      <c r="AA97" s="276"/>
    </row>
    <row r="98" spans="2:27">
      <c r="B98" s="276"/>
      <c r="C98" s="276"/>
      <c r="D98" s="276"/>
      <c r="E98" s="281" t="s">
        <v>203</v>
      </c>
      <c r="F98" s="281"/>
      <c r="G98" s="281"/>
      <c r="H98" s="281"/>
      <c r="I98" s="281"/>
      <c r="J98" s="281"/>
      <c r="K98" s="285"/>
      <c r="L98" s="286"/>
      <c r="M98" s="286"/>
      <c r="N98" s="286"/>
      <c r="O98" s="286"/>
      <c r="P98" s="286"/>
      <c r="Q98" s="286"/>
      <c r="R98" s="286"/>
      <c r="S98" s="282"/>
      <c r="T98" s="276"/>
      <c r="U98" s="276"/>
      <c r="V98" s="276"/>
      <c r="W98" s="276"/>
      <c r="X98" s="276"/>
      <c r="Y98" s="276"/>
      <c r="Z98" s="276"/>
      <c r="AA98" s="276"/>
    </row>
    <row r="99" spans="2:27">
      <c r="B99" s="276"/>
      <c r="C99" s="276"/>
      <c r="D99" s="276"/>
      <c r="E99" s="281"/>
      <c r="F99" s="281"/>
      <c r="G99" s="285"/>
      <c r="H99" s="281"/>
      <c r="I99" s="281"/>
      <c r="J99" s="281"/>
      <c r="K99" s="285"/>
      <c r="L99" s="286"/>
      <c r="M99" s="286"/>
      <c r="N99" s="286"/>
      <c r="O99" s="286"/>
      <c r="P99" s="286"/>
      <c r="Q99" s="286"/>
      <c r="R99" s="286"/>
      <c r="S99" s="282"/>
      <c r="T99" s="276"/>
      <c r="U99" s="276"/>
      <c r="V99" s="276"/>
      <c r="W99" s="276"/>
      <c r="X99" s="276"/>
      <c r="Y99" s="276"/>
      <c r="Z99" s="276"/>
      <c r="AA99" s="276"/>
    </row>
    <row r="100" spans="2:27">
      <c r="B100" s="276"/>
      <c r="C100" s="276"/>
      <c r="D100" s="276"/>
      <c r="E100" s="281"/>
      <c r="F100" s="281"/>
      <c r="G100" s="284"/>
      <c r="H100" s="281"/>
      <c r="I100" s="285" t="s">
        <v>204</v>
      </c>
      <c r="J100" s="281"/>
      <c r="K100" s="285"/>
      <c r="L100" s="286"/>
      <c r="M100" s="286"/>
      <c r="N100" s="286"/>
      <c r="O100" s="286"/>
      <c r="P100" s="286"/>
      <c r="Q100" s="286"/>
      <c r="R100" s="286"/>
      <c r="S100" s="282"/>
      <c r="T100" s="276"/>
      <c r="U100" s="276"/>
      <c r="V100" s="276"/>
      <c r="W100" s="276"/>
      <c r="X100" s="276"/>
      <c r="Y100" s="276"/>
      <c r="Z100" s="276"/>
      <c r="AA100" s="276"/>
    </row>
    <row r="101" spans="2:27">
      <c r="B101" s="276"/>
      <c r="C101" s="276"/>
      <c r="D101" s="276"/>
      <c r="E101" s="281"/>
      <c r="F101" s="281"/>
      <c r="G101" s="281"/>
      <c r="H101" s="281"/>
      <c r="I101" s="285"/>
      <c r="J101" s="276"/>
      <c r="K101" s="276"/>
      <c r="L101" s="286"/>
      <c r="M101" s="286"/>
      <c r="N101" s="286"/>
      <c r="O101" s="286"/>
      <c r="P101" s="286"/>
      <c r="Q101" s="286"/>
      <c r="R101" s="286"/>
      <c r="S101" s="282"/>
      <c r="T101" s="276"/>
      <c r="U101" s="276"/>
      <c r="V101" s="276"/>
      <c r="W101" s="276"/>
      <c r="X101" s="276"/>
      <c r="Y101" s="276"/>
      <c r="Z101" s="276"/>
      <c r="AA101" s="276"/>
    </row>
    <row r="102" spans="2:27">
      <c r="B102" s="276"/>
      <c r="C102" s="276"/>
      <c r="D102" s="276"/>
      <c r="E102" s="281"/>
      <c r="F102" s="281"/>
      <c r="G102" s="284"/>
      <c r="H102" s="281"/>
      <c r="I102" s="285" t="s">
        <v>205</v>
      </c>
      <c r="J102" s="276"/>
      <c r="K102" s="276"/>
      <c r="L102" s="286"/>
      <c r="M102" s="286"/>
      <c r="N102" s="286"/>
      <c r="O102" s="286"/>
      <c r="P102" s="286"/>
      <c r="Q102" s="286"/>
      <c r="R102" s="286"/>
      <c r="S102" s="282"/>
      <c r="T102" s="276"/>
      <c r="U102" s="276"/>
      <c r="V102" s="276"/>
      <c r="W102" s="276"/>
      <c r="X102" s="276"/>
      <c r="Y102" s="276"/>
      <c r="Z102" s="276"/>
      <c r="AA102" s="276"/>
    </row>
    <row r="103" spans="2:27">
      <c r="B103" s="276"/>
      <c r="C103" s="276"/>
      <c r="D103" s="276"/>
      <c r="E103" s="281"/>
      <c r="F103" s="281"/>
      <c r="G103" s="286"/>
      <c r="H103" s="281"/>
      <c r="I103" s="285"/>
      <c r="J103" s="276"/>
      <c r="K103" s="276"/>
      <c r="L103" s="286"/>
      <c r="M103" s="286"/>
      <c r="N103" s="286"/>
      <c r="O103" s="286"/>
      <c r="P103" s="286"/>
      <c r="Q103" s="286"/>
      <c r="R103" s="286"/>
      <c r="S103" s="282"/>
      <c r="T103" s="276"/>
      <c r="U103" s="276"/>
      <c r="V103" s="276"/>
      <c r="W103" s="276"/>
      <c r="X103" s="276"/>
      <c r="Y103" s="276"/>
      <c r="Z103" s="276"/>
      <c r="AA103" s="276"/>
    </row>
    <row r="104" spans="2:27">
      <c r="B104" s="276"/>
      <c r="C104" s="276"/>
      <c r="D104" s="276"/>
      <c r="E104" s="281"/>
      <c r="F104" s="281"/>
      <c r="G104" s="284"/>
      <c r="H104" s="281"/>
      <c r="I104" s="285" t="s">
        <v>206</v>
      </c>
      <c r="J104" s="276"/>
      <c r="K104" s="276"/>
      <c r="L104" s="286"/>
      <c r="M104" s="286"/>
      <c r="N104" s="286"/>
      <c r="O104" s="286"/>
      <c r="P104" s="286"/>
      <c r="Q104" s="286"/>
      <c r="R104" s="286"/>
      <c r="S104" s="282"/>
      <c r="T104" s="276"/>
      <c r="U104" s="276"/>
      <c r="V104" s="276"/>
      <c r="W104" s="276"/>
      <c r="X104" s="276"/>
      <c r="Y104" s="276"/>
      <c r="Z104" s="276"/>
      <c r="AA104" s="276"/>
    </row>
    <row r="105" spans="2:27">
      <c r="B105" s="276"/>
      <c r="C105" s="276"/>
      <c r="D105" s="276"/>
      <c r="E105" s="281"/>
      <c r="F105" s="281"/>
      <c r="G105" s="285"/>
      <c r="H105" s="281"/>
      <c r="I105" s="276"/>
      <c r="J105" s="276"/>
      <c r="K105" s="276"/>
      <c r="L105" s="286"/>
      <c r="M105" s="286"/>
      <c r="N105" s="286"/>
      <c r="O105" s="286"/>
      <c r="P105" s="286"/>
      <c r="Q105" s="286"/>
      <c r="R105" s="286"/>
      <c r="S105" s="282"/>
      <c r="T105" s="276"/>
      <c r="U105" s="276"/>
      <c r="V105" s="276"/>
      <c r="W105" s="276"/>
      <c r="X105" s="276"/>
      <c r="Y105" s="276"/>
      <c r="Z105" s="276"/>
      <c r="AA105" s="276"/>
    </row>
    <row r="106" spans="2:27">
      <c r="B106" s="276"/>
      <c r="C106" s="276"/>
      <c r="D106" s="276"/>
      <c r="E106" s="281"/>
      <c r="F106" s="281"/>
      <c r="G106" s="285" t="s">
        <v>207</v>
      </c>
      <c r="H106" s="281"/>
      <c r="I106" s="281"/>
      <c r="J106" s="281"/>
      <c r="K106" s="1576"/>
      <c r="L106" s="1576"/>
      <c r="M106" s="1576"/>
      <c r="N106" s="1576"/>
      <c r="O106" s="1576"/>
      <c r="P106" s="286"/>
      <c r="Q106" s="286"/>
      <c r="R106" s="286"/>
      <c r="S106" s="282"/>
      <c r="T106" s="276"/>
      <c r="U106" s="276"/>
      <c r="V106" s="276"/>
      <c r="W106" s="276"/>
      <c r="X106" s="276"/>
      <c r="Y106" s="276"/>
      <c r="Z106" s="276"/>
      <c r="AA106" s="276"/>
    </row>
    <row r="107" spans="2:27" ht="9" customHeight="1">
      <c r="B107" s="276"/>
      <c r="C107" s="276"/>
      <c r="D107" s="276"/>
      <c r="E107" s="281"/>
      <c r="F107" s="281"/>
      <c r="G107" s="285"/>
      <c r="H107" s="281"/>
      <c r="I107" s="281"/>
      <c r="J107" s="281"/>
      <c r="K107" s="285"/>
      <c r="L107" s="286"/>
      <c r="M107" s="286"/>
      <c r="N107" s="286"/>
      <c r="O107" s="286"/>
      <c r="P107" s="286"/>
      <c r="Q107" s="286"/>
      <c r="R107" s="286"/>
      <c r="S107" s="282"/>
      <c r="T107" s="276"/>
      <c r="U107" s="276"/>
      <c r="V107" s="276"/>
      <c r="W107" s="276"/>
      <c r="X107" s="276"/>
      <c r="Y107" s="276"/>
      <c r="Z107" s="276"/>
      <c r="AA107" s="276"/>
    </row>
    <row r="108" spans="2:27">
      <c r="B108" s="276"/>
      <c r="C108" s="276"/>
      <c r="D108" s="276"/>
      <c r="E108" s="281"/>
      <c r="F108" s="281"/>
      <c r="G108" s="285" t="s">
        <v>208</v>
      </c>
      <c r="H108" s="281"/>
      <c r="I108" s="281"/>
      <c r="J108" s="281"/>
      <c r="K108" s="1576"/>
      <c r="L108" s="1576"/>
      <c r="M108" s="1576"/>
      <c r="N108" s="1576"/>
      <c r="O108" s="1576"/>
      <c r="P108" s="286"/>
      <c r="Q108" s="286"/>
      <c r="R108" s="286"/>
      <c r="S108" s="282"/>
      <c r="T108" s="276"/>
      <c r="U108" s="276"/>
      <c r="V108" s="276"/>
      <c r="W108" s="276"/>
      <c r="X108" s="276"/>
      <c r="Y108" s="276"/>
      <c r="Z108" s="276"/>
      <c r="AA108" s="276"/>
    </row>
    <row r="109" spans="2:27">
      <c r="B109" s="276"/>
      <c r="C109" s="276"/>
      <c r="D109" s="276"/>
      <c r="E109" s="281"/>
      <c r="F109" s="281"/>
      <c r="G109" s="281"/>
      <c r="H109" s="281"/>
      <c r="I109" s="281"/>
      <c r="J109" s="281"/>
      <c r="K109" s="285"/>
      <c r="L109" s="286"/>
      <c r="M109" s="286"/>
      <c r="N109" s="286"/>
      <c r="O109" s="286"/>
      <c r="P109" s="286"/>
      <c r="Q109" s="286"/>
      <c r="R109" s="286"/>
      <c r="S109" s="282"/>
      <c r="T109" s="276"/>
      <c r="U109" s="276"/>
      <c r="V109" s="276"/>
      <c r="W109" s="276"/>
      <c r="X109" s="276"/>
      <c r="Y109" s="276"/>
      <c r="Z109" s="276"/>
      <c r="AA109" s="276"/>
    </row>
    <row r="110" spans="2:27">
      <c r="B110" s="276"/>
      <c r="C110" s="276"/>
      <c r="D110" s="276"/>
      <c r="E110" s="276"/>
      <c r="F110" s="276"/>
      <c r="G110" s="276"/>
      <c r="H110" s="276"/>
      <c r="I110" s="276"/>
      <c r="J110" s="276"/>
      <c r="K110" s="276"/>
      <c r="L110" s="276"/>
      <c r="M110" s="276"/>
      <c r="N110" s="276"/>
      <c r="O110" s="276"/>
      <c r="P110" s="276"/>
      <c r="Q110" s="276"/>
      <c r="R110" s="276"/>
      <c r="S110" s="276"/>
      <c r="T110" s="276"/>
      <c r="U110" s="276"/>
      <c r="V110" s="276"/>
      <c r="W110" s="276"/>
      <c r="X110" s="276"/>
      <c r="Y110" s="276"/>
      <c r="Z110" s="276"/>
      <c r="AA110" s="276"/>
    </row>
    <row r="111" spans="2:27">
      <c r="B111" s="276"/>
      <c r="C111" s="276"/>
      <c r="D111" s="276"/>
      <c r="E111" s="281"/>
      <c r="F111" s="281"/>
      <c r="G111" s="281"/>
      <c r="H111" s="281"/>
      <c r="I111" s="281"/>
      <c r="J111" s="281"/>
      <c r="K111" s="281"/>
      <c r="L111" s="282"/>
      <c r="M111" s="282"/>
      <c r="N111" s="282"/>
      <c r="O111" s="282"/>
      <c r="P111" s="282"/>
      <c r="Q111" s="282"/>
      <c r="R111" s="282"/>
      <c r="S111" s="282"/>
      <c r="T111" s="282"/>
      <c r="U111" s="282"/>
      <c r="V111" s="282"/>
      <c r="W111" s="282"/>
      <c r="X111" s="282"/>
      <c r="Y111" s="276"/>
      <c r="Z111" s="276"/>
      <c r="AA111" s="276"/>
    </row>
    <row r="112" spans="2:27" ht="15">
      <c r="B112" s="276"/>
      <c r="C112" s="276"/>
      <c r="D112" s="279" t="s">
        <v>209</v>
      </c>
      <c r="E112" s="279"/>
      <c r="F112" s="280"/>
      <c r="G112" s="280"/>
      <c r="H112" s="280"/>
      <c r="I112" s="280"/>
      <c r="J112" s="280"/>
      <c r="K112" s="280"/>
      <c r="L112" s="280"/>
      <c r="M112" s="280"/>
      <c r="N112" s="280"/>
      <c r="O112" s="280"/>
      <c r="P112" s="280"/>
      <c r="Q112" s="280"/>
      <c r="R112" s="280"/>
      <c r="S112" s="280"/>
      <c r="T112" s="280"/>
      <c r="U112" s="280"/>
      <c r="V112" s="280"/>
      <c r="W112" s="280"/>
      <c r="X112" s="280"/>
      <c r="Y112" s="280"/>
      <c r="Z112" s="280"/>
      <c r="AA112" s="276"/>
    </row>
    <row r="113" spans="2:27" ht="15">
      <c r="B113" s="276"/>
      <c r="C113" s="276"/>
      <c r="D113" s="303"/>
      <c r="E113" s="303"/>
      <c r="F113" s="288"/>
      <c r="G113" s="288"/>
      <c r="H113" s="288"/>
      <c r="I113" s="288"/>
      <c r="J113" s="288"/>
      <c r="K113" s="288"/>
      <c r="L113" s="288"/>
      <c r="M113" s="288"/>
      <c r="N113" s="288"/>
      <c r="O113" s="288"/>
      <c r="P113" s="288"/>
      <c r="Q113" s="288"/>
      <c r="R113" s="288"/>
      <c r="S113" s="288"/>
      <c r="T113" s="288"/>
      <c r="U113" s="288"/>
      <c r="V113" s="288"/>
      <c r="W113" s="288"/>
      <c r="X113" s="288"/>
      <c r="Y113" s="288"/>
      <c r="Z113" s="288"/>
      <c r="AA113" s="276"/>
    </row>
    <row r="114" spans="2:27">
      <c r="B114" s="276"/>
      <c r="C114" s="276"/>
      <c r="D114" s="276"/>
      <c r="E114" s="281" t="s">
        <v>210</v>
      </c>
      <c r="F114" s="281"/>
      <c r="G114" s="281"/>
      <c r="H114" s="1568"/>
      <c r="I114" s="1568"/>
      <c r="J114" s="1568"/>
      <c r="K114" s="1568"/>
      <c r="L114" s="1568"/>
      <c r="M114" s="1568"/>
      <c r="N114" s="1568"/>
      <c r="O114" s="276"/>
      <c r="P114" s="276"/>
      <c r="Q114" s="276"/>
      <c r="R114" s="276"/>
      <c r="S114" s="276"/>
      <c r="T114" s="276"/>
      <c r="U114" s="276"/>
      <c r="V114" s="276"/>
      <c r="W114" s="276"/>
      <c r="X114" s="276"/>
      <c r="Y114" s="276"/>
      <c r="Z114" s="276"/>
      <c r="AA114" s="276"/>
    </row>
    <row r="115" spans="2:27">
      <c r="B115" s="276"/>
      <c r="C115" s="276"/>
      <c r="D115" s="276"/>
      <c r="E115" s="301" t="s">
        <v>211</v>
      </c>
      <c r="F115" s="276"/>
      <c r="G115" s="281"/>
      <c r="H115" s="1599"/>
      <c r="I115" s="1599"/>
      <c r="J115" s="1599"/>
      <c r="K115" s="1599"/>
      <c r="L115" s="1599"/>
      <c r="M115" s="1599"/>
      <c r="N115" s="1599"/>
      <c r="O115" s="276"/>
      <c r="P115" s="304"/>
      <c r="Q115" s="298"/>
      <c r="R115" s="298"/>
      <c r="S115" s="298"/>
      <c r="T115" s="298"/>
      <c r="U115" s="298"/>
      <c r="V115" s="298"/>
      <c r="W115" s="298"/>
      <c r="X115" s="298"/>
      <c r="Y115" s="276"/>
      <c r="Z115" s="276"/>
      <c r="AA115" s="276"/>
    </row>
    <row r="116" spans="2:27">
      <c r="B116" s="276"/>
      <c r="C116" s="276"/>
      <c r="D116" s="276"/>
      <c r="E116" s="281" t="s">
        <v>212</v>
      </c>
      <c r="F116" s="281"/>
      <c r="G116" s="281"/>
      <c r="H116" s="1599"/>
      <c r="I116" s="1599"/>
      <c r="J116" s="1599"/>
      <c r="K116" s="1599"/>
      <c r="L116" s="1599"/>
      <c r="M116" s="1599"/>
      <c r="N116" s="1599"/>
      <c r="O116" s="276"/>
      <c r="P116" s="304"/>
      <c r="Q116" s="298"/>
      <c r="R116" s="298"/>
      <c r="S116" s="298"/>
      <c r="T116" s="298"/>
      <c r="U116" s="298"/>
      <c r="V116" s="298"/>
      <c r="W116" s="298"/>
      <c r="X116" s="298"/>
      <c r="Y116" s="276"/>
      <c r="Z116" s="276"/>
      <c r="AA116" s="276"/>
    </row>
    <row r="117" spans="2:27">
      <c r="B117" s="276"/>
      <c r="C117" s="276"/>
      <c r="D117" s="276"/>
      <c r="E117" s="281" t="s">
        <v>213</v>
      </c>
      <c r="F117" s="281"/>
      <c r="G117" s="281"/>
      <c r="H117" s="1599"/>
      <c r="I117" s="1599"/>
      <c r="J117" s="1599"/>
      <c r="K117" s="1599"/>
      <c r="L117" s="1599"/>
      <c r="M117" s="1599"/>
      <c r="N117" s="1599"/>
      <c r="O117" s="305" t="s">
        <v>214</v>
      </c>
      <c r="P117" s="306"/>
      <c r="Q117" s="281"/>
      <c r="R117" s="276"/>
      <c r="S117" s="276"/>
      <c r="T117" s="276"/>
      <c r="U117" s="276"/>
      <c r="V117" s="276"/>
      <c r="W117" s="276"/>
      <c r="X117" s="276"/>
      <c r="Y117" s="276"/>
      <c r="Z117" s="276"/>
      <c r="AA117" s="276"/>
    </row>
    <row r="118" spans="2:27">
      <c r="B118" s="276"/>
      <c r="C118" s="276"/>
      <c r="D118" s="276"/>
      <c r="E118" s="281"/>
      <c r="F118" s="281"/>
      <c r="G118" s="281"/>
      <c r="H118" s="298"/>
      <c r="I118" s="298"/>
      <c r="J118" s="298"/>
      <c r="K118" s="298"/>
      <c r="L118" s="298"/>
      <c r="M118" s="298"/>
      <c r="N118" s="298"/>
      <c r="O118" s="305"/>
      <c r="P118" s="306"/>
      <c r="Q118" s="281"/>
      <c r="R118" s="276"/>
      <c r="S118" s="276"/>
      <c r="T118" s="276"/>
      <c r="U118" s="276"/>
      <c r="V118" s="276"/>
      <c r="W118" s="276"/>
      <c r="X118" s="276"/>
      <c r="Y118" s="276"/>
      <c r="Z118" s="276"/>
      <c r="AA118" s="276"/>
    </row>
    <row r="119" spans="2:27">
      <c r="B119" s="276"/>
      <c r="C119" s="276"/>
      <c r="D119" s="276"/>
      <c r="E119" s="281" t="s">
        <v>215</v>
      </c>
      <c r="F119" s="281"/>
      <c r="G119" s="281"/>
      <c r="H119" s="298"/>
      <c r="I119" s="298"/>
      <c r="J119" s="298"/>
      <c r="K119" s="298"/>
      <c r="L119" s="298"/>
      <c r="M119" s="298"/>
      <c r="N119" s="298"/>
      <c r="O119" s="305"/>
      <c r="P119" s="306"/>
      <c r="Q119" s="281"/>
      <c r="R119" s="276"/>
      <c r="S119" s="276"/>
      <c r="T119" s="276"/>
      <c r="U119" s="276"/>
      <c r="V119" s="276"/>
      <c r="W119" s="276"/>
      <c r="X119" s="276"/>
      <c r="Y119" s="276"/>
      <c r="Z119" s="276"/>
      <c r="AA119" s="276"/>
    </row>
    <row r="120" spans="2:27">
      <c r="B120" s="276"/>
      <c r="C120" s="276"/>
      <c r="D120" s="276"/>
      <c r="E120" s="281"/>
      <c r="F120" s="1600"/>
      <c r="G120" s="1601"/>
      <c r="H120" s="1601"/>
      <c r="I120" s="1601"/>
      <c r="J120" s="1601"/>
      <c r="K120" s="1601"/>
      <c r="L120" s="1601"/>
      <c r="M120" s="1601"/>
      <c r="N120" s="1601"/>
      <c r="O120" s="1601"/>
      <c r="P120" s="1601"/>
      <c r="Q120" s="1601"/>
      <c r="R120" s="1601"/>
      <c r="S120" s="1601"/>
      <c r="T120" s="1601"/>
      <c r="U120" s="1601"/>
      <c r="V120" s="1601"/>
      <c r="W120" s="1601"/>
      <c r="X120" s="1602"/>
      <c r="Y120" s="276"/>
      <c r="Z120" s="276"/>
      <c r="AA120" s="276"/>
    </row>
    <row r="121" spans="2:27">
      <c r="B121" s="276"/>
      <c r="C121" s="276"/>
      <c r="D121" s="276"/>
      <c r="E121" s="281"/>
      <c r="F121" s="1603"/>
      <c r="G121" s="1604"/>
      <c r="H121" s="1604"/>
      <c r="I121" s="1604"/>
      <c r="J121" s="1604"/>
      <c r="K121" s="1604"/>
      <c r="L121" s="1604"/>
      <c r="M121" s="1604"/>
      <c r="N121" s="1604"/>
      <c r="O121" s="1604"/>
      <c r="P121" s="1604"/>
      <c r="Q121" s="1604"/>
      <c r="R121" s="1604"/>
      <c r="S121" s="1604"/>
      <c r="T121" s="1604"/>
      <c r="U121" s="1604"/>
      <c r="V121" s="1604"/>
      <c r="W121" s="1604"/>
      <c r="X121" s="1605"/>
      <c r="Y121" s="276"/>
      <c r="Z121" s="276"/>
      <c r="AA121" s="276"/>
    </row>
    <row r="122" spans="2:27">
      <c r="B122" s="276"/>
      <c r="C122" s="276"/>
      <c r="D122" s="276"/>
      <c r="E122" s="281"/>
      <c r="F122" s="1603"/>
      <c r="G122" s="1604"/>
      <c r="H122" s="1604"/>
      <c r="I122" s="1604"/>
      <c r="J122" s="1604"/>
      <c r="K122" s="1604"/>
      <c r="L122" s="1604"/>
      <c r="M122" s="1604"/>
      <c r="N122" s="1604"/>
      <c r="O122" s="1604"/>
      <c r="P122" s="1604"/>
      <c r="Q122" s="1604"/>
      <c r="R122" s="1604"/>
      <c r="S122" s="1604"/>
      <c r="T122" s="1604"/>
      <c r="U122" s="1604"/>
      <c r="V122" s="1604"/>
      <c r="W122" s="1604"/>
      <c r="X122" s="1605"/>
      <c r="Y122" s="276"/>
      <c r="Z122" s="276"/>
      <c r="AA122" s="276"/>
    </row>
    <row r="123" spans="2:27">
      <c r="B123" s="276"/>
      <c r="C123" s="276"/>
      <c r="D123" s="276"/>
      <c r="E123" s="281"/>
      <c r="F123" s="1606"/>
      <c r="G123" s="1607"/>
      <c r="H123" s="1607"/>
      <c r="I123" s="1607"/>
      <c r="J123" s="1607"/>
      <c r="K123" s="1607"/>
      <c r="L123" s="1607"/>
      <c r="M123" s="1607"/>
      <c r="N123" s="1607"/>
      <c r="O123" s="1607"/>
      <c r="P123" s="1607"/>
      <c r="Q123" s="1607"/>
      <c r="R123" s="1607"/>
      <c r="S123" s="1607"/>
      <c r="T123" s="1607"/>
      <c r="U123" s="1607"/>
      <c r="V123" s="1607"/>
      <c r="W123" s="1607"/>
      <c r="X123" s="1608"/>
      <c r="Y123" s="276"/>
      <c r="Z123" s="276"/>
      <c r="AA123" s="276"/>
    </row>
    <row r="124" spans="2:27">
      <c r="B124" s="276"/>
      <c r="C124" s="276"/>
      <c r="D124" s="276"/>
      <c r="E124" s="281"/>
      <c r="F124" s="285"/>
      <c r="G124" s="281"/>
      <c r="H124" s="298"/>
      <c r="I124" s="298"/>
      <c r="J124" s="298"/>
      <c r="K124" s="298"/>
      <c r="L124" s="298"/>
      <c r="M124" s="298"/>
      <c r="N124" s="298"/>
      <c r="O124" s="305"/>
      <c r="P124" s="306"/>
      <c r="Q124" s="281"/>
      <c r="R124" s="276"/>
      <c r="S124" s="276"/>
      <c r="T124" s="276"/>
      <c r="U124" s="276"/>
      <c r="V124" s="276"/>
      <c r="W124" s="276"/>
      <c r="X124" s="276"/>
      <c r="Y124" s="276"/>
      <c r="Z124" s="276"/>
      <c r="AA124" s="276"/>
    </row>
    <row r="125" spans="2:27">
      <c r="B125" s="276"/>
      <c r="C125" s="276"/>
      <c r="D125" s="276"/>
      <c r="E125" s="281" t="s">
        <v>216</v>
      </c>
      <c r="F125" s="281"/>
      <c r="G125" s="281"/>
      <c r="H125" s="281"/>
      <c r="I125" s="281"/>
      <c r="J125" s="292"/>
      <c r="K125" s="282"/>
      <c r="L125" s="276"/>
      <c r="M125" s="276"/>
      <c r="N125" s="276"/>
      <c r="O125" s="276"/>
      <c r="P125" s="276"/>
      <c r="Q125" s="292" t="s">
        <v>217</v>
      </c>
      <c r="R125" s="307"/>
      <c r="S125" s="276"/>
      <c r="T125" s="281"/>
      <c r="U125" s="281"/>
      <c r="V125" s="292" t="s">
        <v>218</v>
      </c>
      <c r="W125" s="284"/>
      <c r="X125" s="276"/>
      <c r="Y125" s="276"/>
      <c r="Z125" s="276"/>
      <c r="AA125" s="276"/>
    </row>
    <row r="126" spans="2:27">
      <c r="B126" s="276"/>
      <c r="C126" s="276"/>
      <c r="D126" s="276"/>
      <c r="E126" s="281"/>
      <c r="F126" s="285"/>
      <c r="G126" s="281"/>
      <c r="H126" s="298"/>
      <c r="I126" s="298"/>
      <c r="J126" s="298"/>
      <c r="K126" s="298"/>
      <c r="L126" s="298"/>
      <c r="M126" s="298"/>
      <c r="N126" s="298"/>
      <c r="O126" s="305"/>
      <c r="P126" s="306"/>
      <c r="Q126" s="281"/>
      <c r="R126" s="276"/>
      <c r="S126" s="276"/>
      <c r="T126" s="276"/>
      <c r="U126" s="276"/>
      <c r="V126" s="276"/>
      <c r="W126" s="276"/>
      <c r="X126" s="276"/>
      <c r="Y126" s="276"/>
      <c r="Z126" s="276"/>
      <c r="AA126" s="276"/>
    </row>
    <row r="127" spans="2:27">
      <c r="B127" s="276"/>
      <c r="C127" s="276"/>
      <c r="D127" s="276"/>
      <c r="E127" s="281" t="s">
        <v>219</v>
      </c>
      <c r="F127" s="281"/>
      <c r="G127" s="281"/>
      <c r="H127" s="281"/>
      <c r="I127" s="281"/>
      <c r="J127" s="281"/>
      <c r="K127" s="281"/>
      <c r="L127" s="281"/>
      <c r="M127" s="281"/>
      <c r="N127" s="281"/>
      <c r="O127" s="281"/>
      <c r="P127" s="276"/>
      <c r="Q127" s="294" t="s">
        <v>170</v>
      </c>
      <c r="R127" s="284"/>
      <c r="S127" s="295" t="s">
        <v>171</v>
      </c>
      <c r="T127" s="284"/>
      <c r="U127" s="276"/>
      <c r="V127" s="276"/>
      <c r="W127" s="276"/>
      <c r="X127" s="276"/>
      <c r="Y127" s="276"/>
      <c r="Z127" s="276"/>
      <c r="AA127" s="276"/>
    </row>
    <row r="128" spans="2:27">
      <c r="B128" s="276"/>
      <c r="C128" s="276"/>
      <c r="D128" s="276"/>
      <c r="E128" s="276"/>
      <c r="F128" s="276"/>
      <c r="G128" s="276"/>
      <c r="H128" s="276"/>
      <c r="I128" s="276"/>
      <c r="J128" s="276"/>
      <c r="K128" s="276"/>
      <c r="L128" s="276"/>
      <c r="M128" s="276"/>
      <c r="N128" s="276"/>
      <c r="O128" s="276"/>
      <c r="P128" s="276"/>
      <c r="Q128" s="276"/>
      <c r="R128" s="276"/>
      <c r="S128" s="276"/>
      <c r="T128" s="276"/>
      <c r="U128" s="276"/>
      <c r="V128" s="276"/>
      <c r="W128" s="276"/>
      <c r="X128" s="276"/>
      <c r="Y128" s="276"/>
      <c r="Z128" s="276"/>
      <c r="AA128" s="276"/>
    </row>
    <row r="129" spans="2:27">
      <c r="B129" s="276"/>
      <c r="C129" s="276"/>
      <c r="D129" s="276"/>
      <c r="E129" s="281"/>
      <c r="F129" s="281"/>
      <c r="G129" s="281"/>
      <c r="H129" s="281"/>
      <c r="I129" s="281"/>
      <c r="J129" s="281"/>
      <c r="K129" s="283" t="s">
        <v>220</v>
      </c>
      <c r="L129" s="284"/>
      <c r="M129" s="288"/>
      <c r="N129" s="282"/>
      <c r="O129" s="276"/>
      <c r="P129" s="282"/>
      <c r="Q129" s="283" t="s">
        <v>221</v>
      </c>
      <c r="R129" s="284"/>
      <c r="S129" s="282"/>
      <c r="T129" s="276"/>
      <c r="U129" s="283" t="s">
        <v>222</v>
      </c>
      <c r="V129" s="1575"/>
      <c r="W129" s="1575"/>
      <c r="X129" s="1575"/>
      <c r="Y129" s="276"/>
      <c r="Z129" s="276"/>
      <c r="AA129" s="276"/>
    </row>
    <row r="130" spans="2:27">
      <c r="B130" s="276"/>
      <c r="C130" s="276"/>
      <c r="D130" s="276"/>
      <c r="E130" s="276"/>
      <c r="F130" s="277"/>
      <c r="G130" s="276"/>
      <c r="H130" s="276"/>
      <c r="I130" s="276"/>
      <c r="J130" s="276"/>
      <c r="K130" s="276"/>
      <c r="L130" s="276"/>
      <c r="M130" s="276"/>
      <c r="N130" s="276"/>
      <c r="O130" s="276"/>
      <c r="P130" s="276"/>
      <c r="Q130" s="276"/>
      <c r="R130" s="276"/>
      <c r="S130" s="276"/>
      <c r="T130" s="276"/>
      <c r="U130" s="276"/>
      <c r="V130" s="276"/>
      <c r="W130" s="276"/>
      <c r="X130" s="276"/>
      <c r="Y130" s="276"/>
      <c r="Z130" s="276"/>
      <c r="AA130" s="276"/>
    </row>
    <row r="131" spans="2:27">
      <c r="B131" s="276"/>
      <c r="C131" s="276"/>
      <c r="D131" s="276"/>
      <c r="E131" s="281" t="s">
        <v>223</v>
      </c>
      <c r="F131" s="281"/>
      <c r="G131" s="281"/>
      <c r="H131" s="281"/>
      <c r="I131" s="281"/>
      <c r="J131" s="281"/>
      <c r="K131" s="292"/>
      <c r="L131" s="286"/>
      <c r="M131" s="276"/>
      <c r="N131" s="276"/>
      <c r="O131" s="276"/>
      <c r="P131" s="276"/>
      <c r="Q131" s="276"/>
      <c r="R131" s="276"/>
      <c r="S131" s="276"/>
      <c r="T131" s="294" t="s">
        <v>170</v>
      </c>
      <c r="U131" s="284"/>
      <c r="V131" s="295" t="s">
        <v>171</v>
      </c>
      <c r="W131" s="284"/>
      <c r="X131" s="276"/>
      <c r="Y131" s="276"/>
      <c r="Z131" s="276"/>
      <c r="AA131" s="276"/>
    </row>
    <row r="132" spans="2:27">
      <c r="B132" s="276"/>
      <c r="C132" s="276"/>
      <c r="D132" s="276"/>
      <c r="E132" s="276"/>
      <c r="F132" s="277"/>
      <c r="G132" s="276"/>
      <c r="H132" s="276"/>
      <c r="I132" s="276"/>
      <c r="J132" s="276"/>
      <c r="K132" s="276"/>
      <c r="L132" s="276"/>
      <c r="M132" s="276"/>
      <c r="N132" s="276"/>
      <c r="O132" s="276"/>
      <c r="P132" s="276"/>
      <c r="Q132" s="276"/>
      <c r="R132" s="276"/>
      <c r="S132" s="276"/>
      <c r="T132" s="276"/>
      <c r="U132" s="276"/>
      <c r="V132" s="276"/>
      <c r="W132" s="276"/>
      <c r="X132" s="276"/>
      <c r="Y132" s="276"/>
      <c r="Z132" s="276"/>
      <c r="AA132" s="276"/>
    </row>
    <row r="133" spans="2:27">
      <c r="B133" s="276"/>
      <c r="C133" s="276"/>
      <c r="D133" s="276"/>
      <c r="E133" s="281" t="s">
        <v>224</v>
      </c>
      <c r="F133" s="285"/>
      <c r="G133" s="281"/>
      <c r="H133" s="298"/>
      <c r="I133" s="298"/>
      <c r="J133" s="298"/>
      <c r="K133" s="298"/>
      <c r="L133" s="298"/>
      <c r="M133" s="298"/>
      <c r="N133" s="298"/>
      <c r="O133" s="305"/>
      <c r="P133" s="306"/>
      <c r="Q133" s="281"/>
      <c r="R133" s="276"/>
      <c r="S133" s="276"/>
      <c r="T133" s="294" t="s">
        <v>170</v>
      </c>
      <c r="U133" s="284"/>
      <c r="V133" s="295" t="s">
        <v>171</v>
      </c>
      <c r="W133" s="284"/>
      <c r="X133" s="276"/>
      <c r="Y133" s="276"/>
      <c r="Z133" s="276"/>
      <c r="AA133" s="276"/>
    </row>
    <row r="134" spans="2:27">
      <c r="B134" s="276"/>
      <c r="C134" s="276"/>
      <c r="D134" s="276"/>
      <c r="E134" s="276"/>
      <c r="F134" s="278" t="s">
        <v>225</v>
      </c>
      <c r="G134" s="281"/>
      <c r="H134" s="298"/>
      <c r="I134" s="298"/>
      <c r="J134" s="298"/>
      <c r="K134" s="298"/>
      <c r="L134" s="298"/>
      <c r="M134" s="298"/>
      <c r="N134" s="298"/>
      <c r="O134" s="305"/>
      <c r="P134" s="306"/>
      <c r="Q134" s="281"/>
      <c r="R134" s="276"/>
      <c r="S134" s="276"/>
      <c r="T134" s="276"/>
      <c r="U134" s="276"/>
      <c r="V134" s="276"/>
      <c r="W134" s="276"/>
      <c r="X134" s="276"/>
      <c r="Y134" s="276"/>
      <c r="Z134" s="276"/>
      <c r="AA134" s="276"/>
    </row>
    <row r="135" spans="2:27">
      <c r="B135" s="276"/>
      <c r="C135" s="276"/>
      <c r="D135" s="276"/>
      <c r="E135" s="276"/>
      <c r="F135" s="277"/>
      <c r="G135" s="276"/>
      <c r="H135" s="276"/>
      <c r="I135" s="276"/>
      <c r="J135" s="276"/>
      <c r="K135" s="276"/>
      <c r="L135" s="276"/>
      <c r="M135" s="276"/>
      <c r="N135" s="276"/>
      <c r="O135" s="276"/>
      <c r="P135" s="276"/>
      <c r="Q135" s="276"/>
      <c r="R135" s="276"/>
      <c r="S135" s="276"/>
      <c r="T135" s="276"/>
      <c r="U135" s="276"/>
      <c r="V135" s="276"/>
      <c r="W135" s="276"/>
      <c r="X135" s="276"/>
      <c r="Y135" s="276"/>
      <c r="Z135" s="276"/>
      <c r="AA135" s="276"/>
    </row>
    <row r="136" spans="2:27">
      <c r="B136" s="276"/>
      <c r="C136" s="276"/>
      <c r="D136" s="278"/>
      <c r="E136" s="276"/>
      <c r="F136" s="276"/>
      <c r="G136" s="276"/>
      <c r="H136" s="276"/>
      <c r="I136" s="276"/>
      <c r="J136" s="276"/>
      <c r="K136" s="276"/>
      <c r="L136" s="276"/>
      <c r="M136" s="276"/>
      <c r="N136" s="276"/>
      <c r="O136" s="276"/>
      <c r="P136" s="276"/>
      <c r="Q136" s="276"/>
      <c r="R136" s="276"/>
      <c r="S136" s="276"/>
      <c r="T136" s="276"/>
      <c r="U136" s="276"/>
      <c r="V136" s="276"/>
      <c r="W136" s="276"/>
      <c r="X136" s="276"/>
      <c r="Y136" s="276"/>
      <c r="Z136" s="276"/>
      <c r="AA136" s="276"/>
    </row>
    <row r="137" spans="2:27">
      <c r="B137" s="276"/>
      <c r="C137" s="276"/>
      <c r="D137" s="276"/>
      <c r="E137" s="276"/>
      <c r="F137" s="276"/>
      <c r="G137" s="276"/>
      <c r="H137" s="276"/>
      <c r="I137" s="276"/>
      <c r="J137" s="276"/>
      <c r="K137" s="276"/>
      <c r="L137" s="276"/>
      <c r="M137" s="276"/>
      <c r="N137" s="276"/>
      <c r="O137" s="276"/>
      <c r="P137" s="276"/>
      <c r="Q137" s="276"/>
      <c r="R137" s="276"/>
      <c r="S137" s="276"/>
      <c r="T137" s="276"/>
      <c r="U137" s="276"/>
      <c r="V137" s="276"/>
      <c r="W137" s="276"/>
      <c r="X137" s="276"/>
      <c r="Y137" s="276"/>
      <c r="Z137" s="276"/>
      <c r="AA137" s="276"/>
    </row>
    <row r="138" spans="2:27" ht="15">
      <c r="B138" s="276"/>
      <c r="C138" s="276"/>
      <c r="D138" s="279" t="s">
        <v>226</v>
      </c>
      <c r="E138" s="308"/>
      <c r="F138" s="280"/>
      <c r="G138" s="280"/>
      <c r="H138" s="280"/>
      <c r="I138" s="280"/>
      <c r="J138" s="280"/>
      <c r="K138" s="280"/>
      <c r="L138" s="280"/>
      <c r="M138" s="280"/>
      <c r="N138" s="280"/>
      <c r="O138" s="280"/>
      <c r="P138" s="280"/>
      <c r="Q138" s="280"/>
      <c r="R138" s="280"/>
      <c r="S138" s="280"/>
      <c r="T138" s="280"/>
      <c r="U138" s="280"/>
      <c r="V138" s="280"/>
      <c r="W138" s="280"/>
      <c r="X138" s="280"/>
      <c r="Y138" s="280"/>
      <c r="Z138" s="280"/>
      <c r="AA138" s="276"/>
    </row>
    <row r="139" spans="2:27">
      <c r="B139" s="276"/>
      <c r="C139" s="276"/>
      <c r="D139" s="276"/>
      <c r="E139" s="276"/>
      <c r="F139" s="276"/>
      <c r="G139" s="276"/>
      <c r="H139" s="276"/>
      <c r="I139" s="276"/>
      <c r="J139" s="276"/>
      <c r="K139" s="276"/>
      <c r="L139" s="281"/>
      <c r="M139" s="281"/>
      <c r="N139" s="281"/>
      <c r="O139" s="281"/>
      <c r="P139" s="281"/>
      <c r="Q139" s="281"/>
      <c r="R139" s="281"/>
      <c r="S139" s="281"/>
      <c r="T139" s="281"/>
      <c r="U139" s="281"/>
      <c r="V139" s="281"/>
      <c r="W139" s="281"/>
      <c r="X139" s="281"/>
      <c r="Y139" s="276"/>
      <c r="Z139" s="276"/>
      <c r="AA139" s="276"/>
    </row>
    <row r="140" spans="2:27">
      <c r="B140" s="276"/>
      <c r="C140" s="276"/>
      <c r="D140" s="276"/>
      <c r="E140" s="309" t="s">
        <v>227</v>
      </c>
      <c r="F140" s="276"/>
      <c r="G140" s="276"/>
      <c r="H140" s="276"/>
      <c r="I140" s="276"/>
      <c r="J140" s="276"/>
      <c r="K140" s="276"/>
      <c r="L140" s="281"/>
      <c r="M140" s="281"/>
      <c r="N140" s="276"/>
      <c r="O140" s="276"/>
      <c r="P140" s="276"/>
      <c r="Q140" s="276"/>
      <c r="R140" s="276"/>
      <c r="S140" s="294" t="s">
        <v>228</v>
      </c>
      <c r="T140" s="284"/>
      <c r="U140" s="281"/>
      <c r="V140" s="294" t="s">
        <v>154</v>
      </c>
      <c r="W140" s="284"/>
      <c r="X140" s="281"/>
      <c r="Y140" s="276"/>
      <c r="Z140" s="276"/>
      <c r="AA140" s="276"/>
    </row>
    <row r="141" spans="2:27">
      <c r="B141" s="276"/>
      <c r="C141" s="276"/>
      <c r="D141" s="276"/>
      <c r="E141" s="276"/>
      <c r="F141" s="285" t="s">
        <v>229</v>
      </c>
      <c r="G141" s="276"/>
      <c r="H141" s="276"/>
      <c r="I141" s="276"/>
      <c r="J141" s="276"/>
      <c r="K141" s="276"/>
      <c r="L141" s="1568"/>
      <c r="M141" s="1568"/>
      <c r="N141" s="1568"/>
      <c r="O141" s="1568"/>
      <c r="P141" s="1568"/>
      <c r="Q141" s="1568"/>
      <c r="R141" s="1568"/>
      <c r="S141" s="1568"/>
      <c r="T141" s="1568"/>
      <c r="U141" s="1568"/>
      <c r="V141" s="1568"/>
      <c r="W141" s="1568"/>
      <c r="X141" s="276"/>
      <c r="Y141" s="276"/>
      <c r="Z141" s="276"/>
      <c r="AA141" s="276"/>
    </row>
    <row r="142" spans="2:27">
      <c r="B142" s="276"/>
      <c r="C142" s="276"/>
      <c r="D142" s="276"/>
      <c r="E142" s="276"/>
      <c r="F142" s="278"/>
      <c r="G142" s="310"/>
      <c r="H142" s="310"/>
      <c r="I142" s="310"/>
      <c r="J142" s="310"/>
      <c r="K142" s="310"/>
      <c r="L142" s="281"/>
      <c r="M142" s="276"/>
      <c r="N142" s="281"/>
      <c r="O142" s="281"/>
      <c r="P142" s="281"/>
      <c r="Q142" s="281"/>
      <c r="R142" s="281"/>
      <c r="S142" s="281"/>
      <c r="T142" s="281"/>
      <c r="U142" s="281"/>
      <c r="V142" s="281"/>
      <c r="W142" s="281"/>
      <c r="X142" s="276"/>
      <c r="Y142" s="276"/>
      <c r="Z142" s="276"/>
      <c r="AA142" s="276"/>
    </row>
    <row r="143" spans="2:27">
      <c r="B143" s="276"/>
      <c r="C143" s="276"/>
      <c r="D143" s="276"/>
      <c r="E143" s="281" t="s">
        <v>230</v>
      </c>
      <c r="F143" s="276"/>
      <c r="G143" s="281"/>
      <c r="H143" s="281"/>
      <c r="I143" s="281"/>
      <c r="J143" s="281"/>
      <c r="K143" s="276"/>
      <c r="L143" s="276"/>
      <c r="M143" s="276"/>
      <c r="N143" s="276"/>
      <c r="O143" s="276"/>
      <c r="P143" s="276"/>
      <c r="Q143" s="276"/>
      <c r="R143" s="276"/>
      <c r="S143" s="276"/>
      <c r="T143" s="294" t="s">
        <v>170</v>
      </c>
      <c r="U143" s="284"/>
      <c r="V143" s="276"/>
      <c r="W143" s="276"/>
      <c r="X143" s="276"/>
      <c r="Y143" s="276"/>
      <c r="Z143" s="276"/>
      <c r="AA143" s="276"/>
    </row>
    <row r="144" spans="2:27">
      <c r="B144" s="276"/>
      <c r="C144" s="276"/>
      <c r="D144" s="276"/>
      <c r="E144" s="281"/>
      <c r="F144" s="285" t="s">
        <v>231</v>
      </c>
      <c r="G144" s="276"/>
      <c r="H144" s="276"/>
      <c r="I144" s="276"/>
      <c r="J144" s="276"/>
      <c r="K144" s="276"/>
      <c r="L144" s="1568"/>
      <c r="M144" s="1568"/>
      <c r="N144" s="1568"/>
      <c r="O144" s="1568"/>
      <c r="P144" s="1568"/>
      <c r="Q144" s="1568"/>
      <c r="R144" s="1568"/>
      <c r="S144" s="1568"/>
      <c r="T144" s="1568"/>
      <c r="U144" s="1568"/>
      <c r="V144" s="1568"/>
      <c r="W144" s="1568"/>
      <c r="X144" s="276"/>
      <c r="Y144" s="276"/>
      <c r="Z144" s="276"/>
      <c r="AA144" s="276"/>
    </row>
    <row r="145" spans="2:27">
      <c r="B145" s="276"/>
      <c r="C145" s="276"/>
      <c r="D145" s="276"/>
      <c r="E145" s="281"/>
      <c r="F145" s="276"/>
      <c r="G145" s="310"/>
      <c r="H145" s="310"/>
      <c r="I145" s="310"/>
      <c r="J145" s="310"/>
      <c r="K145" s="310"/>
      <c r="L145" s="281"/>
      <c r="M145" s="276"/>
      <c r="N145" s="276"/>
      <c r="O145" s="276"/>
      <c r="P145" s="276"/>
      <c r="Q145" s="276"/>
      <c r="R145" s="281"/>
      <c r="S145" s="294"/>
      <c r="T145" s="286"/>
      <c r="U145" s="295"/>
      <c r="V145" s="286"/>
      <c r="W145" s="281"/>
      <c r="X145" s="281"/>
      <c r="Y145" s="276"/>
      <c r="Z145" s="276"/>
      <c r="AA145" s="276"/>
    </row>
    <row r="146" spans="2:27">
      <c r="B146" s="276"/>
      <c r="C146" s="276"/>
      <c r="D146" s="276"/>
      <c r="E146" s="276"/>
      <c r="F146" s="285" t="s">
        <v>232</v>
      </c>
      <c r="G146" s="278"/>
      <c r="H146" s="310"/>
      <c r="I146" s="310"/>
      <c r="J146" s="310"/>
      <c r="K146" s="310"/>
      <c r="L146" s="281"/>
      <c r="M146" s="276"/>
      <c r="N146" s="281"/>
      <c r="O146" s="281"/>
      <c r="P146" s="281"/>
      <c r="Q146" s="281"/>
      <c r="R146" s="294" t="s">
        <v>170</v>
      </c>
      <c r="S146" s="284"/>
      <c r="T146" s="276"/>
      <c r="U146" s="295" t="s">
        <v>171</v>
      </c>
      <c r="V146" s="284"/>
      <c r="W146" s="281"/>
      <c r="X146" s="281"/>
      <c r="Y146" s="276"/>
      <c r="Z146" s="276"/>
      <c r="AA146" s="276"/>
    </row>
    <row r="147" spans="2:27">
      <c r="B147" s="276"/>
      <c r="C147" s="276"/>
      <c r="D147" s="276"/>
      <c r="E147" s="276"/>
      <c r="F147" s="276"/>
      <c r="G147" s="276"/>
      <c r="H147" s="281"/>
      <c r="I147" s="281"/>
      <c r="J147" s="281"/>
      <c r="K147" s="281"/>
      <c r="L147" s="281"/>
      <c r="M147" s="276"/>
      <c r="N147" s="276"/>
      <c r="O147" s="276"/>
      <c r="P147" s="276"/>
      <c r="Q147" s="276"/>
      <c r="R147" s="276"/>
      <c r="S147" s="276"/>
      <c r="T147" s="276"/>
      <c r="U147" s="276"/>
      <c r="V147" s="276"/>
      <c r="W147" s="281"/>
      <c r="X147" s="281"/>
      <c r="Y147" s="276"/>
      <c r="Z147" s="276"/>
      <c r="AA147" s="276"/>
    </row>
    <row r="148" spans="2:27">
      <c r="B148" s="276"/>
      <c r="C148" s="276"/>
      <c r="D148" s="276"/>
      <c r="E148" s="276"/>
      <c r="F148" s="276"/>
      <c r="G148" s="285" t="s">
        <v>233</v>
      </c>
      <c r="H148" s="281"/>
      <c r="I148" s="281"/>
      <c r="J148" s="281"/>
      <c r="K148" s="281"/>
      <c r="L148" s="281"/>
      <c r="M148" s="281"/>
      <c r="N148" s="281"/>
      <c r="O148" s="276"/>
      <c r="P148" s="276"/>
      <c r="Q148" s="276"/>
      <c r="R148" s="292" t="s">
        <v>234</v>
      </c>
      <c r="S148" s="311"/>
      <c r="T148" s="276"/>
      <c r="U148" s="292" t="s">
        <v>235</v>
      </c>
      <c r="V148" s="284"/>
      <c r="W148" s="281"/>
      <c r="X148" s="281"/>
      <c r="Y148" s="276"/>
      <c r="Z148" s="276"/>
      <c r="AA148" s="276"/>
    </row>
    <row r="149" spans="2:27">
      <c r="B149" s="276"/>
      <c r="C149" s="276"/>
      <c r="D149" s="276"/>
      <c r="E149" s="276"/>
      <c r="F149" s="276"/>
      <c r="G149" s="278" t="s">
        <v>236</v>
      </c>
      <c r="H149" s="276"/>
      <c r="I149" s="276"/>
      <c r="J149" s="276"/>
      <c r="K149" s="276"/>
      <c r="L149" s="276"/>
      <c r="M149" s="276"/>
      <c r="N149" s="276"/>
      <c r="O149" s="276"/>
      <c r="P149" s="276"/>
      <c r="Q149" s="276"/>
      <c r="R149" s="276"/>
      <c r="S149" s="276"/>
      <c r="T149" s="276"/>
      <c r="U149" s="276"/>
      <c r="V149" s="276"/>
      <c r="W149" s="281"/>
      <c r="X149" s="281"/>
      <c r="Y149" s="276"/>
      <c r="Z149" s="276"/>
      <c r="AA149" s="276"/>
    </row>
    <row r="150" spans="2:27">
      <c r="B150" s="276"/>
      <c r="C150" s="276"/>
      <c r="D150" s="276"/>
      <c r="E150" s="281"/>
      <c r="F150" s="281"/>
      <c r="G150" s="281"/>
      <c r="H150" s="281"/>
      <c r="I150" s="281"/>
      <c r="J150" s="281"/>
      <c r="K150" s="281"/>
      <c r="L150" s="281"/>
      <c r="M150" s="276"/>
      <c r="N150" s="294"/>
      <c r="O150" s="286"/>
      <c r="P150" s="294"/>
      <c r="Q150" s="286"/>
      <c r="R150" s="294"/>
      <c r="S150" s="286"/>
      <c r="T150" s="281"/>
      <c r="U150" s="281"/>
      <c r="V150" s="281"/>
      <c r="W150" s="281"/>
      <c r="X150" s="281"/>
      <c r="Y150" s="276"/>
      <c r="Z150" s="276"/>
      <c r="AA150" s="276"/>
    </row>
    <row r="151" spans="2:27">
      <c r="B151" s="276"/>
      <c r="C151" s="276"/>
      <c r="D151" s="276"/>
      <c r="E151" s="281"/>
      <c r="F151" s="281"/>
      <c r="G151" s="281"/>
      <c r="H151" s="281"/>
      <c r="I151" s="281"/>
      <c r="J151" s="281"/>
      <c r="K151" s="281"/>
      <c r="L151" s="281"/>
      <c r="M151" s="276"/>
      <c r="N151" s="294"/>
      <c r="O151" s="286"/>
      <c r="P151" s="294"/>
      <c r="Q151" s="286"/>
      <c r="R151" s="294"/>
      <c r="S151" s="286"/>
      <c r="T151" s="281"/>
      <c r="U151" s="281"/>
      <c r="V151" s="281"/>
      <c r="W151" s="281"/>
      <c r="X151" s="281"/>
      <c r="Y151" s="276"/>
      <c r="Z151" s="276"/>
      <c r="AA151" s="276"/>
    </row>
    <row r="152" spans="2:27" ht="15">
      <c r="B152" s="276"/>
      <c r="C152" s="276"/>
      <c r="D152" s="279" t="s">
        <v>237</v>
      </c>
      <c r="E152" s="308"/>
      <c r="F152" s="280"/>
      <c r="G152" s="280"/>
      <c r="H152" s="280"/>
      <c r="I152" s="280"/>
      <c r="J152" s="280"/>
      <c r="K152" s="280"/>
      <c r="L152" s="280"/>
      <c r="M152" s="280"/>
      <c r="N152" s="280"/>
      <c r="O152" s="280"/>
      <c r="P152" s="280"/>
      <c r="Q152" s="280"/>
      <c r="R152" s="280"/>
      <c r="S152" s="280"/>
      <c r="T152" s="280"/>
      <c r="U152" s="280"/>
      <c r="V152" s="280"/>
      <c r="W152" s="280"/>
      <c r="X152" s="280"/>
      <c r="Y152" s="280"/>
      <c r="Z152" s="280"/>
      <c r="AA152" s="276"/>
    </row>
    <row r="153" spans="2:27" ht="15">
      <c r="B153" s="276"/>
      <c r="C153" s="276"/>
      <c r="D153" s="303"/>
      <c r="E153" s="302"/>
      <c r="F153" s="288"/>
      <c r="G153" s="288"/>
      <c r="H153" s="288"/>
      <c r="I153" s="288"/>
      <c r="J153" s="288"/>
      <c r="K153" s="288"/>
      <c r="L153" s="288"/>
      <c r="M153" s="280"/>
      <c r="N153" s="288"/>
      <c r="O153" s="288"/>
      <c r="P153" s="288"/>
      <c r="Q153" s="280"/>
      <c r="R153" s="288"/>
      <c r="S153" s="288"/>
      <c r="T153" s="288"/>
      <c r="U153" s="280"/>
      <c r="V153" s="288"/>
      <c r="W153" s="288"/>
      <c r="X153" s="288"/>
      <c r="Y153" s="280"/>
      <c r="Z153" s="288"/>
      <c r="AA153" s="276"/>
    </row>
    <row r="154" spans="2:27">
      <c r="B154" s="276"/>
      <c r="C154" s="276"/>
      <c r="D154" s="276"/>
      <c r="E154" s="281" t="s">
        <v>238</v>
      </c>
      <c r="F154" s="276"/>
      <c r="G154" s="276"/>
      <c r="H154" s="276"/>
      <c r="I154" s="276"/>
      <c r="J154" s="276"/>
      <c r="K154" s="276"/>
      <c r="L154" s="292" t="s">
        <v>110</v>
      </c>
      <c r="M154" s="284"/>
      <c r="N154" s="281"/>
      <c r="O154" s="281"/>
      <c r="P154" s="292" t="s">
        <v>138</v>
      </c>
      <c r="Q154" s="284"/>
      <c r="R154" s="281"/>
      <c r="S154" s="281"/>
      <c r="T154" s="292" t="s">
        <v>143</v>
      </c>
      <c r="U154" s="284"/>
      <c r="V154" s="276"/>
      <c r="W154" s="276"/>
      <c r="X154" s="292" t="s">
        <v>139</v>
      </c>
      <c r="Y154" s="284"/>
      <c r="Z154" s="276"/>
      <c r="AA154" s="276"/>
    </row>
    <row r="155" spans="2:27">
      <c r="B155" s="276"/>
      <c r="C155" s="276"/>
      <c r="D155" s="276"/>
      <c r="E155" s="281"/>
      <c r="F155" s="276"/>
      <c r="G155" s="276"/>
      <c r="H155" s="276"/>
      <c r="I155" s="276"/>
      <c r="J155" s="276"/>
      <c r="K155" s="276"/>
      <c r="L155" s="276"/>
      <c r="M155" s="276"/>
      <c r="N155" s="276"/>
      <c r="O155" s="276"/>
      <c r="P155" s="276"/>
      <c r="Q155" s="276"/>
      <c r="R155" s="276"/>
      <c r="S155" s="276"/>
      <c r="T155" s="276"/>
      <c r="U155" s="276"/>
      <c r="V155" s="276"/>
      <c r="W155" s="276"/>
      <c r="X155" s="276"/>
      <c r="Y155" s="276"/>
      <c r="Z155" s="276"/>
      <c r="AA155" s="276"/>
    </row>
    <row r="156" spans="2:27">
      <c r="B156" s="276"/>
      <c r="C156" s="276"/>
      <c r="D156" s="276"/>
      <c r="E156" s="281" t="s">
        <v>239</v>
      </c>
      <c r="F156" s="276"/>
      <c r="G156" s="276"/>
      <c r="H156" s="276"/>
      <c r="I156" s="276"/>
      <c r="J156" s="276"/>
      <c r="K156" s="276"/>
      <c r="L156" s="312" t="s">
        <v>96</v>
      </c>
      <c r="M156" s="284"/>
      <c r="N156" s="276"/>
      <c r="O156" s="276"/>
      <c r="P156" s="312" t="s">
        <v>97</v>
      </c>
      <c r="Q156" s="284"/>
      <c r="R156" s="276"/>
      <c r="S156" s="276"/>
      <c r="T156" s="276"/>
      <c r="U156" s="276"/>
      <c r="V156" s="276"/>
      <c r="W156" s="276"/>
      <c r="X156" s="276"/>
      <c r="Y156" s="276"/>
      <c r="Z156" s="276"/>
      <c r="AA156" s="276"/>
    </row>
    <row r="157" spans="2:27">
      <c r="B157" s="276"/>
      <c r="C157" s="276"/>
      <c r="D157" s="276"/>
      <c r="E157" s="281"/>
      <c r="F157" s="276"/>
      <c r="G157" s="276"/>
      <c r="H157" s="276"/>
      <c r="I157" s="276"/>
      <c r="J157" s="276"/>
      <c r="K157" s="276"/>
      <c r="L157" s="312"/>
      <c r="M157" s="286"/>
      <c r="N157" s="276"/>
      <c r="O157" s="276"/>
      <c r="P157" s="312"/>
      <c r="Q157" s="286"/>
      <c r="R157" s="276"/>
      <c r="S157" s="276"/>
      <c r="T157" s="276"/>
      <c r="U157" s="276"/>
      <c r="V157" s="276"/>
      <c r="W157" s="276"/>
      <c r="X157" s="276"/>
      <c r="Y157" s="276"/>
      <c r="Z157" s="276"/>
      <c r="AA157" s="276"/>
    </row>
    <row r="158" spans="2:27">
      <c r="B158" s="276"/>
      <c r="C158" s="276"/>
      <c r="D158" s="276"/>
      <c r="E158" s="281"/>
      <c r="F158" s="312" t="s">
        <v>240</v>
      </c>
      <c r="G158" s="276"/>
      <c r="H158" s="276"/>
      <c r="I158" s="276"/>
      <c r="J158" s="312"/>
      <c r="K158" s="276"/>
      <c r="L158" s="276"/>
      <c r="M158" s="312"/>
      <c r="N158" s="276"/>
      <c r="O158" s="1609"/>
      <c r="P158" s="1609"/>
      <c r="Q158" s="1609"/>
      <c r="R158" s="1609"/>
      <c r="S158" s="1609"/>
      <c r="T158" s="276"/>
      <c r="U158" s="276"/>
      <c r="V158" s="276"/>
      <c r="W158" s="276"/>
      <c r="X158" s="276"/>
      <c r="Y158" s="276"/>
      <c r="Z158" s="276"/>
      <c r="AA158" s="276"/>
    </row>
    <row r="159" spans="2:27">
      <c r="B159" s="276"/>
      <c r="C159" s="276"/>
      <c r="D159" s="276"/>
      <c r="E159" s="281"/>
      <c r="F159" s="276"/>
      <c r="G159" s="276"/>
      <c r="H159" s="276"/>
      <c r="I159" s="276"/>
      <c r="J159" s="276"/>
      <c r="K159" s="276"/>
      <c r="L159" s="276"/>
      <c r="M159" s="276"/>
      <c r="N159" s="276"/>
      <c r="O159" s="276"/>
      <c r="P159" s="276"/>
      <c r="Q159" s="276"/>
      <c r="R159" s="276"/>
      <c r="S159" s="276"/>
      <c r="T159" s="276"/>
      <c r="U159" s="276"/>
      <c r="V159" s="276"/>
      <c r="W159" s="276"/>
      <c r="X159" s="276"/>
      <c r="Y159" s="276"/>
      <c r="Z159" s="276"/>
      <c r="AA159" s="276"/>
    </row>
    <row r="160" spans="2:27">
      <c r="B160" s="276"/>
      <c r="C160" s="276"/>
      <c r="D160" s="276"/>
      <c r="E160" s="281" t="s">
        <v>241</v>
      </c>
      <c r="F160" s="276"/>
      <c r="G160" s="276"/>
      <c r="H160" s="276"/>
      <c r="I160" s="276"/>
      <c r="J160" s="276"/>
      <c r="K160" s="276"/>
      <c r="L160" s="276"/>
      <c r="M160" s="276"/>
      <c r="N160" s="281"/>
      <c r="O160" s="281"/>
      <c r="P160" s="281"/>
      <c r="Q160" s="281"/>
      <c r="R160" s="281"/>
      <c r="S160" s="281"/>
      <c r="T160" s="281"/>
      <c r="U160" s="281"/>
      <c r="V160" s="281"/>
      <c r="W160" s="281"/>
      <c r="X160" s="276"/>
      <c r="Y160" s="276"/>
      <c r="Z160" s="276"/>
      <c r="AA160" s="276"/>
    </row>
    <row r="161" spans="2:27">
      <c r="B161" s="276"/>
      <c r="C161" s="276"/>
      <c r="D161" s="276"/>
      <c r="E161" s="281"/>
      <c r="F161" s="281"/>
      <c r="G161" s="281"/>
      <c r="H161" s="281"/>
      <c r="I161" s="281"/>
      <c r="J161" s="281"/>
      <c r="K161" s="281"/>
      <c r="L161" s="281"/>
      <c r="M161" s="281"/>
      <c r="N161" s="281"/>
      <c r="O161" s="281"/>
      <c r="P161" s="281"/>
      <c r="Q161" s="281"/>
      <c r="R161" s="281"/>
      <c r="S161" s="281"/>
      <c r="T161" s="281"/>
      <c r="U161" s="281"/>
      <c r="V161" s="281"/>
      <c r="W161" s="281"/>
      <c r="X161" s="276"/>
      <c r="Y161" s="276"/>
      <c r="Z161" s="276"/>
      <c r="AA161" s="276"/>
    </row>
    <row r="162" spans="2:27">
      <c r="B162" s="276"/>
      <c r="C162" s="276"/>
      <c r="D162" s="276"/>
      <c r="E162" s="281"/>
      <c r="F162" s="284"/>
      <c r="G162" s="281"/>
      <c r="H162" s="281"/>
      <c r="I162" s="281"/>
      <c r="J162" s="284"/>
      <c r="K162" s="281"/>
      <c r="L162" s="281"/>
      <c r="M162" s="281"/>
      <c r="N162" s="281"/>
      <c r="O162" s="284"/>
      <c r="P162" s="281"/>
      <c r="Q162" s="281"/>
      <c r="R162" s="281"/>
      <c r="S162" s="281"/>
      <c r="T162" s="284"/>
      <c r="U162" s="281"/>
      <c r="V162" s="281"/>
      <c r="W162" s="281"/>
      <c r="X162" s="276"/>
      <c r="Y162" s="276"/>
      <c r="Z162" s="276"/>
      <c r="AA162" s="276"/>
    </row>
    <row r="163" spans="2:27">
      <c r="B163" s="276"/>
      <c r="C163" s="276"/>
      <c r="D163" s="276"/>
      <c r="E163" s="281"/>
      <c r="F163" s="281"/>
      <c r="G163" s="281"/>
      <c r="H163" s="281"/>
      <c r="I163" s="281"/>
      <c r="J163" s="281"/>
      <c r="K163" s="281"/>
      <c r="L163" s="281"/>
      <c r="M163" s="281"/>
      <c r="N163" s="281"/>
      <c r="O163" s="281"/>
      <c r="P163" s="281"/>
      <c r="Q163" s="281"/>
      <c r="R163" s="281"/>
      <c r="S163" s="281"/>
      <c r="T163" s="281"/>
      <c r="U163" s="281"/>
      <c r="V163" s="281"/>
      <c r="W163" s="281"/>
      <c r="X163" s="276"/>
      <c r="Y163" s="276"/>
      <c r="Z163" s="276"/>
      <c r="AA163" s="276"/>
    </row>
    <row r="164" spans="2:27">
      <c r="B164" s="276"/>
      <c r="C164" s="276"/>
      <c r="D164" s="276"/>
      <c r="E164" s="281"/>
      <c r="F164" s="281"/>
      <c r="G164" s="281"/>
      <c r="H164" s="281"/>
      <c r="I164" s="281"/>
      <c r="J164" s="281"/>
      <c r="K164" s="281"/>
      <c r="L164" s="281"/>
      <c r="M164" s="281"/>
      <c r="N164" s="281"/>
      <c r="O164" s="281"/>
      <c r="P164" s="281"/>
      <c r="Q164" s="281"/>
      <c r="R164" s="281"/>
      <c r="S164" s="281"/>
      <c r="T164" s="281"/>
      <c r="U164" s="281"/>
      <c r="V164" s="281"/>
      <c r="W164" s="281"/>
      <c r="X164" s="276"/>
      <c r="Y164" s="276"/>
      <c r="Z164" s="276"/>
      <c r="AA164" s="276"/>
    </row>
    <row r="165" spans="2:27">
      <c r="B165" s="276"/>
      <c r="C165" s="276"/>
      <c r="D165" s="276"/>
      <c r="E165" s="281"/>
      <c r="F165" s="281"/>
      <c r="G165" s="281"/>
      <c r="H165" s="281"/>
      <c r="I165" s="281"/>
      <c r="J165" s="281"/>
      <c r="K165" s="281"/>
      <c r="L165" s="281"/>
      <c r="M165" s="281"/>
      <c r="N165" s="281"/>
      <c r="O165" s="281"/>
      <c r="P165" s="281"/>
      <c r="Q165" s="281"/>
      <c r="R165" s="281"/>
      <c r="S165" s="281"/>
      <c r="T165" s="281"/>
      <c r="U165" s="281"/>
      <c r="V165" s="281"/>
      <c r="W165" s="281"/>
      <c r="X165" s="276"/>
      <c r="Y165" s="276"/>
      <c r="Z165" s="276"/>
      <c r="AA165" s="276"/>
    </row>
    <row r="166" spans="2:27">
      <c r="B166" s="276"/>
      <c r="C166" s="276"/>
      <c r="D166" s="276"/>
      <c r="E166" s="281"/>
      <c r="F166" s="281"/>
      <c r="G166" s="281"/>
      <c r="H166" s="281"/>
      <c r="I166" s="281"/>
      <c r="J166" s="281"/>
      <c r="K166" s="281"/>
      <c r="L166" s="281"/>
      <c r="M166" s="281"/>
      <c r="N166" s="281"/>
      <c r="O166" s="281"/>
      <c r="P166" s="281"/>
      <c r="Q166" s="281"/>
      <c r="R166" s="281"/>
      <c r="S166" s="281"/>
      <c r="T166" s="281"/>
      <c r="U166" s="281"/>
      <c r="V166" s="281"/>
      <c r="W166" s="281"/>
      <c r="X166" s="276"/>
      <c r="Y166" s="276"/>
      <c r="Z166" s="276"/>
      <c r="AA166" s="276"/>
    </row>
    <row r="167" spans="2:27">
      <c r="B167" s="276"/>
      <c r="C167" s="276"/>
      <c r="D167" s="276"/>
      <c r="E167" s="281"/>
      <c r="F167" s="281"/>
      <c r="G167" s="281"/>
      <c r="H167" s="281"/>
      <c r="I167" s="281"/>
      <c r="J167" s="281"/>
      <c r="K167" s="281"/>
      <c r="L167" s="281"/>
      <c r="M167" s="281"/>
      <c r="N167" s="281"/>
      <c r="O167" s="281"/>
      <c r="P167" s="281"/>
      <c r="Q167" s="281"/>
      <c r="R167" s="281"/>
      <c r="S167" s="281"/>
      <c r="T167" s="281"/>
      <c r="U167" s="281"/>
      <c r="V167" s="281"/>
      <c r="W167" s="281"/>
      <c r="X167" s="276"/>
      <c r="Y167" s="276"/>
      <c r="Z167" s="276"/>
      <c r="AA167" s="276"/>
    </row>
    <row r="168" spans="2:27">
      <c r="B168" s="276"/>
      <c r="C168" s="276"/>
      <c r="D168" s="276"/>
      <c r="E168" s="281"/>
      <c r="F168" s="278"/>
      <c r="G168" s="313" t="s">
        <v>242</v>
      </c>
      <c r="H168" s="278"/>
      <c r="I168" s="278"/>
      <c r="J168" s="281"/>
      <c r="K168" s="281"/>
      <c r="L168" s="313" t="s">
        <v>243</v>
      </c>
      <c r="M168" s="281"/>
      <c r="N168" s="281"/>
      <c r="O168" s="281"/>
      <c r="P168" s="281"/>
      <c r="Q168" s="313" t="s">
        <v>242</v>
      </c>
      <c r="R168" s="281"/>
      <c r="S168" s="281"/>
      <c r="T168" s="281"/>
      <c r="U168" s="281"/>
      <c r="V168" s="313" t="s">
        <v>243</v>
      </c>
      <c r="W168" s="281"/>
      <c r="X168" s="276"/>
      <c r="Y168" s="276"/>
      <c r="Z168" s="276"/>
      <c r="AA168" s="276"/>
    </row>
    <row r="169" spans="2:27">
      <c r="B169" s="276"/>
      <c r="C169" s="276"/>
      <c r="D169" s="276"/>
      <c r="E169" s="281"/>
      <c r="F169" s="281"/>
      <c r="G169" s="281"/>
      <c r="H169" s="281"/>
      <c r="I169" s="281"/>
      <c r="J169" s="281"/>
      <c r="K169" s="281"/>
      <c r="L169" s="281"/>
      <c r="M169" s="281"/>
      <c r="N169" s="281"/>
      <c r="O169" s="281"/>
      <c r="P169" s="281"/>
      <c r="Q169" s="281"/>
      <c r="R169" s="281"/>
      <c r="S169" s="281"/>
      <c r="T169" s="281"/>
      <c r="U169" s="281"/>
      <c r="V169" s="281"/>
      <c r="W169" s="281"/>
      <c r="X169" s="276"/>
      <c r="Y169" s="276"/>
      <c r="Z169" s="276"/>
      <c r="AA169" s="276"/>
    </row>
    <row r="170" spans="2:27">
      <c r="B170" s="276"/>
      <c r="C170" s="276"/>
      <c r="D170" s="276"/>
      <c r="E170" s="281"/>
      <c r="F170" s="284"/>
      <c r="G170" s="281"/>
      <c r="H170" s="281"/>
      <c r="I170" s="281"/>
      <c r="J170" s="284"/>
      <c r="K170" s="281"/>
      <c r="L170" s="281"/>
      <c r="M170" s="281"/>
      <c r="N170" s="281"/>
      <c r="O170" s="284"/>
      <c r="P170" s="281"/>
      <c r="Q170" s="281"/>
      <c r="R170" s="281"/>
      <c r="S170" s="281"/>
      <c r="T170" s="284"/>
      <c r="U170" s="281"/>
      <c r="V170" s="281"/>
      <c r="W170" s="281"/>
      <c r="X170" s="276"/>
      <c r="Y170" s="276"/>
      <c r="Z170" s="276"/>
      <c r="AA170" s="276"/>
    </row>
    <row r="171" spans="2:27">
      <c r="B171" s="276"/>
      <c r="C171" s="276"/>
      <c r="D171" s="276"/>
      <c r="E171" s="281"/>
      <c r="F171" s="281"/>
      <c r="G171" s="281"/>
      <c r="H171" s="281"/>
      <c r="I171" s="281"/>
      <c r="J171" s="281"/>
      <c r="K171" s="281"/>
      <c r="L171" s="281"/>
      <c r="M171" s="281"/>
      <c r="N171" s="281"/>
      <c r="O171" s="281"/>
      <c r="P171" s="281"/>
      <c r="Q171" s="281"/>
      <c r="R171" s="281"/>
      <c r="S171" s="281"/>
      <c r="T171" s="281"/>
      <c r="U171" s="281"/>
      <c r="V171" s="281"/>
      <c r="W171" s="281"/>
      <c r="X171" s="276"/>
      <c r="Y171" s="276"/>
      <c r="Z171" s="276"/>
      <c r="AA171" s="276"/>
    </row>
    <row r="172" spans="2:27">
      <c r="B172" s="276"/>
      <c r="C172" s="276"/>
      <c r="D172" s="276"/>
      <c r="E172" s="281"/>
      <c r="F172" s="281"/>
      <c r="G172" s="281"/>
      <c r="H172" s="281"/>
      <c r="I172" s="281"/>
      <c r="J172" s="281"/>
      <c r="K172" s="281"/>
      <c r="L172" s="281"/>
      <c r="M172" s="281"/>
      <c r="N172" s="281"/>
      <c r="O172" s="281"/>
      <c r="P172" s="281"/>
      <c r="Q172" s="281"/>
      <c r="R172" s="281"/>
      <c r="S172" s="281"/>
      <c r="T172" s="281"/>
      <c r="U172" s="281"/>
      <c r="V172" s="281"/>
      <c r="W172" s="281"/>
      <c r="X172" s="276"/>
      <c r="Y172" s="276"/>
      <c r="Z172" s="276"/>
      <c r="AA172" s="276"/>
    </row>
    <row r="173" spans="2:27">
      <c r="B173" s="276"/>
      <c r="C173" s="276"/>
      <c r="D173" s="276"/>
      <c r="E173" s="276"/>
      <c r="F173" s="281"/>
      <c r="G173" s="281"/>
      <c r="H173" s="281"/>
      <c r="I173" s="281"/>
      <c r="J173" s="281"/>
      <c r="K173" s="281"/>
      <c r="L173" s="281"/>
      <c r="M173" s="281"/>
      <c r="N173" s="281"/>
      <c r="O173" s="281"/>
      <c r="P173" s="281"/>
      <c r="Q173" s="281"/>
      <c r="R173" s="281"/>
      <c r="S173" s="281"/>
      <c r="T173" s="281"/>
      <c r="U173" s="281"/>
      <c r="V173" s="281"/>
      <c r="W173" s="281"/>
      <c r="X173" s="276"/>
      <c r="Y173" s="276"/>
      <c r="Z173" s="276"/>
      <c r="AA173" s="276"/>
    </row>
    <row r="174" spans="2:27">
      <c r="B174" s="276"/>
      <c r="C174" s="276"/>
      <c r="D174" s="276"/>
      <c r="E174" s="276"/>
      <c r="F174" s="276"/>
      <c r="G174" s="276"/>
      <c r="H174" s="276"/>
      <c r="I174" s="276"/>
      <c r="J174" s="276"/>
      <c r="K174" s="276"/>
      <c r="L174" s="276"/>
      <c r="M174" s="276"/>
      <c r="N174" s="276"/>
      <c r="O174" s="276"/>
      <c r="P174" s="276"/>
      <c r="Q174" s="276"/>
      <c r="R174" s="276"/>
      <c r="S174" s="276"/>
      <c r="T174" s="276"/>
      <c r="U174" s="276"/>
      <c r="V174" s="276"/>
      <c r="W174" s="276"/>
      <c r="X174" s="276"/>
      <c r="Y174" s="276"/>
      <c r="Z174" s="276"/>
      <c r="AA174" s="276"/>
    </row>
    <row r="175" spans="2:27">
      <c r="B175" s="276"/>
      <c r="C175" s="276"/>
      <c r="D175" s="276"/>
      <c r="E175" s="276"/>
      <c r="F175" s="276"/>
      <c r="G175" s="276"/>
      <c r="H175" s="276"/>
      <c r="I175" s="276"/>
      <c r="J175" s="276"/>
      <c r="K175" s="276"/>
      <c r="L175" s="276"/>
      <c r="M175" s="276"/>
      <c r="N175" s="276"/>
      <c r="O175" s="276"/>
      <c r="P175" s="276"/>
      <c r="Q175" s="276"/>
      <c r="R175" s="276"/>
      <c r="S175" s="276"/>
      <c r="T175" s="276"/>
      <c r="U175" s="276"/>
      <c r="V175" s="276"/>
      <c r="W175" s="276"/>
      <c r="X175" s="276"/>
      <c r="Y175" s="276"/>
      <c r="Z175" s="276"/>
      <c r="AA175" s="276"/>
    </row>
    <row r="176" spans="2:27">
      <c r="B176" s="276"/>
      <c r="C176" s="276"/>
      <c r="D176" s="276"/>
      <c r="E176" s="276"/>
      <c r="F176" s="276"/>
      <c r="G176" s="313" t="s">
        <v>243</v>
      </c>
      <c r="H176" s="276"/>
      <c r="I176" s="276"/>
      <c r="J176" s="276"/>
      <c r="K176" s="276"/>
      <c r="L176" s="313" t="s">
        <v>242</v>
      </c>
      <c r="M176" s="276"/>
      <c r="N176" s="276"/>
      <c r="O176" s="276"/>
      <c r="P176" s="276"/>
      <c r="Q176" s="313" t="s">
        <v>243</v>
      </c>
      <c r="R176" s="276"/>
      <c r="S176" s="276"/>
      <c r="T176" s="276"/>
      <c r="U176" s="276"/>
      <c r="V176" s="313" t="s">
        <v>242</v>
      </c>
      <c r="W176" s="276"/>
      <c r="X176" s="276"/>
      <c r="Y176" s="276"/>
      <c r="Z176" s="276"/>
      <c r="AA176" s="276"/>
    </row>
    <row r="177" spans="2:27">
      <c r="B177" s="276"/>
      <c r="C177" s="276"/>
      <c r="D177" s="276"/>
      <c r="E177" s="276"/>
      <c r="F177" s="276"/>
      <c r="G177" s="276"/>
      <c r="H177" s="276"/>
      <c r="I177" s="276"/>
      <c r="J177" s="276"/>
      <c r="K177" s="276"/>
      <c r="L177" s="276"/>
      <c r="M177" s="276"/>
      <c r="N177" s="276"/>
      <c r="O177" s="276"/>
      <c r="P177" s="276"/>
      <c r="Q177" s="276"/>
      <c r="R177" s="276"/>
      <c r="S177" s="276"/>
      <c r="T177" s="276"/>
      <c r="U177" s="276"/>
      <c r="V177" s="276"/>
      <c r="W177" s="276"/>
      <c r="X177" s="276"/>
      <c r="Y177" s="276"/>
      <c r="Z177" s="276"/>
      <c r="AA177" s="276"/>
    </row>
    <row r="178" spans="2:27">
      <c r="B178" s="276"/>
      <c r="C178" s="276"/>
      <c r="D178" s="276"/>
      <c r="E178" s="276"/>
      <c r="F178" s="281" t="s">
        <v>244</v>
      </c>
      <c r="G178" s="276"/>
      <c r="H178" s="276"/>
      <c r="I178" s="276"/>
      <c r="J178" s="276"/>
      <c r="K178" s="276"/>
      <c r="L178" s="276"/>
      <c r="M178" s="276"/>
      <c r="N178" s="276"/>
      <c r="O178" s="276"/>
      <c r="P178" s="276"/>
      <c r="Q178" s="276"/>
      <c r="R178" s="276"/>
      <c r="S178" s="276"/>
      <c r="T178" s="276"/>
      <c r="U178" s="276"/>
      <c r="V178" s="276"/>
      <c r="W178" s="276"/>
      <c r="X178" s="276"/>
      <c r="Y178" s="276"/>
      <c r="Z178" s="276"/>
      <c r="AA178" s="276"/>
    </row>
    <row r="179" spans="2:27">
      <c r="B179" s="276"/>
      <c r="C179" s="276"/>
      <c r="D179" s="276"/>
      <c r="E179" s="276"/>
      <c r="F179" s="277" t="s">
        <v>245</v>
      </c>
      <c r="G179" s="276"/>
      <c r="H179" s="276"/>
      <c r="I179" s="276"/>
      <c r="J179" s="276"/>
      <c r="K179" s="276"/>
      <c r="L179" s="276"/>
      <c r="M179" s="276"/>
      <c r="N179" s="276"/>
      <c r="O179" s="276"/>
      <c r="P179" s="276"/>
      <c r="Q179" s="276"/>
      <c r="R179" s="276"/>
      <c r="S179" s="276"/>
      <c r="T179" s="276"/>
      <c r="U179" s="276"/>
      <c r="V179" s="276"/>
      <c r="W179" s="276"/>
      <c r="X179" s="276"/>
      <c r="Y179" s="276"/>
      <c r="Z179" s="276"/>
      <c r="AA179" s="276"/>
    </row>
    <row r="180" spans="2:27">
      <c r="B180" s="276"/>
      <c r="C180" s="276"/>
      <c r="D180" s="276"/>
      <c r="E180" s="276"/>
      <c r="F180" s="277" t="s">
        <v>246</v>
      </c>
      <c r="G180" s="276"/>
      <c r="H180" s="276"/>
      <c r="I180" s="276"/>
      <c r="J180" s="276"/>
      <c r="K180" s="276"/>
      <c r="L180" s="276"/>
      <c r="M180" s="276"/>
      <c r="N180" s="276"/>
      <c r="O180" s="276"/>
      <c r="P180" s="276"/>
      <c r="Q180" s="276"/>
      <c r="R180" s="276"/>
      <c r="S180" s="276"/>
      <c r="T180" s="276"/>
      <c r="U180" s="276"/>
      <c r="V180" s="276"/>
      <c r="W180" s="276"/>
      <c r="X180" s="276"/>
      <c r="Y180" s="276"/>
      <c r="Z180" s="276"/>
      <c r="AA180" s="276"/>
    </row>
    <row r="181" spans="2:27">
      <c r="B181" s="276"/>
      <c r="C181" s="276"/>
      <c r="D181" s="276"/>
      <c r="E181" s="276"/>
      <c r="F181" s="276"/>
      <c r="G181" s="276"/>
      <c r="H181" s="276"/>
      <c r="I181" s="276"/>
      <c r="J181" s="276"/>
      <c r="K181" s="276"/>
      <c r="L181" s="276"/>
      <c r="M181" s="276"/>
      <c r="N181" s="276"/>
      <c r="O181" s="276"/>
      <c r="P181" s="276"/>
      <c r="Q181" s="276"/>
      <c r="R181" s="276"/>
      <c r="S181" s="276"/>
      <c r="T181" s="276"/>
      <c r="U181" s="276"/>
      <c r="V181" s="276"/>
      <c r="W181" s="276"/>
      <c r="X181" s="276"/>
      <c r="Y181" s="276"/>
      <c r="Z181" s="276"/>
      <c r="AA181" s="276"/>
    </row>
    <row r="182" spans="2:27">
      <c r="B182" s="276"/>
      <c r="C182" s="276"/>
      <c r="D182" s="276"/>
      <c r="E182" s="281"/>
      <c r="F182" s="281"/>
      <c r="G182" s="281"/>
      <c r="H182" s="281"/>
      <c r="I182" s="281"/>
      <c r="J182" s="281"/>
      <c r="K182" s="281"/>
      <c r="L182" s="281"/>
      <c r="M182" s="281"/>
      <c r="N182" s="281"/>
      <c r="O182" s="281"/>
      <c r="P182" s="281"/>
      <c r="Q182" s="281"/>
      <c r="R182" s="281"/>
      <c r="S182" s="281"/>
      <c r="T182" s="281"/>
      <c r="U182" s="281"/>
      <c r="V182" s="281"/>
      <c r="W182" s="281"/>
      <c r="X182" s="281"/>
      <c r="Y182" s="276"/>
      <c r="Z182" s="276"/>
      <c r="AA182" s="276"/>
    </row>
    <row r="183" spans="2:27" ht="15">
      <c r="B183" s="276"/>
      <c r="C183" s="276"/>
      <c r="D183" s="279" t="s">
        <v>247</v>
      </c>
      <c r="E183" s="308"/>
      <c r="F183" s="280"/>
      <c r="G183" s="280"/>
      <c r="H183" s="280"/>
      <c r="I183" s="280"/>
      <c r="J183" s="280"/>
      <c r="K183" s="280"/>
      <c r="L183" s="280"/>
      <c r="M183" s="280"/>
      <c r="N183" s="280"/>
      <c r="O183" s="280"/>
      <c r="P183" s="280"/>
      <c r="Q183" s="280"/>
      <c r="R183" s="280"/>
      <c r="S183" s="280"/>
      <c r="T183" s="280"/>
      <c r="U183" s="280"/>
      <c r="V183" s="280"/>
      <c r="W183" s="280"/>
      <c r="X183" s="280"/>
      <c r="Y183" s="280"/>
      <c r="Z183" s="280"/>
      <c r="AA183" s="276"/>
    </row>
    <row r="184" spans="2:27" ht="15">
      <c r="B184" s="276"/>
      <c r="C184" s="276"/>
      <c r="D184" s="291"/>
      <c r="E184" s="281"/>
      <c r="F184" s="281"/>
      <c r="G184" s="281"/>
      <c r="H184" s="281"/>
      <c r="I184" s="281"/>
      <c r="J184" s="281"/>
      <c r="K184" s="281"/>
      <c r="L184" s="281"/>
      <c r="M184" s="281"/>
      <c r="N184" s="281"/>
      <c r="O184" s="281"/>
      <c r="P184" s="281"/>
      <c r="Q184" s="281"/>
      <c r="R184" s="281"/>
      <c r="S184" s="281"/>
      <c r="T184" s="281"/>
      <c r="U184" s="281"/>
      <c r="V184" s="281"/>
      <c r="W184" s="281"/>
      <c r="X184" s="281"/>
      <c r="Y184" s="276"/>
      <c r="Z184" s="276"/>
      <c r="AA184" s="276"/>
    </row>
    <row r="185" spans="2:27" ht="15">
      <c r="B185" s="276"/>
      <c r="C185" s="276"/>
      <c r="D185" s="291"/>
      <c r="E185" s="281" t="s">
        <v>248</v>
      </c>
      <c r="F185" s="281"/>
      <c r="G185" s="281"/>
      <c r="H185" s="281"/>
      <c r="I185" s="281"/>
      <c r="J185" s="281"/>
      <c r="K185" s="281"/>
      <c r="L185" s="281"/>
      <c r="M185" s="281"/>
      <c r="N185" s="281"/>
      <c r="O185" s="281"/>
      <c r="P185" s="281"/>
      <c r="Q185" s="281"/>
      <c r="R185" s="281"/>
      <c r="S185" s="281"/>
      <c r="T185" s="281"/>
      <c r="U185" s="281"/>
      <c r="V185" s="281"/>
      <c r="W185" s="281"/>
      <c r="X185" s="281"/>
      <c r="Y185" s="276"/>
      <c r="Z185" s="276"/>
      <c r="AA185" s="276"/>
    </row>
    <row r="186" spans="2:27" ht="15">
      <c r="B186" s="276"/>
      <c r="C186" s="276"/>
      <c r="D186" s="291"/>
      <c r="E186" s="276"/>
      <c r="F186" s="278" t="s">
        <v>249</v>
      </c>
      <c r="G186" s="281"/>
      <c r="H186" s="281"/>
      <c r="I186" s="281"/>
      <c r="J186" s="281"/>
      <c r="K186" s="281"/>
      <c r="L186" s="281"/>
      <c r="M186" s="281"/>
      <c r="N186" s="281"/>
      <c r="O186" s="281"/>
      <c r="P186" s="281"/>
      <c r="Q186" s="281"/>
      <c r="R186" s="281"/>
      <c r="S186" s="281"/>
      <c r="T186" s="281"/>
      <c r="U186" s="281"/>
      <c r="V186" s="281"/>
      <c r="W186" s="281"/>
      <c r="X186" s="281"/>
      <c r="Y186" s="276"/>
      <c r="Z186" s="276"/>
      <c r="AA186" s="276"/>
    </row>
    <row r="187" spans="2:27" ht="15">
      <c r="B187" s="276"/>
      <c r="C187" s="276"/>
      <c r="D187" s="291"/>
      <c r="E187" s="276"/>
      <c r="F187" s="278"/>
      <c r="G187" s="281"/>
      <c r="H187" s="281"/>
      <c r="I187" s="281"/>
      <c r="J187" s="281"/>
      <c r="K187" s="281"/>
      <c r="L187" s="281"/>
      <c r="M187" s="281"/>
      <c r="N187" s="281"/>
      <c r="O187" s="281"/>
      <c r="P187" s="281"/>
      <c r="Q187" s="281"/>
      <c r="R187" s="281"/>
      <c r="S187" s="281"/>
      <c r="T187" s="281"/>
      <c r="U187" s="281"/>
      <c r="V187" s="281"/>
      <c r="W187" s="281"/>
      <c r="X187" s="281"/>
      <c r="Y187" s="276"/>
      <c r="Z187" s="276"/>
      <c r="AA187" s="276"/>
    </row>
    <row r="188" spans="2:27" ht="15">
      <c r="B188" s="276"/>
      <c r="C188" s="276"/>
      <c r="D188" s="291"/>
      <c r="E188" s="281" t="s">
        <v>250</v>
      </c>
      <c r="F188" s="281"/>
      <c r="G188" s="281"/>
      <c r="H188" s="281"/>
      <c r="I188" s="281"/>
      <c r="J188" s="281"/>
      <c r="K188" s="281"/>
      <c r="L188" s="281"/>
      <c r="M188" s="281"/>
      <c r="N188" s="281"/>
      <c r="O188" s="281"/>
      <c r="P188" s="281"/>
      <c r="Q188" s="281"/>
      <c r="R188" s="281"/>
      <c r="S188" s="281"/>
      <c r="T188" s="281"/>
      <c r="U188" s="281"/>
      <c r="V188" s="281"/>
      <c r="W188" s="281"/>
      <c r="X188" s="281"/>
      <c r="Y188" s="276"/>
      <c r="Z188" s="276"/>
      <c r="AA188" s="276"/>
    </row>
    <row r="189" spans="2:27" ht="15">
      <c r="B189" s="276"/>
      <c r="C189" s="276"/>
      <c r="D189" s="291"/>
      <c r="E189" s="276"/>
      <c r="F189" s="277" t="s">
        <v>251</v>
      </c>
      <c r="G189" s="276"/>
      <c r="H189" s="281"/>
      <c r="I189" s="281"/>
      <c r="J189" s="281"/>
      <c r="K189" s="281"/>
      <c r="L189" s="281"/>
      <c r="M189" s="281"/>
      <c r="N189" s="281"/>
      <c r="O189" s="281"/>
      <c r="P189" s="281"/>
      <c r="Q189" s="281"/>
      <c r="R189" s="281"/>
      <c r="S189" s="281"/>
      <c r="T189" s="281"/>
      <c r="U189" s="281"/>
      <c r="V189" s="281"/>
      <c r="W189" s="281"/>
      <c r="X189" s="281"/>
      <c r="Y189" s="276"/>
      <c r="Z189" s="276"/>
      <c r="AA189" s="276"/>
    </row>
    <row r="190" spans="2:27" ht="15">
      <c r="B190" s="276"/>
      <c r="C190" s="276"/>
      <c r="D190" s="291"/>
      <c r="E190" s="281"/>
      <c r="F190" s="281"/>
      <c r="G190" s="281"/>
      <c r="H190" s="281"/>
      <c r="I190" s="281"/>
      <c r="J190" s="281"/>
      <c r="K190" s="281"/>
      <c r="L190" s="281"/>
      <c r="M190" s="281"/>
      <c r="N190" s="281"/>
      <c r="O190" s="281"/>
      <c r="P190" s="281"/>
      <c r="Q190" s="281"/>
      <c r="R190" s="281"/>
      <c r="S190" s="281"/>
      <c r="T190" s="281"/>
      <c r="U190" s="281"/>
      <c r="V190" s="281"/>
      <c r="W190" s="281"/>
      <c r="X190" s="281"/>
      <c r="Y190" s="276"/>
      <c r="Z190" s="276"/>
      <c r="AA190" s="276"/>
    </row>
    <row r="191" spans="2:27">
      <c r="B191" s="276"/>
      <c r="C191" s="276"/>
      <c r="D191" s="276"/>
      <c r="E191" s="281" t="s">
        <v>252</v>
      </c>
      <c r="F191" s="281"/>
      <c r="G191" s="281"/>
      <c r="H191" s="281"/>
      <c r="I191" s="281"/>
      <c r="J191" s="281"/>
      <c r="K191" s="281"/>
      <c r="L191" s="281"/>
      <c r="M191" s="281"/>
      <c r="N191" s="281"/>
      <c r="O191" s="281"/>
      <c r="P191" s="281"/>
      <c r="Q191" s="276"/>
      <c r="R191" s="276"/>
      <c r="S191" s="294" t="s">
        <v>170</v>
      </c>
      <c r="T191" s="284"/>
      <c r="U191" s="295" t="s">
        <v>171</v>
      </c>
      <c r="V191" s="284"/>
      <c r="W191" s="281"/>
      <c r="X191" s="281"/>
      <c r="Y191" s="276"/>
      <c r="Z191" s="276"/>
      <c r="AA191" s="276"/>
    </row>
    <row r="192" spans="2:27">
      <c r="B192" s="276"/>
      <c r="C192" s="276"/>
      <c r="D192" s="276"/>
      <c r="E192" s="285"/>
      <c r="F192" s="281"/>
      <c r="G192" s="281"/>
      <c r="H192" s="281"/>
      <c r="I192" s="281"/>
      <c r="J192" s="281"/>
      <c r="K192" s="281"/>
      <c r="L192" s="281"/>
      <c r="M192" s="281"/>
      <c r="N192" s="281"/>
      <c r="O192" s="281"/>
      <c r="P192" s="281"/>
      <c r="Q192" s="276"/>
      <c r="R192" s="276"/>
      <c r="S192" s="281"/>
      <c r="T192" s="281"/>
      <c r="U192" s="281"/>
      <c r="V192" s="281"/>
      <c r="W192" s="281"/>
      <c r="X192" s="281"/>
      <c r="Y192" s="276"/>
      <c r="Z192" s="276"/>
      <c r="AA192" s="276"/>
    </row>
    <row r="193" spans="2:27" hidden="1">
      <c r="B193" s="276"/>
      <c r="C193" s="276"/>
      <c r="D193" s="276"/>
      <c r="E193" s="281" t="s">
        <v>253</v>
      </c>
      <c r="F193" s="281"/>
      <c r="G193" s="281"/>
      <c r="H193" s="281"/>
      <c r="I193" s="281"/>
      <c r="J193" s="281"/>
      <c r="K193" s="281"/>
      <c r="L193" s="281"/>
      <c r="M193" s="281"/>
      <c r="N193" s="281"/>
      <c r="O193" s="295"/>
      <c r="P193" s="286"/>
      <c r="Q193" s="276"/>
      <c r="R193" s="276"/>
      <c r="S193" s="294"/>
      <c r="T193" s="286"/>
      <c r="U193" s="295"/>
      <c r="V193" s="286"/>
      <c r="W193" s="281"/>
      <c r="X193" s="281"/>
      <c r="Y193" s="276"/>
      <c r="Z193" s="276"/>
      <c r="AA193" s="276"/>
    </row>
    <row r="194" spans="2:27" hidden="1">
      <c r="B194" s="276"/>
      <c r="C194" s="276"/>
      <c r="D194" s="276"/>
      <c r="E194" s="281"/>
      <c r="F194" s="281"/>
      <c r="G194" s="281"/>
      <c r="H194" s="281"/>
      <c r="I194" s="281"/>
      <c r="J194" s="281"/>
      <c r="K194" s="281"/>
      <c r="L194" s="281"/>
      <c r="M194" s="281"/>
      <c r="N194" s="281"/>
      <c r="O194" s="295"/>
      <c r="P194" s="286"/>
      <c r="Q194" s="276"/>
      <c r="R194" s="276"/>
      <c r="S194" s="294"/>
      <c r="T194" s="286"/>
      <c r="U194" s="295"/>
      <c r="V194" s="286"/>
      <c r="W194" s="281"/>
      <c r="X194" s="281"/>
      <c r="Y194" s="276"/>
      <c r="Z194" s="276"/>
      <c r="AA194" s="276"/>
    </row>
    <row r="195" spans="2:27" hidden="1">
      <c r="B195" s="276"/>
      <c r="C195" s="276"/>
      <c r="D195" s="276"/>
      <c r="E195" s="281"/>
      <c r="F195" s="281"/>
      <c r="G195" s="281"/>
      <c r="H195" s="281"/>
      <c r="I195" s="281"/>
      <c r="J195" s="281"/>
      <c r="K195" s="281"/>
      <c r="L195" s="281"/>
      <c r="M195" s="281"/>
      <c r="N195" s="281"/>
      <c r="O195" s="295"/>
      <c r="P195" s="286"/>
      <c r="Q195" s="276"/>
      <c r="R195" s="276"/>
      <c r="S195" s="294"/>
      <c r="T195" s="286"/>
      <c r="U195" s="295"/>
      <c r="V195" s="286"/>
      <c r="W195" s="281"/>
      <c r="X195" s="281"/>
      <c r="Y195" s="276"/>
      <c r="Z195" s="276"/>
      <c r="AA195" s="276"/>
    </row>
    <row r="196" spans="2:27">
      <c r="B196" s="276"/>
      <c r="C196" s="276"/>
      <c r="D196" s="276"/>
      <c r="E196" s="281" t="s">
        <v>254</v>
      </c>
      <c r="F196" s="281"/>
      <c r="G196" s="281"/>
      <c r="H196" s="281"/>
      <c r="I196" s="281"/>
      <c r="J196" s="281"/>
      <c r="K196" s="281"/>
      <c r="L196" s="281"/>
      <c r="M196" s="281"/>
      <c r="N196" s="281"/>
      <c r="O196" s="281"/>
      <c r="P196" s="281"/>
      <c r="Q196" s="276"/>
      <c r="R196" s="276"/>
      <c r="S196" s="294" t="s">
        <v>170</v>
      </c>
      <c r="T196" s="284"/>
      <c r="U196" s="295" t="s">
        <v>171</v>
      </c>
      <c r="V196" s="284"/>
      <c r="W196" s="276"/>
      <c r="X196" s="281"/>
      <c r="Y196" s="276"/>
      <c r="Z196" s="276"/>
      <c r="AA196" s="276"/>
    </row>
    <row r="197" spans="2:27">
      <c r="B197" s="276"/>
      <c r="C197" s="276"/>
      <c r="D197" s="276"/>
      <c r="E197" s="285"/>
      <c r="F197" s="281"/>
      <c r="G197" s="281"/>
      <c r="H197" s="281"/>
      <c r="I197" s="281"/>
      <c r="J197" s="281"/>
      <c r="K197" s="281"/>
      <c r="L197" s="281"/>
      <c r="M197" s="281"/>
      <c r="N197" s="281"/>
      <c r="O197" s="281"/>
      <c r="P197" s="281"/>
      <c r="Q197" s="276"/>
      <c r="R197" s="276"/>
      <c r="S197" s="281"/>
      <c r="T197" s="294"/>
      <c r="U197" s="286"/>
      <c r="V197" s="294"/>
      <c r="W197" s="286"/>
      <c r="X197" s="281"/>
      <c r="Y197" s="276"/>
      <c r="Z197" s="276"/>
      <c r="AA197" s="276"/>
    </row>
    <row r="198" spans="2:27">
      <c r="B198" s="276"/>
      <c r="C198" s="276"/>
      <c r="D198" s="276"/>
      <c r="E198" s="281" t="s">
        <v>255</v>
      </c>
      <c r="F198" s="281"/>
      <c r="G198" s="281"/>
      <c r="H198" s="281"/>
      <c r="I198" s="281"/>
      <c r="J198" s="281"/>
      <c r="K198" s="281"/>
      <c r="L198" s="281"/>
      <c r="M198" s="281"/>
      <c r="N198" s="281"/>
      <c r="O198" s="281"/>
      <c r="P198" s="281"/>
      <c r="Q198" s="276"/>
      <c r="R198" s="276"/>
      <c r="S198" s="294" t="s">
        <v>170</v>
      </c>
      <c r="T198" s="284"/>
      <c r="U198" s="295" t="s">
        <v>171</v>
      </c>
      <c r="V198" s="284"/>
      <c r="W198" s="281"/>
      <c r="X198" s="281"/>
      <c r="Y198" s="276"/>
      <c r="Z198" s="276"/>
      <c r="AA198" s="276"/>
    </row>
    <row r="199" spans="2:27">
      <c r="B199" s="276"/>
      <c r="C199" s="276"/>
      <c r="D199" s="276"/>
      <c r="E199" s="285"/>
      <c r="F199" s="281"/>
      <c r="G199" s="281"/>
      <c r="H199" s="281"/>
      <c r="I199" s="281"/>
      <c r="J199" s="281"/>
      <c r="K199" s="281"/>
      <c r="L199" s="281"/>
      <c r="M199" s="281"/>
      <c r="N199" s="281"/>
      <c r="O199" s="281"/>
      <c r="P199" s="281"/>
      <c r="Q199" s="276"/>
      <c r="R199" s="276"/>
      <c r="S199" s="294"/>
      <c r="T199" s="286"/>
      <c r="U199" s="294"/>
      <c r="V199" s="286"/>
      <c r="W199" s="281"/>
      <c r="X199" s="281"/>
      <c r="Y199" s="276"/>
      <c r="Z199" s="276"/>
      <c r="AA199" s="276"/>
    </row>
    <row r="200" spans="2:27">
      <c r="B200" s="276"/>
      <c r="C200" s="276"/>
      <c r="D200" s="276"/>
      <c r="E200" s="281" t="s">
        <v>256</v>
      </c>
      <c r="F200" s="281"/>
      <c r="G200" s="281"/>
      <c r="H200" s="281"/>
      <c r="I200" s="281"/>
      <c r="J200" s="281"/>
      <c r="K200" s="281"/>
      <c r="L200" s="281"/>
      <c r="M200" s="281"/>
      <c r="N200" s="281"/>
      <c r="O200" s="281"/>
      <c r="P200" s="281"/>
      <c r="Q200" s="276"/>
      <c r="R200" s="276"/>
      <c r="S200" s="294" t="s">
        <v>170</v>
      </c>
      <c r="T200" s="284"/>
      <c r="U200" s="295" t="s">
        <v>171</v>
      </c>
      <c r="V200" s="284"/>
      <c r="W200" s="281"/>
      <c r="X200" s="281"/>
      <c r="Y200" s="276"/>
      <c r="Z200" s="276"/>
      <c r="AA200" s="276"/>
    </row>
    <row r="201" spans="2:27">
      <c r="B201" s="276"/>
      <c r="C201" s="276"/>
      <c r="D201" s="276"/>
      <c r="E201" s="285"/>
      <c r="F201" s="281"/>
      <c r="G201" s="281"/>
      <c r="H201" s="281"/>
      <c r="I201" s="281"/>
      <c r="J201" s="281"/>
      <c r="K201" s="281"/>
      <c r="L201" s="281"/>
      <c r="M201" s="281"/>
      <c r="N201" s="281"/>
      <c r="O201" s="295"/>
      <c r="P201" s="286"/>
      <c r="Q201" s="294"/>
      <c r="R201" s="286"/>
      <c r="S201" s="294"/>
      <c r="T201" s="286"/>
      <c r="U201" s="281"/>
      <c r="V201" s="281"/>
      <c r="W201" s="281"/>
      <c r="X201" s="281"/>
      <c r="Y201" s="276"/>
      <c r="Z201" s="276"/>
      <c r="AA201" s="276"/>
    </row>
    <row r="202" spans="2:27">
      <c r="B202" s="276"/>
      <c r="C202" s="276"/>
      <c r="D202" s="276"/>
      <c r="E202" s="281" t="s">
        <v>257</v>
      </c>
      <c r="F202" s="281"/>
      <c r="G202" s="281"/>
      <c r="H202" s="281"/>
      <c r="I202" s="281"/>
      <c r="J202" s="281"/>
      <c r="K202" s="281"/>
      <c r="L202" s="281"/>
      <c r="M202" s="281"/>
      <c r="N202" s="281"/>
      <c r="O202" s="294"/>
      <c r="P202" s="286"/>
      <c r="Q202" s="294"/>
      <c r="R202" s="286"/>
      <c r="S202" s="294"/>
      <c r="T202" s="286"/>
      <c r="U202" s="282"/>
      <c r="V202" s="281"/>
      <c r="W202" s="281"/>
      <c r="X202" s="281"/>
      <c r="Y202" s="276"/>
      <c r="Z202" s="276"/>
      <c r="AA202" s="276"/>
    </row>
    <row r="203" spans="2:27" ht="24" customHeight="1">
      <c r="B203" s="276"/>
      <c r="C203" s="276"/>
      <c r="D203" s="276"/>
      <c r="E203" s="1610"/>
      <c r="F203" s="1610"/>
      <c r="G203" s="1610"/>
      <c r="H203" s="1610"/>
      <c r="I203" s="1610"/>
      <c r="J203" s="1610"/>
      <c r="K203" s="1610"/>
      <c r="L203" s="1610"/>
      <c r="M203" s="1610"/>
      <c r="N203" s="1610"/>
      <c r="O203" s="1610"/>
      <c r="P203" s="1610"/>
      <c r="Q203" s="1610"/>
      <c r="R203" s="1610"/>
      <c r="S203" s="1610"/>
      <c r="T203" s="1610"/>
      <c r="U203" s="1610"/>
      <c r="V203" s="1610"/>
      <c r="W203" s="1610"/>
      <c r="X203" s="1610"/>
      <c r="Y203" s="276"/>
      <c r="Z203" s="276"/>
      <c r="AA203" s="276"/>
    </row>
    <row r="204" spans="2:27" ht="24" customHeight="1">
      <c r="B204" s="276"/>
      <c r="C204" s="276"/>
      <c r="D204" s="276"/>
      <c r="E204" s="1567"/>
      <c r="F204" s="1567"/>
      <c r="G204" s="1567"/>
      <c r="H204" s="1567"/>
      <c r="I204" s="1567"/>
      <c r="J204" s="1567"/>
      <c r="K204" s="1567"/>
      <c r="L204" s="1567"/>
      <c r="M204" s="1567"/>
      <c r="N204" s="1567"/>
      <c r="O204" s="1567"/>
      <c r="P204" s="1567"/>
      <c r="Q204" s="1567"/>
      <c r="R204" s="1567"/>
      <c r="S204" s="1567"/>
      <c r="T204" s="1567"/>
      <c r="U204" s="1567"/>
      <c r="V204" s="1567"/>
      <c r="W204" s="1567"/>
      <c r="X204" s="1567"/>
      <c r="Y204" s="276"/>
      <c r="Z204" s="276"/>
      <c r="AA204" s="276"/>
    </row>
    <row r="205" spans="2:27" ht="24" customHeight="1">
      <c r="B205" s="276"/>
      <c r="C205" s="276"/>
      <c r="D205" s="276"/>
      <c r="E205" s="1567"/>
      <c r="F205" s="1567"/>
      <c r="G205" s="1567"/>
      <c r="H205" s="1567"/>
      <c r="I205" s="1567"/>
      <c r="J205" s="1567"/>
      <c r="K205" s="1567"/>
      <c r="L205" s="1567"/>
      <c r="M205" s="1567"/>
      <c r="N205" s="1567"/>
      <c r="O205" s="1567"/>
      <c r="P205" s="1567"/>
      <c r="Q205" s="1567"/>
      <c r="R205" s="1567"/>
      <c r="S205" s="1567"/>
      <c r="T205" s="1567"/>
      <c r="U205" s="1567"/>
      <c r="V205" s="1567"/>
      <c r="W205" s="1567"/>
      <c r="X205" s="1567"/>
      <c r="Y205" s="276"/>
      <c r="Z205" s="276"/>
      <c r="AA205" s="276"/>
    </row>
    <row r="206" spans="2:27">
      <c r="B206" s="276"/>
      <c r="C206" s="276"/>
      <c r="D206" s="276"/>
      <c r="E206" s="276"/>
      <c r="F206" s="276"/>
      <c r="G206" s="276"/>
      <c r="H206" s="276"/>
      <c r="I206" s="276"/>
      <c r="J206" s="276"/>
      <c r="K206" s="276"/>
      <c r="L206" s="276"/>
      <c r="M206" s="276"/>
      <c r="N206" s="276"/>
      <c r="O206" s="276"/>
      <c r="P206" s="276"/>
      <c r="Q206" s="276"/>
      <c r="R206" s="276"/>
      <c r="S206" s="276"/>
      <c r="T206" s="276"/>
      <c r="U206" s="276"/>
      <c r="V206" s="276"/>
      <c r="W206" s="276"/>
      <c r="X206" s="276"/>
      <c r="Y206" s="276"/>
      <c r="Z206" s="276"/>
      <c r="AA206" s="276"/>
    </row>
    <row r="207" spans="2:27">
      <c r="B207" s="276"/>
      <c r="C207" s="276"/>
      <c r="D207" s="276"/>
      <c r="E207" s="276"/>
      <c r="F207" s="276"/>
      <c r="G207" s="276"/>
      <c r="H207" s="276"/>
      <c r="I207" s="276"/>
      <c r="J207" s="276"/>
      <c r="K207" s="276"/>
      <c r="L207" s="276"/>
      <c r="M207" s="276"/>
      <c r="N207" s="276"/>
      <c r="O207" s="276"/>
      <c r="P207" s="276"/>
      <c r="Q207" s="276"/>
      <c r="R207" s="276"/>
      <c r="S207" s="276"/>
      <c r="T207" s="276"/>
      <c r="U207" s="276"/>
      <c r="V207" s="276"/>
      <c r="W207" s="276"/>
      <c r="X207" s="276"/>
      <c r="Y207" s="276"/>
      <c r="Z207" s="276"/>
      <c r="AA207" s="276"/>
    </row>
    <row r="208" spans="2:27">
      <c r="B208" s="276"/>
      <c r="C208" s="276"/>
      <c r="D208" s="276"/>
      <c r="E208" s="276"/>
      <c r="F208" s="276"/>
      <c r="G208" s="276"/>
      <c r="H208" s="276"/>
      <c r="I208" s="276"/>
      <c r="J208" s="276"/>
      <c r="K208" s="276"/>
      <c r="L208" s="276"/>
      <c r="M208" s="276"/>
      <c r="N208" s="276"/>
      <c r="O208" s="276"/>
      <c r="P208" s="276"/>
      <c r="Q208" s="276"/>
      <c r="R208" s="276"/>
      <c r="S208" s="276"/>
      <c r="T208" s="276"/>
      <c r="U208" s="281"/>
      <c r="V208" s="281"/>
      <c r="W208" s="281"/>
      <c r="X208" s="282"/>
      <c r="Y208" s="276"/>
      <c r="Z208" s="276"/>
      <c r="AA208" s="276"/>
    </row>
    <row r="209" spans="2:27">
      <c r="B209" s="276"/>
      <c r="C209" s="276"/>
      <c r="D209" s="276"/>
      <c r="E209" s="281"/>
      <c r="F209" s="281"/>
      <c r="G209" s="281"/>
      <c r="H209" s="281"/>
      <c r="I209" s="281"/>
      <c r="J209" s="281"/>
      <c r="K209" s="281"/>
      <c r="L209" s="281"/>
      <c r="M209" s="281"/>
      <c r="N209" s="281"/>
      <c r="O209" s="281"/>
      <c r="P209" s="281"/>
      <c r="Q209" s="281"/>
      <c r="R209" s="281"/>
      <c r="S209" s="281"/>
      <c r="T209" s="281"/>
      <c r="U209" s="281"/>
      <c r="V209" s="281"/>
      <c r="W209" s="281"/>
      <c r="X209" s="281"/>
      <c r="Y209" s="276"/>
      <c r="Z209" s="276"/>
      <c r="AA209" s="276"/>
    </row>
    <row r="210" spans="2:27">
      <c r="B210" s="276"/>
      <c r="C210" s="276"/>
      <c r="D210" s="276"/>
      <c r="E210" s="276"/>
      <c r="F210" s="281"/>
      <c r="G210" s="281"/>
      <c r="H210" s="281"/>
      <c r="I210" s="281"/>
      <c r="J210" s="281"/>
      <c r="K210" s="281"/>
      <c r="L210" s="281"/>
      <c r="M210" s="281"/>
      <c r="N210" s="281"/>
      <c r="O210" s="281"/>
      <c r="P210" s="281"/>
      <c r="Q210" s="281"/>
      <c r="R210" s="281"/>
      <c r="S210" s="281"/>
      <c r="T210" s="281"/>
      <c r="U210" s="281"/>
      <c r="V210" s="281"/>
      <c r="W210" s="281"/>
      <c r="X210" s="281"/>
      <c r="Y210" s="276"/>
      <c r="Z210" s="276"/>
      <c r="AA210" s="276"/>
    </row>
    <row r="211" spans="2:27">
      <c r="B211" s="276"/>
      <c r="C211" s="276"/>
      <c r="D211" s="276"/>
      <c r="E211" s="276"/>
      <c r="F211" s="276"/>
      <c r="G211" s="276"/>
      <c r="H211" s="276"/>
      <c r="I211" s="276"/>
      <c r="J211" s="276"/>
      <c r="K211" s="276"/>
      <c r="L211" s="276"/>
      <c r="M211" s="276"/>
      <c r="N211" s="276"/>
      <c r="O211" s="276"/>
      <c r="P211" s="276"/>
      <c r="Q211" s="276"/>
      <c r="R211" s="276"/>
      <c r="S211" s="276"/>
      <c r="T211" s="276"/>
      <c r="U211" s="276"/>
      <c r="V211" s="276"/>
      <c r="W211" s="281"/>
      <c r="X211" s="281"/>
      <c r="Y211" s="276"/>
      <c r="Z211" s="276"/>
      <c r="AA211" s="276"/>
    </row>
    <row r="212" spans="2:27">
      <c r="B212" s="276"/>
      <c r="C212" s="276"/>
      <c r="D212" s="276"/>
      <c r="E212" s="276"/>
      <c r="F212" s="276"/>
      <c r="G212" s="276"/>
      <c r="H212" s="276"/>
      <c r="I212" s="276"/>
      <c r="J212" s="276"/>
      <c r="K212" s="276"/>
      <c r="L212" s="276"/>
      <c r="M212" s="276"/>
      <c r="N212" s="276"/>
      <c r="O212" s="276"/>
      <c r="P212" s="276"/>
      <c r="Q212" s="276"/>
      <c r="R212" s="276"/>
      <c r="S212" s="276"/>
      <c r="T212" s="276"/>
      <c r="U212" s="276"/>
      <c r="V212" s="276"/>
      <c r="W212" s="281"/>
      <c r="X212" s="281"/>
      <c r="Y212" s="276"/>
      <c r="Z212" s="276"/>
      <c r="AA212" s="276"/>
    </row>
    <row r="213" spans="2:27">
      <c r="B213" s="276"/>
      <c r="C213" s="276"/>
      <c r="D213" s="276"/>
      <c r="E213" s="276"/>
      <c r="F213" s="276"/>
      <c r="G213" s="276"/>
      <c r="H213" s="276"/>
      <c r="I213" s="276"/>
      <c r="J213" s="276"/>
      <c r="K213" s="276"/>
      <c r="L213" s="276"/>
      <c r="M213" s="276"/>
      <c r="N213" s="276"/>
      <c r="O213" s="276"/>
      <c r="P213" s="276"/>
      <c r="Q213" s="276"/>
      <c r="R213" s="276"/>
      <c r="S213" s="276"/>
      <c r="T213" s="276"/>
      <c r="U213" s="276"/>
      <c r="V213" s="276"/>
      <c r="W213" s="281"/>
      <c r="X213" s="281"/>
      <c r="Y213" s="276"/>
      <c r="Z213" s="276"/>
      <c r="AA213" s="276"/>
    </row>
    <row r="214" spans="2:27">
      <c r="B214" s="276"/>
      <c r="C214" s="276"/>
      <c r="D214" s="276"/>
      <c r="E214" s="276"/>
      <c r="F214" s="276"/>
      <c r="G214" s="276"/>
      <c r="H214" s="276"/>
      <c r="I214" s="276"/>
      <c r="J214" s="276"/>
      <c r="K214" s="276"/>
      <c r="L214" s="276"/>
      <c r="M214" s="276"/>
      <c r="N214" s="276"/>
      <c r="O214" s="276"/>
      <c r="P214" s="276"/>
      <c r="Q214" s="276"/>
      <c r="R214" s="276"/>
      <c r="S214" s="276"/>
      <c r="T214" s="276"/>
      <c r="U214" s="276"/>
      <c r="V214" s="276"/>
      <c r="W214" s="281"/>
      <c r="X214" s="281"/>
      <c r="Y214" s="276"/>
      <c r="Z214" s="276"/>
      <c r="AA214" s="276"/>
    </row>
    <row r="215" spans="2:27">
      <c r="B215" s="276"/>
      <c r="C215" s="276"/>
      <c r="D215" s="276"/>
      <c r="E215" s="276"/>
      <c r="F215" s="276"/>
      <c r="G215" s="276"/>
      <c r="H215" s="276"/>
      <c r="I215" s="276"/>
      <c r="J215" s="276"/>
      <c r="K215" s="276"/>
      <c r="L215" s="276"/>
      <c r="M215" s="276"/>
      <c r="N215" s="276"/>
      <c r="O215" s="276"/>
      <c r="P215" s="276"/>
      <c r="Q215" s="276"/>
      <c r="R215" s="276"/>
      <c r="S215" s="276"/>
      <c r="T215" s="276"/>
      <c r="U215" s="276"/>
      <c r="V215" s="276"/>
      <c r="W215" s="281"/>
      <c r="X215" s="281"/>
      <c r="Y215" s="276"/>
      <c r="Z215" s="276"/>
      <c r="AA215" s="276"/>
    </row>
    <row r="216" spans="2:27">
      <c r="B216" s="276"/>
      <c r="C216" s="276"/>
      <c r="D216" s="276"/>
      <c r="E216" s="276"/>
      <c r="F216" s="276"/>
      <c r="G216" s="276"/>
      <c r="H216" s="276"/>
      <c r="I216" s="276"/>
      <c r="J216" s="276"/>
      <c r="K216" s="276"/>
      <c r="L216" s="276"/>
      <c r="M216" s="276"/>
      <c r="N216" s="276"/>
      <c r="O216" s="276"/>
      <c r="P216" s="276"/>
      <c r="Q216" s="276"/>
      <c r="R216" s="276"/>
      <c r="S216" s="276"/>
      <c r="T216" s="276"/>
      <c r="U216" s="276"/>
      <c r="V216" s="276"/>
      <c r="W216" s="281"/>
      <c r="X216" s="281"/>
      <c r="Y216" s="276"/>
      <c r="Z216" s="276"/>
      <c r="AA216" s="276"/>
    </row>
    <row r="217" spans="2:27">
      <c r="B217" s="276"/>
      <c r="C217" s="276"/>
      <c r="D217" s="276"/>
      <c r="E217" s="276"/>
      <c r="F217" s="276"/>
      <c r="G217" s="276"/>
      <c r="H217" s="276"/>
      <c r="I217" s="276"/>
      <c r="J217" s="276"/>
      <c r="K217" s="276"/>
      <c r="L217" s="276"/>
      <c r="M217" s="276"/>
      <c r="N217" s="276"/>
      <c r="O217" s="276"/>
      <c r="P217" s="276"/>
      <c r="Q217" s="276"/>
      <c r="R217" s="276"/>
      <c r="S217" s="276"/>
      <c r="T217" s="276"/>
      <c r="U217" s="276"/>
      <c r="V217" s="276"/>
      <c r="W217" s="281"/>
      <c r="X217" s="281"/>
      <c r="Y217" s="276"/>
      <c r="Z217" s="276"/>
      <c r="AA217" s="276"/>
    </row>
    <row r="218" spans="2:27">
      <c r="B218" s="276"/>
      <c r="C218" s="276"/>
      <c r="D218" s="276"/>
      <c r="E218" s="276"/>
      <c r="F218" s="276"/>
      <c r="G218" s="276"/>
      <c r="H218" s="276"/>
      <c r="I218" s="276"/>
      <c r="J218" s="276"/>
      <c r="K218" s="276"/>
      <c r="L218" s="276"/>
      <c r="M218" s="276"/>
      <c r="N218" s="276"/>
      <c r="O218" s="276"/>
      <c r="P218" s="276"/>
      <c r="Q218" s="276"/>
      <c r="R218" s="276"/>
      <c r="S218" s="276"/>
      <c r="T218" s="276"/>
      <c r="U218" s="276"/>
      <c r="V218" s="276"/>
      <c r="W218" s="281"/>
      <c r="X218" s="281"/>
      <c r="Y218" s="276"/>
      <c r="Z218" s="276"/>
      <c r="AA218" s="276"/>
    </row>
    <row r="219" spans="2:27">
      <c r="B219" s="276"/>
      <c r="C219" s="276"/>
      <c r="D219" s="276"/>
      <c r="E219" s="276"/>
      <c r="F219" s="276"/>
      <c r="G219" s="276"/>
      <c r="H219" s="276"/>
      <c r="I219" s="276"/>
      <c r="J219" s="276"/>
      <c r="K219" s="276"/>
      <c r="L219" s="276"/>
      <c r="M219" s="276"/>
      <c r="N219" s="276"/>
      <c r="O219" s="276"/>
      <c r="P219" s="276"/>
      <c r="Q219" s="276"/>
      <c r="R219" s="276"/>
      <c r="S219" s="276"/>
      <c r="T219" s="276"/>
      <c r="U219" s="276"/>
      <c r="V219" s="276"/>
      <c r="W219" s="281"/>
      <c r="X219" s="281"/>
      <c r="Y219" s="276"/>
      <c r="Z219" s="276"/>
      <c r="AA219" s="276"/>
    </row>
    <row r="220" spans="2:27">
      <c r="B220" s="276"/>
      <c r="C220" s="276"/>
      <c r="D220" s="276"/>
      <c r="E220" s="276"/>
      <c r="F220" s="276"/>
      <c r="G220" s="276"/>
      <c r="H220" s="276"/>
      <c r="I220" s="276"/>
      <c r="J220" s="276"/>
      <c r="K220" s="276"/>
      <c r="L220" s="276"/>
      <c r="M220" s="276"/>
      <c r="N220" s="276"/>
      <c r="O220" s="276"/>
      <c r="P220" s="276"/>
      <c r="Q220" s="276"/>
      <c r="R220" s="276"/>
      <c r="S220" s="276"/>
      <c r="T220" s="276"/>
      <c r="U220" s="276"/>
      <c r="V220" s="276"/>
      <c r="W220" s="281"/>
      <c r="X220" s="281"/>
      <c r="Y220" s="276"/>
      <c r="Z220" s="276"/>
      <c r="AA220" s="276"/>
    </row>
    <row r="221" spans="2:27">
      <c r="B221" s="276"/>
      <c r="C221" s="276"/>
      <c r="D221" s="276"/>
      <c r="E221" s="276"/>
      <c r="F221" s="276"/>
      <c r="G221" s="276"/>
      <c r="H221" s="276"/>
      <c r="I221" s="276"/>
      <c r="J221" s="276"/>
      <c r="K221" s="276"/>
      <c r="L221" s="276"/>
      <c r="M221" s="276"/>
      <c r="N221" s="276"/>
      <c r="O221" s="276"/>
      <c r="P221" s="276"/>
      <c r="Q221" s="276"/>
      <c r="R221" s="276"/>
      <c r="S221" s="276"/>
      <c r="T221" s="276"/>
      <c r="U221" s="276"/>
      <c r="V221" s="276"/>
      <c r="W221" s="281"/>
      <c r="X221" s="281"/>
      <c r="Y221" s="276"/>
      <c r="Z221" s="276"/>
      <c r="AA221" s="276"/>
    </row>
    <row r="222" spans="2:27">
      <c r="B222" s="276"/>
      <c r="C222" s="276"/>
      <c r="D222" s="276"/>
      <c r="E222" s="276"/>
      <c r="F222" s="276"/>
      <c r="G222" s="276"/>
      <c r="H222" s="276"/>
      <c r="I222" s="276"/>
      <c r="J222" s="276"/>
      <c r="K222" s="276"/>
      <c r="L222" s="276"/>
      <c r="M222" s="276"/>
      <c r="N222" s="276"/>
      <c r="O222" s="276"/>
      <c r="P222" s="276"/>
      <c r="Q222" s="276"/>
      <c r="R222" s="276"/>
      <c r="S222" s="276"/>
      <c r="T222" s="276"/>
      <c r="U222" s="276"/>
      <c r="V222" s="276"/>
      <c r="W222" s="281"/>
      <c r="X222" s="281"/>
      <c r="Y222" s="276"/>
      <c r="Z222" s="276"/>
      <c r="AA222" s="276"/>
    </row>
    <row r="223" spans="2:27">
      <c r="B223" s="276"/>
      <c r="C223" s="276"/>
      <c r="D223" s="276"/>
      <c r="E223" s="281"/>
      <c r="F223" s="276"/>
      <c r="G223" s="276"/>
      <c r="H223" s="276"/>
      <c r="I223" s="276"/>
      <c r="J223" s="276"/>
      <c r="K223" s="276"/>
      <c r="L223" s="276"/>
      <c r="M223" s="276"/>
      <c r="N223" s="276"/>
      <c r="O223" s="276"/>
      <c r="P223" s="276"/>
      <c r="Q223" s="276"/>
      <c r="R223" s="276"/>
      <c r="S223" s="276"/>
      <c r="T223" s="276"/>
      <c r="U223" s="276"/>
      <c r="V223" s="276"/>
      <c r="W223" s="281"/>
      <c r="X223" s="281"/>
      <c r="Y223" s="276"/>
      <c r="Z223" s="276"/>
      <c r="AA223" s="276"/>
    </row>
    <row r="224" spans="2:27">
      <c r="B224" s="276"/>
      <c r="C224" s="276"/>
      <c r="D224" s="276"/>
      <c r="E224" s="281"/>
      <c r="F224" s="281"/>
      <c r="G224" s="281"/>
      <c r="H224" s="281"/>
      <c r="I224" s="281"/>
      <c r="J224" s="281"/>
      <c r="K224" s="281"/>
      <c r="L224" s="281"/>
      <c r="M224" s="281"/>
      <c r="N224" s="281"/>
      <c r="O224" s="281"/>
      <c r="P224" s="281"/>
      <c r="Q224" s="281"/>
      <c r="R224" s="281"/>
      <c r="S224" s="281"/>
      <c r="T224" s="281"/>
      <c r="U224" s="281"/>
      <c r="V224" s="281"/>
      <c r="W224" s="281"/>
      <c r="X224" s="281"/>
      <c r="Y224" s="276"/>
      <c r="Z224" s="276"/>
      <c r="AA224" s="276"/>
    </row>
    <row r="225" spans="2:27">
      <c r="B225" s="276"/>
      <c r="C225" s="276"/>
      <c r="D225" s="276"/>
      <c r="E225" s="276"/>
      <c r="F225" s="281"/>
      <c r="G225" s="281"/>
      <c r="H225" s="281"/>
      <c r="I225" s="281"/>
      <c r="J225" s="281"/>
      <c r="K225" s="281"/>
      <c r="L225" s="281"/>
      <c r="M225" s="281"/>
      <c r="N225" s="281"/>
      <c r="O225" s="281"/>
      <c r="P225" s="281"/>
      <c r="Q225" s="281"/>
      <c r="R225" s="281"/>
      <c r="S225" s="281"/>
      <c r="T225" s="281"/>
      <c r="U225" s="281"/>
      <c r="V225" s="281"/>
      <c r="W225" s="281"/>
      <c r="X225" s="281"/>
      <c r="Y225" s="276"/>
      <c r="Z225" s="276"/>
      <c r="AA225" s="276"/>
    </row>
    <row r="226" spans="2:27">
      <c r="B226" s="276"/>
      <c r="C226" s="276"/>
      <c r="D226" s="276"/>
      <c r="E226" s="276"/>
      <c r="F226" s="276"/>
      <c r="G226" s="276"/>
      <c r="H226" s="276"/>
      <c r="I226" s="276"/>
      <c r="J226" s="276"/>
      <c r="K226" s="276"/>
      <c r="L226" s="276"/>
      <c r="M226" s="276"/>
      <c r="N226" s="276"/>
      <c r="O226" s="276"/>
      <c r="P226" s="276"/>
      <c r="Q226" s="276"/>
      <c r="R226" s="276"/>
      <c r="S226" s="276"/>
      <c r="T226" s="276"/>
      <c r="U226" s="276"/>
      <c r="V226" s="281"/>
      <c r="W226" s="281"/>
      <c r="X226" s="281"/>
      <c r="Y226" s="276"/>
      <c r="Z226" s="276"/>
      <c r="AA226" s="276"/>
    </row>
    <row r="227" spans="2:27">
      <c r="B227" s="276"/>
      <c r="C227" s="276"/>
      <c r="D227" s="276"/>
      <c r="E227" s="281" t="s">
        <v>258</v>
      </c>
      <c r="F227" s="276"/>
      <c r="G227" s="276"/>
      <c r="H227" s="276"/>
      <c r="I227" s="276"/>
      <c r="J227" s="276"/>
      <c r="K227" s="1568"/>
      <c r="L227" s="1568"/>
      <c r="M227" s="1568"/>
      <c r="N227" s="314" t="s">
        <v>259</v>
      </c>
      <c r="O227" s="276"/>
      <c r="P227" s="276"/>
      <c r="Q227" s="276"/>
      <c r="R227" s="276"/>
      <c r="S227" s="276"/>
      <c r="T227" s="276"/>
      <c r="U227" s="276"/>
      <c r="V227" s="281"/>
      <c r="W227" s="281"/>
      <c r="X227" s="281"/>
      <c r="Y227" s="276"/>
      <c r="Z227" s="276"/>
      <c r="AA227" s="276"/>
    </row>
    <row r="228" spans="2:27">
      <c r="B228" s="276"/>
      <c r="C228" s="276"/>
      <c r="D228" s="276"/>
      <c r="E228" s="281" t="s">
        <v>260</v>
      </c>
      <c r="F228" s="281"/>
      <c r="G228" s="281"/>
      <c r="H228" s="281"/>
      <c r="I228" s="281"/>
      <c r="J228" s="282"/>
      <c r="K228" s="1568"/>
      <c r="L228" s="1568"/>
      <c r="M228" s="1568"/>
      <c r="N228" s="314" t="s">
        <v>259</v>
      </c>
      <c r="O228" s="281"/>
      <c r="P228" s="281"/>
      <c r="Q228" s="281"/>
      <c r="R228" s="281"/>
      <c r="S228" s="281"/>
      <c r="T228" s="281"/>
      <c r="U228" s="281"/>
      <c r="V228" s="281"/>
      <c r="W228" s="281"/>
      <c r="X228" s="281"/>
      <c r="Y228" s="276"/>
      <c r="Z228" s="276"/>
      <c r="AA228" s="276"/>
    </row>
    <row r="229" spans="2:27">
      <c r="B229" s="276"/>
      <c r="C229" s="276"/>
      <c r="D229" s="276"/>
      <c r="E229" s="281" t="s">
        <v>261</v>
      </c>
      <c r="F229" s="281"/>
      <c r="G229" s="281"/>
      <c r="H229" s="281"/>
      <c r="I229" s="281"/>
      <c r="J229" s="281"/>
      <c r="K229" s="1568"/>
      <c r="L229" s="1568"/>
      <c r="M229" s="1568"/>
      <c r="N229" s="314" t="s">
        <v>259</v>
      </c>
      <c r="O229" s="281"/>
      <c r="P229" s="281"/>
      <c r="Q229" s="281"/>
      <c r="R229" s="281"/>
      <c r="S229" s="281"/>
      <c r="T229" s="281"/>
      <c r="U229" s="281"/>
      <c r="V229" s="281"/>
      <c r="W229" s="281"/>
      <c r="X229" s="281"/>
      <c r="Y229" s="276"/>
      <c r="Z229" s="276"/>
      <c r="AA229" s="276"/>
    </row>
    <row r="230" spans="2:27">
      <c r="B230" s="276"/>
      <c r="C230" s="276"/>
      <c r="D230" s="276"/>
      <c r="E230" s="281" t="s">
        <v>262</v>
      </c>
      <c r="F230" s="281"/>
      <c r="G230" s="281"/>
      <c r="H230" s="281"/>
      <c r="I230" s="281"/>
      <c r="J230" s="281"/>
      <c r="K230" s="1568"/>
      <c r="L230" s="1568"/>
      <c r="M230" s="1568"/>
      <c r="N230" s="314" t="s">
        <v>259</v>
      </c>
      <c r="O230" s="281"/>
      <c r="P230" s="281"/>
      <c r="Q230" s="281"/>
      <c r="R230" s="281"/>
      <c r="S230" s="281"/>
      <c r="T230" s="281"/>
      <c r="U230" s="281"/>
      <c r="V230" s="281"/>
      <c r="W230" s="281"/>
      <c r="X230" s="281"/>
      <c r="Y230" s="276"/>
      <c r="Z230" s="276"/>
      <c r="AA230" s="276"/>
    </row>
    <row r="231" spans="2:27">
      <c r="B231" s="276"/>
      <c r="C231" s="276"/>
      <c r="D231" s="276"/>
      <c r="E231" s="281" t="s">
        <v>263</v>
      </c>
      <c r="F231" s="281"/>
      <c r="G231" s="281"/>
      <c r="H231" s="281"/>
      <c r="I231" s="281"/>
      <c r="J231" s="281"/>
      <c r="K231" s="1568"/>
      <c r="L231" s="1568"/>
      <c r="M231" s="1568"/>
      <c r="N231" s="314" t="s">
        <v>259</v>
      </c>
      <c r="O231" s="281"/>
      <c r="P231" s="281"/>
      <c r="Q231" s="281"/>
      <c r="R231" s="281"/>
      <c r="S231" s="281"/>
      <c r="T231" s="281"/>
      <c r="U231" s="281"/>
      <c r="V231" s="281"/>
      <c r="W231" s="281"/>
      <c r="X231" s="281"/>
      <c r="Y231" s="276"/>
      <c r="Z231" s="276"/>
      <c r="AA231" s="276"/>
    </row>
    <row r="232" spans="2:27">
      <c r="B232" s="276"/>
      <c r="C232" s="276"/>
      <c r="D232" s="276"/>
      <c r="E232" s="281" t="s">
        <v>264</v>
      </c>
      <c r="F232" s="281"/>
      <c r="G232" s="281"/>
      <c r="H232" s="281"/>
      <c r="I232" s="281"/>
      <c r="J232" s="281"/>
      <c r="K232" s="1568"/>
      <c r="L232" s="1568"/>
      <c r="M232" s="1568"/>
      <c r="N232" s="315" t="s">
        <v>259</v>
      </c>
      <c r="O232" s="281"/>
      <c r="P232" s="281"/>
      <c r="Q232" s="281"/>
      <c r="R232" s="281"/>
      <c r="S232" s="281"/>
      <c r="T232" s="281"/>
      <c r="U232" s="281"/>
      <c r="V232" s="281"/>
      <c r="W232" s="281"/>
      <c r="X232" s="281"/>
      <c r="Y232" s="276"/>
      <c r="Z232" s="276"/>
      <c r="AA232" s="276"/>
    </row>
    <row r="233" spans="2:27">
      <c r="B233" s="276"/>
      <c r="C233" s="276"/>
      <c r="D233" s="276"/>
      <c r="E233" s="281"/>
      <c r="F233" s="281"/>
      <c r="G233" s="281"/>
      <c r="H233" s="281"/>
      <c r="I233" s="281"/>
      <c r="J233" s="281"/>
      <c r="K233" s="298"/>
      <c r="L233" s="298"/>
      <c r="M233" s="298"/>
      <c r="N233" s="283"/>
      <c r="O233" s="281"/>
      <c r="P233" s="281"/>
      <c r="Q233" s="281"/>
      <c r="R233" s="281"/>
      <c r="S233" s="281"/>
      <c r="T233" s="281"/>
      <c r="U233" s="281"/>
      <c r="V233" s="281"/>
      <c r="W233" s="281"/>
      <c r="X233" s="281"/>
      <c r="Y233" s="276"/>
      <c r="Z233" s="276"/>
      <c r="AA233" s="276"/>
    </row>
    <row r="234" spans="2:27">
      <c r="B234" s="276"/>
      <c r="C234" s="276"/>
      <c r="D234" s="276"/>
      <c r="E234" s="281" t="s">
        <v>265</v>
      </c>
      <c r="F234" s="281"/>
      <c r="G234" s="281"/>
      <c r="H234" s="281"/>
      <c r="I234" s="281"/>
      <c r="J234" s="281"/>
      <c r="K234" s="281"/>
      <c r="L234" s="281"/>
      <c r="M234" s="281"/>
      <c r="N234" s="281"/>
      <c r="O234" s="281"/>
      <c r="P234" s="281"/>
      <c r="Q234" s="281"/>
      <c r="R234" s="281"/>
      <c r="S234" s="281"/>
      <c r="T234" s="281"/>
      <c r="U234" s="281"/>
      <c r="V234" s="281"/>
      <c r="W234" s="281"/>
      <c r="X234" s="281"/>
      <c r="Y234" s="276"/>
      <c r="Z234" s="276"/>
      <c r="AA234" s="276"/>
    </row>
    <row r="235" spans="2:27">
      <c r="B235" s="276"/>
      <c r="C235" s="276"/>
      <c r="D235" s="276"/>
      <c r="E235" s="281"/>
      <c r="F235" s="281"/>
      <c r="G235" s="281"/>
      <c r="H235" s="281"/>
      <c r="I235" s="281"/>
      <c r="J235" s="281"/>
      <c r="K235" s="281"/>
      <c r="L235" s="281"/>
      <c r="M235" s="281"/>
      <c r="N235" s="281"/>
      <c r="O235" s="281"/>
      <c r="P235" s="281"/>
      <c r="Q235" s="281"/>
      <c r="R235" s="281"/>
      <c r="S235" s="281"/>
      <c r="T235" s="281"/>
      <c r="U235" s="281"/>
      <c r="V235" s="281"/>
      <c r="W235" s="281"/>
      <c r="X235" s="281"/>
      <c r="Y235" s="276"/>
      <c r="Z235" s="276"/>
      <c r="AA235" s="276"/>
    </row>
    <row r="236" spans="2:27">
      <c r="B236" s="276"/>
      <c r="C236" s="276"/>
      <c r="D236" s="276"/>
      <c r="E236" s="281"/>
      <c r="F236" s="281"/>
      <c r="G236" s="281"/>
      <c r="H236" s="281"/>
      <c r="I236" s="281"/>
      <c r="J236" s="281"/>
      <c r="K236" s="281"/>
      <c r="L236" s="281"/>
      <c r="M236" s="281"/>
      <c r="N236" s="281"/>
      <c r="O236" s="281"/>
      <c r="P236" s="281"/>
      <c r="Q236" s="281"/>
      <c r="R236" s="281"/>
      <c r="S236" s="281"/>
      <c r="T236" s="281"/>
      <c r="U236" s="281"/>
      <c r="V236" s="281"/>
      <c r="W236" s="281"/>
      <c r="X236" s="281"/>
      <c r="Y236" s="276"/>
      <c r="Z236" s="276"/>
      <c r="AA236" s="276"/>
    </row>
    <row r="237" spans="2:27">
      <c r="B237" s="276"/>
      <c r="C237" s="276"/>
      <c r="D237" s="276"/>
      <c r="E237" s="276"/>
      <c r="F237" s="276"/>
      <c r="G237" s="276"/>
      <c r="H237" s="276"/>
      <c r="I237" s="276"/>
      <c r="J237" s="276"/>
      <c r="K237" s="276"/>
      <c r="L237" s="276"/>
      <c r="M237" s="276"/>
      <c r="N237" s="276"/>
      <c r="O237" s="276"/>
      <c r="P237" s="276"/>
      <c r="Q237" s="276"/>
      <c r="R237" s="276"/>
      <c r="S237" s="276"/>
      <c r="T237" s="276"/>
      <c r="U237" s="276"/>
      <c r="V237" s="276"/>
      <c r="W237" s="276"/>
      <c r="X237" s="276"/>
      <c r="Y237" s="276"/>
      <c r="Z237" s="276"/>
      <c r="AA237" s="276"/>
    </row>
    <row r="238" spans="2:27">
      <c r="B238" s="276"/>
      <c r="C238" s="276"/>
      <c r="D238" s="276"/>
      <c r="E238" s="276"/>
      <c r="F238" s="276"/>
      <c r="G238" s="281" t="s">
        <v>266</v>
      </c>
      <c r="H238" s="276"/>
      <c r="I238" s="276"/>
      <c r="J238" s="276"/>
      <c r="K238" s="276"/>
      <c r="L238" s="276"/>
      <c r="M238" s="276"/>
      <c r="N238" s="276"/>
      <c r="O238" s="276"/>
      <c r="P238" s="276"/>
      <c r="Q238" s="276"/>
      <c r="R238" s="276"/>
      <c r="S238" s="276"/>
      <c r="T238" s="276"/>
      <c r="U238" s="276"/>
      <c r="V238" s="276"/>
      <c r="W238" s="276"/>
      <c r="X238" s="276"/>
      <c r="Y238" s="276"/>
      <c r="Z238" s="276"/>
      <c r="AA238" s="276"/>
    </row>
    <row r="239" spans="2:27">
      <c r="B239" s="276"/>
      <c r="C239" s="276"/>
      <c r="D239" s="276"/>
      <c r="E239" s="276"/>
      <c r="F239" s="276"/>
      <c r="G239" s="1569" t="s">
        <v>140</v>
      </c>
      <c r="H239" s="1570"/>
      <c r="I239" s="1570"/>
      <c r="J239" s="1571"/>
      <c r="K239" s="1569" t="s">
        <v>267</v>
      </c>
      <c r="L239" s="1570"/>
      <c r="M239" s="1570"/>
      <c r="N239" s="1570"/>
      <c r="O239" s="1571"/>
      <c r="P239" s="1569" t="s">
        <v>268</v>
      </c>
      <c r="Q239" s="1570"/>
      <c r="R239" s="1570"/>
      <c r="S239" s="1570"/>
      <c r="T239" s="1571"/>
      <c r="U239" s="276"/>
      <c r="V239" s="276"/>
      <c r="W239" s="276"/>
      <c r="X239" s="276"/>
      <c r="Y239" s="276"/>
      <c r="Z239" s="276"/>
      <c r="AA239" s="276"/>
    </row>
    <row r="240" spans="2:27">
      <c r="B240" s="276"/>
      <c r="C240" s="276"/>
      <c r="D240" s="276"/>
      <c r="E240" s="276"/>
      <c r="F240" s="276"/>
      <c r="G240" s="1572" t="s">
        <v>110</v>
      </c>
      <c r="H240" s="1573"/>
      <c r="I240" s="1573"/>
      <c r="J240" s="1574"/>
      <c r="K240" s="1572" t="s">
        <v>269</v>
      </c>
      <c r="L240" s="1573"/>
      <c r="M240" s="1573"/>
      <c r="N240" s="1573"/>
      <c r="O240" s="1574"/>
      <c r="P240" s="1572" t="s">
        <v>270</v>
      </c>
      <c r="Q240" s="1573"/>
      <c r="R240" s="1573"/>
      <c r="S240" s="1573"/>
      <c r="T240" s="1574"/>
      <c r="U240" s="276"/>
      <c r="V240" s="276"/>
      <c r="W240" s="276"/>
      <c r="X240" s="276"/>
      <c r="Y240" s="276"/>
      <c r="Z240" s="276"/>
      <c r="AA240" s="276"/>
    </row>
    <row r="241" spans="2:27">
      <c r="B241" s="276"/>
      <c r="C241" s="276"/>
      <c r="D241" s="276"/>
      <c r="E241" s="276"/>
      <c r="F241" s="276"/>
      <c r="G241" s="1572" t="s">
        <v>138</v>
      </c>
      <c r="H241" s="1573"/>
      <c r="I241" s="1573"/>
      <c r="J241" s="1574"/>
      <c r="K241" s="1572" t="s">
        <v>276</v>
      </c>
      <c r="L241" s="1573"/>
      <c r="M241" s="1573"/>
      <c r="N241" s="1573"/>
      <c r="O241" s="1574"/>
      <c r="P241" s="1572" t="s">
        <v>271</v>
      </c>
      <c r="Q241" s="1573"/>
      <c r="R241" s="1573"/>
      <c r="S241" s="1573"/>
      <c r="T241" s="1574"/>
      <c r="U241" s="276"/>
      <c r="V241" s="276"/>
      <c r="W241" s="276"/>
      <c r="X241" s="276"/>
      <c r="Y241" s="276"/>
      <c r="Z241" s="276"/>
      <c r="AA241" s="276"/>
    </row>
    <row r="242" spans="2:27">
      <c r="B242" s="276"/>
      <c r="C242" s="276"/>
      <c r="D242" s="276"/>
      <c r="E242" s="276"/>
      <c r="F242" s="276"/>
      <c r="G242" s="1572" t="s">
        <v>139</v>
      </c>
      <c r="H242" s="1573"/>
      <c r="I242" s="1573"/>
      <c r="J242" s="1574"/>
      <c r="K242" s="1572" t="s">
        <v>273</v>
      </c>
      <c r="L242" s="1573"/>
      <c r="M242" s="1573"/>
      <c r="N242" s="1573"/>
      <c r="O242" s="1574"/>
      <c r="P242" s="1572" t="s">
        <v>277</v>
      </c>
      <c r="Q242" s="1573"/>
      <c r="R242" s="1573"/>
      <c r="S242" s="1573"/>
      <c r="T242" s="1574"/>
      <c r="U242" s="276"/>
      <c r="V242" s="276"/>
      <c r="W242" s="276"/>
      <c r="X242" s="276"/>
      <c r="Y242" s="276"/>
      <c r="Z242" s="276"/>
      <c r="AA242" s="276"/>
    </row>
    <row r="243" spans="2:27">
      <c r="B243" s="276"/>
      <c r="C243" s="276"/>
      <c r="D243" s="276"/>
      <c r="E243" s="276"/>
      <c r="F243" s="276"/>
      <c r="G243" s="316"/>
      <c r="H243" s="316"/>
      <c r="I243" s="316"/>
      <c r="J243" s="316"/>
      <c r="K243" s="316"/>
      <c r="L243" s="316"/>
      <c r="M243" s="316"/>
      <c r="N243" s="316"/>
      <c r="O243" s="316"/>
      <c r="P243" s="316"/>
      <c r="Q243" s="316"/>
      <c r="R243" s="316"/>
      <c r="S243" s="316"/>
      <c r="T243" s="316"/>
      <c r="U243" s="276"/>
      <c r="V243" s="276"/>
      <c r="W243" s="276"/>
      <c r="X243" s="276"/>
      <c r="Y243" s="276"/>
      <c r="Z243" s="276"/>
      <c r="AA243" s="276"/>
    </row>
    <row r="244" spans="2:27">
      <c r="B244" s="276"/>
      <c r="C244" s="276"/>
      <c r="D244" s="276"/>
      <c r="E244" s="276"/>
      <c r="F244" s="276"/>
      <c r="G244" s="317" t="s">
        <v>272</v>
      </c>
      <c r="H244" s="316"/>
      <c r="I244" s="316"/>
      <c r="J244" s="316"/>
      <c r="K244" s="316"/>
      <c r="L244" s="316"/>
      <c r="M244" s="316"/>
      <c r="N244" s="316"/>
      <c r="O244" s="316"/>
      <c r="P244" s="316"/>
      <c r="Q244" s="316"/>
      <c r="R244" s="316"/>
      <c r="S244" s="316"/>
      <c r="T244" s="316"/>
      <c r="U244" s="276"/>
      <c r="V244" s="276"/>
      <c r="W244" s="276"/>
      <c r="X244" s="276"/>
      <c r="Y244" s="276"/>
      <c r="Z244" s="276"/>
      <c r="AA244" s="276"/>
    </row>
    <row r="245" spans="2:27">
      <c r="B245" s="276"/>
      <c r="C245" s="276"/>
      <c r="D245" s="276"/>
      <c r="E245" s="276"/>
      <c r="F245" s="276"/>
      <c r="G245" s="317" t="s">
        <v>274</v>
      </c>
      <c r="H245" s="316"/>
      <c r="I245" s="316"/>
      <c r="J245" s="316"/>
      <c r="K245" s="316"/>
      <c r="L245" s="316"/>
      <c r="M245" s="316"/>
      <c r="N245" s="316"/>
      <c r="O245" s="316"/>
      <c r="P245" s="316"/>
      <c r="Q245" s="316"/>
      <c r="R245" s="316"/>
      <c r="S245" s="316"/>
      <c r="T245" s="316"/>
      <c r="U245" s="276"/>
      <c r="V245" s="276"/>
      <c r="W245" s="276"/>
      <c r="X245" s="276"/>
      <c r="Y245" s="276"/>
      <c r="Z245" s="276"/>
      <c r="AA245" s="276"/>
    </row>
    <row r="246" spans="2:27">
      <c r="B246" s="276"/>
      <c r="C246" s="276"/>
      <c r="D246" s="276"/>
      <c r="E246" s="276"/>
      <c r="F246" s="276"/>
      <c r="G246" s="317" t="s">
        <v>275</v>
      </c>
      <c r="H246" s="276"/>
      <c r="I246" s="276"/>
      <c r="J246" s="276"/>
      <c r="K246" s="276"/>
      <c r="L246" s="276"/>
      <c r="M246" s="276"/>
      <c r="N246" s="276"/>
      <c r="O246" s="276"/>
      <c r="P246" s="276"/>
      <c r="Q246" s="276"/>
      <c r="R246" s="276"/>
      <c r="S246" s="276"/>
      <c r="T246" s="276"/>
      <c r="U246" s="276"/>
      <c r="V246" s="276"/>
      <c r="W246" s="276"/>
      <c r="X246" s="276"/>
      <c r="Y246" s="276"/>
      <c r="Z246" s="276"/>
      <c r="AA246" s="276"/>
    </row>
    <row r="247" spans="2:27">
      <c r="B247" s="276"/>
      <c r="C247" s="276"/>
      <c r="D247" s="276"/>
      <c r="E247" s="276"/>
      <c r="F247" s="276"/>
      <c r="G247" s="276"/>
      <c r="H247" s="281"/>
      <c r="I247" s="281"/>
      <c r="J247" s="281"/>
      <c r="K247" s="281"/>
      <c r="L247" s="282"/>
      <c r="M247" s="282"/>
      <c r="N247" s="282"/>
      <c r="O247" s="282"/>
      <c r="P247" s="282"/>
      <c r="Q247" s="282"/>
      <c r="R247" s="282"/>
      <c r="S247" s="282"/>
      <c r="T247" s="282"/>
      <c r="U247" s="276"/>
      <c r="V247" s="276"/>
      <c r="W247" s="276"/>
      <c r="X247" s="276"/>
      <c r="Y247" s="276"/>
      <c r="Z247" s="276"/>
      <c r="AA247" s="276"/>
    </row>
    <row r="248" spans="2:27">
      <c r="B248" s="276"/>
      <c r="C248" s="276"/>
      <c r="D248" s="276"/>
      <c r="E248" s="276"/>
      <c r="F248" s="276"/>
      <c r="G248" s="276"/>
      <c r="H248" s="281"/>
      <c r="I248" s="281"/>
      <c r="J248" s="281"/>
      <c r="K248" s="281"/>
      <c r="L248" s="282"/>
      <c r="M248" s="282"/>
      <c r="N248" s="282"/>
      <c r="O248" s="282"/>
      <c r="P248" s="282"/>
      <c r="Q248" s="282"/>
      <c r="R248" s="282"/>
      <c r="S248" s="282"/>
      <c r="T248" s="282"/>
      <c r="U248" s="276"/>
      <c r="V248" s="276"/>
      <c r="W248" s="276"/>
      <c r="X248" s="276"/>
      <c r="Y248" s="276"/>
      <c r="Z248" s="276"/>
      <c r="AA248" s="276"/>
    </row>
    <row r="249" spans="2:27">
      <c r="B249" s="276"/>
      <c r="C249" s="276"/>
      <c r="D249" s="276"/>
      <c r="E249" s="276"/>
      <c r="F249" s="276"/>
      <c r="G249" s="276"/>
      <c r="H249" s="281"/>
      <c r="I249" s="281"/>
      <c r="J249" s="281"/>
      <c r="K249" s="281"/>
      <c r="L249" s="282"/>
      <c r="M249" s="282"/>
      <c r="N249" s="282"/>
      <c r="O249" s="282"/>
      <c r="P249" s="282"/>
      <c r="Q249" s="282"/>
      <c r="R249" s="282"/>
      <c r="S249" s="282"/>
      <c r="T249" s="282"/>
      <c r="U249" s="276"/>
      <c r="V249" s="276"/>
      <c r="W249" s="276"/>
      <c r="X249" s="276"/>
      <c r="Y249" s="276"/>
      <c r="Z249" s="276"/>
      <c r="AA249" s="276"/>
    </row>
    <row r="250" spans="2:27">
      <c r="B250" s="276"/>
      <c r="C250" s="276"/>
      <c r="D250" s="276"/>
      <c r="E250" s="276"/>
      <c r="F250" s="276"/>
      <c r="G250" s="276"/>
      <c r="H250" s="281"/>
      <c r="I250" s="281"/>
      <c r="J250" s="281"/>
      <c r="K250" s="281"/>
      <c r="L250" s="282"/>
      <c r="M250" s="282"/>
      <c r="N250" s="282"/>
      <c r="O250" s="282"/>
      <c r="P250" s="282"/>
      <c r="Q250" s="282"/>
      <c r="R250" s="282"/>
      <c r="S250" s="282"/>
      <c r="T250" s="282"/>
      <c r="U250" s="276"/>
      <c r="V250" s="276"/>
      <c r="W250" s="276"/>
      <c r="X250" s="276"/>
      <c r="Y250" s="276"/>
      <c r="Z250" s="276"/>
      <c r="AA250" s="276"/>
    </row>
    <row r="251" spans="2:27" ht="15">
      <c r="B251" s="276"/>
      <c r="C251" s="276"/>
      <c r="D251" s="279" t="s">
        <v>279</v>
      </c>
      <c r="E251" s="308"/>
      <c r="F251" s="280"/>
      <c r="G251" s="280"/>
      <c r="H251" s="280"/>
      <c r="I251" s="280"/>
      <c r="J251" s="280"/>
      <c r="K251" s="280"/>
      <c r="L251" s="280"/>
      <c r="M251" s="280"/>
      <c r="N251" s="280"/>
      <c r="O251" s="280"/>
      <c r="P251" s="280"/>
      <c r="Q251" s="280"/>
      <c r="R251" s="280"/>
      <c r="S251" s="280"/>
      <c r="T251" s="280"/>
      <c r="U251" s="280"/>
      <c r="V251" s="280"/>
      <c r="W251" s="280"/>
      <c r="X251" s="280"/>
      <c r="Y251" s="280"/>
      <c r="Z251" s="280"/>
      <c r="AA251" s="276"/>
    </row>
    <row r="252" spans="2:27">
      <c r="B252" s="276"/>
      <c r="C252" s="276"/>
      <c r="D252" s="276"/>
      <c r="E252" s="276"/>
      <c r="F252" s="276"/>
      <c r="G252" s="276"/>
      <c r="H252" s="281"/>
      <c r="I252" s="281"/>
      <c r="J252" s="281"/>
      <c r="K252" s="281"/>
      <c r="L252" s="282"/>
      <c r="M252" s="282"/>
      <c r="N252" s="282"/>
      <c r="O252" s="282"/>
      <c r="P252" s="282"/>
      <c r="Q252" s="282"/>
      <c r="R252" s="282"/>
      <c r="S252" s="282"/>
      <c r="T252" s="282"/>
      <c r="U252" s="276"/>
      <c r="V252" s="276"/>
      <c r="W252" s="276"/>
      <c r="X252" s="276"/>
      <c r="Y252" s="276"/>
      <c r="Z252" s="276"/>
      <c r="AA252" s="276"/>
    </row>
    <row r="253" spans="2:27">
      <c r="B253" s="276"/>
      <c r="C253" s="276"/>
      <c r="D253" s="276"/>
      <c r="E253" s="276"/>
      <c r="F253" s="276"/>
      <c r="G253" s="276"/>
      <c r="H253" s="281"/>
      <c r="I253" s="281"/>
      <c r="J253" s="281"/>
      <c r="K253" s="281"/>
      <c r="L253" s="282"/>
      <c r="M253" s="282"/>
      <c r="N253" s="282"/>
      <c r="O253" s="282"/>
      <c r="P253" s="282"/>
      <c r="Q253" s="282"/>
      <c r="R253" s="282"/>
      <c r="S253" s="282"/>
      <c r="T253" s="282"/>
      <c r="U253" s="276"/>
      <c r="V253" s="276"/>
      <c r="W253" s="276"/>
      <c r="X253" s="276"/>
      <c r="Y253" s="276"/>
      <c r="Z253" s="276"/>
      <c r="AA253" s="276"/>
    </row>
    <row r="254" spans="2:27">
      <c r="B254" s="276"/>
      <c r="C254" s="276"/>
      <c r="D254" s="276"/>
      <c r="E254" s="276"/>
      <c r="F254" s="276"/>
      <c r="G254" s="276"/>
      <c r="H254" s="281"/>
      <c r="I254" s="281"/>
      <c r="J254" s="281"/>
      <c r="K254" s="281"/>
      <c r="L254" s="282"/>
      <c r="M254" s="282"/>
      <c r="N254" s="282"/>
      <c r="O254" s="282"/>
      <c r="P254" s="282"/>
      <c r="Q254" s="282"/>
      <c r="R254" s="282"/>
      <c r="S254" s="282"/>
      <c r="T254" s="282"/>
      <c r="U254" s="276"/>
      <c r="V254" s="276"/>
      <c r="W254" s="276"/>
      <c r="X254" s="276"/>
      <c r="Y254" s="276"/>
      <c r="Z254" s="276"/>
      <c r="AA254" s="276"/>
    </row>
    <row r="255" spans="2:27">
      <c r="B255" s="276"/>
      <c r="C255" s="276"/>
      <c r="D255" s="276"/>
      <c r="E255" s="276"/>
      <c r="F255" s="276"/>
      <c r="G255" s="276"/>
      <c r="H255" s="281"/>
      <c r="I255" s="281"/>
      <c r="J255" s="281"/>
      <c r="K255" s="281"/>
      <c r="L255" s="282"/>
      <c r="M255" s="282"/>
      <c r="N255" s="282"/>
      <c r="O255" s="282"/>
      <c r="P255" s="282"/>
      <c r="Q255" s="282"/>
      <c r="R255" s="282"/>
      <c r="S255" s="282"/>
      <c r="T255" s="282"/>
      <c r="U255" s="276"/>
      <c r="V255" s="276"/>
      <c r="W255" s="276"/>
      <c r="X255" s="276"/>
      <c r="Y255" s="276"/>
      <c r="Z255" s="276"/>
      <c r="AA255" s="276"/>
    </row>
    <row r="256" spans="2:27">
      <c r="B256" s="276"/>
      <c r="C256" s="276"/>
      <c r="D256" s="276"/>
      <c r="E256" s="276"/>
      <c r="F256" s="276"/>
      <c r="G256" s="276"/>
      <c r="H256" s="281"/>
      <c r="I256" s="281"/>
      <c r="J256" s="281"/>
      <c r="K256" s="281"/>
      <c r="L256" s="282"/>
      <c r="M256" s="282"/>
      <c r="N256" s="282"/>
      <c r="O256" s="282"/>
      <c r="P256" s="282"/>
      <c r="Q256" s="282"/>
      <c r="R256" s="282"/>
      <c r="S256" s="282"/>
      <c r="T256" s="282"/>
      <c r="U256" s="276"/>
      <c r="V256" s="276"/>
      <c r="W256" s="276"/>
      <c r="X256" s="276"/>
      <c r="Y256" s="276"/>
      <c r="Z256" s="276"/>
      <c r="AA256" s="276"/>
    </row>
    <row r="257" spans="2:27">
      <c r="B257" s="276"/>
      <c r="C257" s="276"/>
      <c r="D257" s="276"/>
      <c r="E257" s="276"/>
      <c r="F257" s="276"/>
      <c r="G257" s="276"/>
      <c r="H257" s="281"/>
      <c r="I257" s="281"/>
      <c r="J257" s="281"/>
      <c r="K257" s="281"/>
      <c r="L257" s="282"/>
      <c r="M257" s="282"/>
      <c r="N257" s="282"/>
      <c r="O257" s="282"/>
      <c r="P257" s="282"/>
      <c r="Q257" s="282"/>
      <c r="R257" s="282"/>
      <c r="S257" s="282"/>
      <c r="T257" s="282"/>
      <c r="U257" s="276"/>
      <c r="V257" s="276"/>
      <c r="W257" s="276"/>
      <c r="X257" s="276"/>
      <c r="Y257" s="276"/>
      <c r="Z257" s="276"/>
      <c r="AA257" s="276"/>
    </row>
    <row r="258" spans="2:27">
      <c r="B258" s="276"/>
      <c r="C258" s="276"/>
      <c r="D258" s="276"/>
      <c r="E258" s="276"/>
      <c r="F258" s="276"/>
      <c r="G258" s="276"/>
      <c r="H258" s="281"/>
      <c r="I258" s="281"/>
      <c r="J258" s="281"/>
      <c r="K258" s="281"/>
      <c r="L258" s="282"/>
      <c r="M258" s="282"/>
      <c r="N258" s="282"/>
      <c r="O258" s="282"/>
      <c r="P258" s="282"/>
      <c r="Q258" s="282"/>
      <c r="R258" s="282"/>
      <c r="S258" s="282"/>
      <c r="T258" s="282"/>
      <c r="U258" s="276"/>
      <c r="V258" s="276"/>
      <c r="W258" s="276"/>
      <c r="X258" s="276"/>
      <c r="Y258" s="276"/>
      <c r="Z258" s="276"/>
      <c r="AA258" s="276"/>
    </row>
    <row r="259" spans="2:27">
      <c r="B259" s="276"/>
      <c r="C259" s="276"/>
      <c r="D259" s="276"/>
      <c r="E259" s="276"/>
      <c r="F259" s="276"/>
      <c r="G259" s="276"/>
      <c r="H259" s="281"/>
      <c r="I259" s="281"/>
      <c r="J259" s="281"/>
      <c r="K259" s="281"/>
      <c r="L259" s="282"/>
      <c r="M259" s="282"/>
      <c r="N259" s="282"/>
      <c r="O259" s="282"/>
      <c r="P259" s="282"/>
      <c r="Q259" s="282"/>
      <c r="R259" s="282"/>
      <c r="S259" s="282"/>
      <c r="T259" s="282"/>
      <c r="U259" s="276"/>
      <c r="V259" s="276"/>
      <c r="W259" s="276"/>
      <c r="X259" s="276"/>
      <c r="Y259" s="276"/>
      <c r="Z259" s="276"/>
      <c r="AA259" s="276"/>
    </row>
    <row r="260" spans="2:27">
      <c r="B260" s="276"/>
      <c r="C260" s="276"/>
      <c r="D260" s="276"/>
      <c r="E260" s="276"/>
      <c r="F260" s="276"/>
      <c r="G260" s="276"/>
      <c r="H260" s="281"/>
      <c r="I260" s="281"/>
      <c r="J260" s="281"/>
      <c r="K260" s="281"/>
      <c r="L260" s="282"/>
      <c r="M260" s="282"/>
      <c r="N260" s="282"/>
      <c r="O260" s="282"/>
      <c r="P260" s="282"/>
      <c r="Q260" s="282"/>
      <c r="R260" s="282"/>
      <c r="S260" s="282"/>
      <c r="T260" s="282"/>
      <c r="U260" s="276"/>
      <c r="V260" s="276"/>
      <c r="W260" s="276"/>
      <c r="X260" s="276"/>
      <c r="Y260" s="276"/>
      <c r="Z260" s="276"/>
      <c r="AA260" s="276"/>
    </row>
    <row r="261" spans="2:27">
      <c r="B261" s="276"/>
      <c r="C261" s="276"/>
      <c r="D261" s="276"/>
      <c r="E261" s="276"/>
      <c r="F261" s="276"/>
      <c r="G261" s="276"/>
      <c r="H261" s="281"/>
      <c r="I261" s="281"/>
      <c r="J261" s="281"/>
      <c r="K261" s="281"/>
      <c r="L261" s="282"/>
      <c r="M261" s="282"/>
      <c r="N261" s="282"/>
      <c r="O261" s="282"/>
      <c r="P261" s="282"/>
      <c r="Q261" s="282"/>
      <c r="R261" s="282"/>
      <c r="S261" s="282"/>
      <c r="T261" s="282"/>
      <c r="U261" s="276"/>
      <c r="V261" s="276"/>
      <c r="W261" s="276"/>
      <c r="X261" s="276"/>
      <c r="Y261" s="276"/>
      <c r="Z261" s="276"/>
      <c r="AA261" s="276"/>
    </row>
    <row r="262" spans="2:27">
      <c r="B262" s="276"/>
      <c r="C262" s="276"/>
      <c r="D262" s="276"/>
      <c r="E262" s="276"/>
      <c r="F262" s="276"/>
      <c r="G262" s="276"/>
      <c r="H262" s="281"/>
      <c r="I262" s="281"/>
      <c r="J262" s="281"/>
      <c r="K262" s="281"/>
      <c r="L262" s="282"/>
      <c r="M262" s="282"/>
      <c r="N262" s="282"/>
      <c r="O262" s="282"/>
      <c r="P262" s="282"/>
      <c r="Q262" s="282"/>
      <c r="R262" s="282"/>
      <c r="S262" s="282"/>
      <c r="T262" s="282"/>
      <c r="U262" s="276"/>
      <c r="V262" s="276"/>
      <c r="W262" s="276"/>
      <c r="X262" s="276"/>
      <c r="Y262" s="276"/>
      <c r="Z262" s="276"/>
      <c r="AA262" s="276"/>
    </row>
    <row r="263" spans="2:27">
      <c r="B263" s="276"/>
      <c r="C263" s="276"/>
      <c r="D263" s="276"/>
      <c r="E263" s="276"/>
      <c r="F263" s="276"/>
      <c r="G263" s="276"/>
      <c r="H263" s="281"/>
      <c r="I263" s="281"/>
      <c r="J263" s="281"/>
      <c r="K263" s="281"/>
      <c r="L263" s="282"/>
      <c r="M263" s="282"/>
      <c r="N263" s="282"/>
      <c r="O263" s="282"/>
      <c r="P263" s="282"/>
      <c r="Q263" s="282"/>
      <c r="R263" s="282"/>
      <c r="S263" s="282"/>
      <c r="T263" s="282"/>
      <c r="U263" s="276"/>
      <c r="V263" s="276"/>
      <c r="W263" s="276"/>
      <c r="X263" s="276"/>
      <c r="Y263" s="276"/>
      <c r="Z263" s="276"/>
      <c r="AA263" s="276"/>
    </row>
    <row r="264" spans="2:27">
      <c r="B264" s="276"/>
      <c r="C264" s="276"/>
      <c r="D264" s="276"/>
      <c r="E264" s="276"/>
      <c r="F264" s="276"/>
      <c r="G264" s="276"/>
      <c r="H264" s="281"/>
      <c r="I264" s="281"/>
      <c r="J264" s="281"/>
      <c r="K264" s="281"/>
      <c r="L264" s="282"/>
      <c r="M264" s="282"/>
      <c r="N264" s="282"/>
      <c r="O264" s="282"/>
      <c r="P264" s="282"/>
      <c r="Q264" s="282"/>
      <c r="R264" s="282"/>
      <c r="S264" s="282"/>
      <c r="T264" s="282"/>
      <c r="U264" s="276"/>
      <c r="V264" s="276"/>
      <c r="W264" s="276"/>
      <c r="X264" s="276"/>
      <c r="Y264" s="276"/>
      <c r="Z264" s="276"/>
      <c r="AA264" s="276"/>
    </row>
    <row r="265" spans="2:27">
      <c r="B265" s="276"/>
      <c r="C265" s="276"/>
      <c r="D265" s="276"/>
      <c r="E265" s="276"/>
      <c r="F265" s="276"/>
      <c r="G265" s="276"/>
      <c r="H265" s="281"/>
      <c r="I265" s="281"/>
      <c r="J265" s="281"/>
      <c r="K265" s="281"/>
      <c r="L265" s="282"/>
      <c r="M265" s="282"/>
      <c r="N265" s="282"/>
      <c r="O265" s="282"/>
      <c r="P265" s="282"/>
      <c r="Q265" s="282"/>
      <c r="R265" s="282"/>
      <c r="S265" s="282"/>
      <c r="T265" s="282"/>
      <c r="U265" s="276"/>
      <c r="V265" s="276"/>
      <c r="W265" s="276"/>
      <c r="X265" s="276"/>
      <c r="Y265" s="276"/>
      <c r="Z265" s="276"/>
      <c r="AA265" s="276"/>
    </row>
    <row r="266" spans="2:27">
      <c r="B266" s="276"/>
      <c r="C266" s="276"/>
      <c r="D266" s="276"/>
      <c r="E266" s="276"/>
      <c r="F266" s="276"/>
      <c r="G266" s="276"/>
      <c r="H266" s="281"/>
      <c r="I266" s="281"/>
      <c r="J266" s="281"/>
      <c r="K266" s="281"/>
      <c r="L266" s="282"/>
      <c r="M266" s="282"/>
      <c r="N266" s="282"/>
      <c r="O266" s="282"/>
      <c r="P266" s="282"/>
      <c r="Q266" s="282"/>
      <c r="R266" s="282"/>
      <c r="S266" s="282"/>
      <c r="T266" s="282"/>
      <c r="U266" s="276"/>
      <c r="V266" s="276"/>
      <c r="W266" s="276"/>
      <c r="X266" s="276"/>
      <c r="Y266" s="276"/>
      <c r="Z266" s="276"/>
      <c r="AA266" s="276"/>
    </row>
    <row r="267" spans="2:27">
      <c r="B267" s="276"/>
      <c r="C267" s="276"/>
      <c r="D267" s="276"/>
      <c r="E267" s="276"/>
      <c r="F267" s="276"/>
      <c r="G267" s="276"/>
      <c r="H267" s="281"/>
      <c r="I267" s="281"/>
      <c r="J267" s="281"/>
      <c r="K267" s="281"/>
      <c r="L267" s="282"/>
      <c r="M267" s="282"/>
      <c r="N267" s="282"/>
      <c r="O267" s="282"/>
      <c r="P267" s="282"/>
      <c r="Q267" s="282"/>
      <c r="R267" s="282"/>
      <c r="S267" s="282"/>
      <c r="T267" s="282"/>
      <c r="U267" s="276"/>
      <c r="V267" s="276"/>
      <c r="W267" s="276"/>
      <c r="X267" s="276"/>
      <c r="Y267" s="276"/>
      <c r="Z267" s="276"/>
      <c r="AA267" s="276"/>
    </row>
    <row r="268" spans="2:27">
      <c r="B268" s="276"/>
      <c r="C268" s="276"/>
      <c r="D268" s="276"/>
      <c r="E268" s="276"/>
      <c r="F268" s="276"/>
      <c r="G268" s="276"/>
      <c r="H268" s="281"/>
      <c r="I268" s="281"/>
      <c r="J268" s="281"/>
      <c r="K268" s="281"/>
      <c r="L268" s="281"/>
      <c r="M268" s="281"/>
      <c r="N268" s="281"/>
      <c r="O268" s="281"/>
      <c r="P268" s="281"/>
      <c r="Q268" s="281"/>
      <c r="R268" s="276"/>
      <c r="S268" s="276"/>
      <c r="T268" s="276"/>
      <c r="U268" s="276"/>
      <c r="V268" s="288"/>
      <c r="W268" s="288"/>
      <c r="X268" s="282"/>
      <c r="Y268" s="276"/>
      <c r="Z268" s="276"/>
      <c r="AA268" s="276"/>
    </row>
    <row r="269" spans="2:27">
      <c r="B269" s="276"/>
      <c r="C269" s="276"/>
      <c r="D269" s="276"/>
      <c r="E269" s="276"/>
      <c r="F269" s="276"/>
      <c r="G269" s="276"/>
      <c r="H269" s="281"/>
      <c r="I269" s="281"/>
      <c r="J269" s="281"/>
      <c r="K269" s="281"/>
      <c r="L269" s="281"/>
      <c r="M269" s="281"/>
      <c r="N269" s="281"/>
      <c r="O269" s="281"/>
      <c r="P269" s="281"/>
      <c r="Q269" s="281"/>
      <c r="R269" s="276"/>
      <c r="S269" s="276"/>
      <c r="T269" s="276"/>
      <c r="U269" s="276"/>
      <c r="V269" s="276"/>
      <c r="W269" s="276"/>
      <c r="X269" s="276"/>
      <c r="Y269" s="276"/>
      <c r="Z269" s="276"/>
      <c r="AA269" s="276"/>
    </row>
    <row r="270" spans="2:27">
      <c r="H270" s="272"/>
      <c r="I270" s="272"/>
      <c r="J270" s="272"/>
      <c r="K270" s="272"/>
      <c r="L270" s="272"/>
      <c r="M270" s="272"/>
      <c r="N270" s="272"/>
      <c r="O270" s="272"/>
      <c r="P270" s="272"/>
      <c r="Q270" s="272"/>
    </row>
  </sheetData>
  <sheetProtection insertRows="0" selectLockedCells="1"/>
  <mergeCells count="93">
    <mergeCell ref="K229:M229"/>
    <mergeCell ref="K230:M230"/>
    <mergeCell ref="K231:M231"/>
    <mergeCell ref="K232:M232"/>
    <mergeCell ref="K108:O108"/>
    <mergeCell ref="H114:N114"/>
    <mergeCell ref="H115:N115"/>
    <mergeCell ref="H116:N116"/>
    <mergeCell ref="H117:N117"/>
    <mergeCell ref="F120:X123"/>
    <mergeCell ref="V129:X129"/>
    <mergeCell ref="L141:W141"/>
    <mergeCell ref="L144:W144"/>
    <mergeCell ref="O158:S158"/>
    <mergeCell ref="E203:X203"/>
    <mergeCell ref="E204:X204"/>
    <mergeCell ref="L22:T22"/>
    <mergeCell ref="Q19:T19"/>
    <mergeCell ref="N44:R44"/>
    <mergeCell ref="L72:Q72"/>
    <mergeCell ref="K106:O106"/>
    <mergeCell ref="F26:W31"/>
    <mergeCell ref="G74:I74"/>
    <mergeCell ref="J74:L74"/>
    <mergeCell ref="M74:O74"/>
    <mergeCell ref="P74:R74"/>
    <mergeCell ref="S74:U74"/>
    <mergeCell ref="F61:W64"/>
    <mergeCell ref="G81:I81"/>
    <mergeCell ref="J81:L81"/>
    <mergeCell ref="M81:O81"/>
    <mergeCell ref="P81:R81"/>
    <mergeCell ref="G241:J241"/>
    <mergeCell ref="K241:O241"/>
    <mergeCell ref="P241:T241"/>
    <mergeCell ref="G242:J242"/>
    <mergeCell ref="K242:O242"/>
    <mergeCell ref="P242:T242"/>
    <mergeCell ref="G239:J239"/>
    <mergeCell ref="K239:O239"/>
    <mergeCell ref="P239:T239"/>
    <mergeCell ref="G240:J240"/>
    <mergeCell ref="K240:O240"/>
    <mergeCell ref="P240:T240"/>
    <mergeCell ref="E205:X205"/>
    <mergeCell ref="K227:M227"/>
    <mergeCell ref="K228:M228"/>
    <mergeCell ref="G83:I83"/>
    <mergeCell ref="J83:L83"/>
    <mergeCell ref="M83:O83"/>
    <mergeCell ref="P83:R83"/>
    <mergeCell ref="S83:U83"/>
    <mergeCell ref="G84:I84"/>
    <mergeCell ref="J84:L84"/>
    <mergeCell ref="M84:O84"/>
    <mergeCell ref="P84:R84"/>
    <mergeCell ref="S84:U84"/>
    <mergeCell ref="S81:U81"/>
    <mergeCell ref="G82:I82"/>
    <mergeCell ref="J82:L82"/>
    <mergeCell ref="M82:O82"/>
    <mergeCell ref="P82:R82"/>
    <mergeCell ref="S82:U82"/>
    <mergeCell ref="G79:I79"/>
    <mergeCell ref="J79:L79"/>
    <mergeCell ref="M79:O79"/>
    <mergeCell ref="P79:R79"/>
    <mergeCell ref="S79:U79"/>
    <mergeCell ref="G80:I80"/>
    <mergeCell ref="J80:L80"/>
    <mergeCell ref="M80:O80"/>
    <mergeCell ref="P80:R80"/>
    <mergeCell ref="S80:U80"/>
    <mergeCell ref="G77:I77"/>
    <mergeCell ref="J77:L77"/>
    <mergeCell ref="M77:O77"/>
    <mergeCell ref="P77:R77"/>
    <mergeCell ref="S77:U77"/>
    <mergeCell ref="G78:I78"/>
    <mergeCell ref="J78:L78"/>
    <mergeCell ref="M78:O78"/>
    <mergeCell ref="P78:R78"/>
    <mergeCell ref="S78:U78"/>
    <mergeCell ref="G75:I75"/>
    <mergeCell ref="J75:L75"/>
    <mergeCell ref="M75:O75"/>
    <mergeCell ref="P75:R75"/>
    <mergeCell ref="S75:U75"/>
    <mergeCell ref="G76:I76"/>
    <mergeCell ref="J76:L76"/>
    <mergeCell ref="M76:O76"/>
    <mergeCell ref="P76:R76"/>
    <mergeCell ref="S76:U76"/>
  </mergeCells>
  <pageMargins left="0.7" right="0.7" top="0.75" bottom="0.75" header="0.3" footer="0.3"/>
  <pageSetup paperSize="9" scale="73" orientation="portrait" r:id="rId1"/>
  <rowBreaks count="3" manualBreakCount="3">
    <brk id="67" min="2" max="26" man="1"/>
    <brk id="137" min="2" max="26" man="1"/>
    <brk id="207" min="2" max="26" man="1"/>
  </rowBreak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theme="5" tint="-0.249977111117893"/>
  </sheetPr>
  <dimension ref="B3:K101"/>
  <sheetViews>
    <sheetView showGridLines="0" showRowColHeaders="0" zoomScaleNormal="100" zoomScaleSheetLayoutView="100" workbookViewId="0">
      <selection activeCell="E15" sqref="E15:G15"/>
    </sheetView>
  </sheetViews>
  <sheetFormatPr defaultColWidth="9.140625" defaultRowHeight="12.75"/>
  <cols>
    <col min="1" max="2" width="9.140625" style="977"/>
    <col min="3" max="3" width="33.28515625" style="977" bestFit="1" customWidth="1"/>
    <col min="4" max="8" width="9.140625" style="977"/>
    <col min="9" max="9" width="9.85546875" style="977" bestFit="1" customWidth="1"/>
    <col min="10" max="13" width="9.140625" style="977"/>
    <col min="14" max="14" width="33.42578125" style="977" bestFit="1" customWidth="1"/>
    <col min="15" max="16384" width="9.140625" style="977"/>
  </cols>
  <sheetData>
    <row r="3" spans="2:11">
      <c r="B3" s="976"/>
      <c r="C3" s="976"/>
      <c r="D3" s="976"/>
      <c r="E3" s="976"/>
      <c r="F3" s="976"/>
      <c r="G3" s="976"/>
      <c r="H3" s="976"/>
      <c r="I3" s="976"/>
      <c r="J3" s="976"/>
      <c r="K3" s="976"/>
    </row>
    <row r="4" spans="2:11">
      <c r="B4" s="976"/>
      <c r="C4" s="976"/>
      <c r="D4" s="976"/>
      <c r="E4" s="976"/>
      <c r="F4" s="976"/>
      <c r="G4" s="976"/>
      <c r="H4" s="976"/>
      <c r="I4" s="976"/>
      <c r="J4" s="976"/>
      <c r="K4" s="976"/>
    </row>
    <row r="5" spans="2:11">
      <c r="B5" s="976"/>
      <c r="C5" s="976"/>
      <c r="D5" s="976"/>
      <c r="E5" s="976"/>
      <c r="F5" s="976"/>
      <c r="G5" s="976"/>
      <c r="H5" s="978"/>
      <c r="I5" s="976"/>
      <c r="J5" s="976"/>
      <c r="K5" s="976"/>
    </row>
    <row r="6" spans="2:11">
      <c r="B6" s="976"/>
      <c r="C6" s="976"/>
      <c r="D6" s="976"/>
      <c r="E6" s="976"/>
      <c r="F6" s="976"/>
      <c r="G6" s="976"/>
      <c r="H6" s="976"/>
      <c r="I6" s="976"/>
      <c r="J6" s="976"/>
      <c r="K6" s="976"/>
    </row>
    <row r="7" spans="2:11" ht="9" customHeight="1">
      <c r="B7" s="976"/>
      <c r="C7" s="976"/>
      <c r="D7" s="976"/>
      <c r="E7" s="976"/>
      <c r="F7" s="976"/>
      <c r="G7" s="976"/>
      <c r="H7" s="978"/>
      <c r="I7" s="976"/>
      <c r="J7" s="976"/>
      <c r="K7" s="976"/>
    </row>
    <row r="8" spans="2:11" ht="9" customHeight="1">
      <c r="B8" s="976"/>
      <c r="C8" s="976"/>
      <c r="D8" s="976"/>
      <c r="E8" s="976"/>
      <c r="F8" s="976"/>
      <c r="G8" s="976"/>
      <c r="H8" s="976"/>
      <c r="I8" s="976"/>
      <c r="J8" s="976"/>
      <c r="K8" s="976"/>
    </row>
    <row r="9" spans="2:11" ht="20.25" customHeight="1">
      <c r="B9" s="976"/>
      <c r="C9" s="1057" t="s">
        <v>1419</v>
      </c>
      <c r="D9" s="1056"/>
      <c r="E9" s="1056"/>
      <c r="F9" s="1056"/>
      <c r="G9" s="1056"/>
      <c r="H9" s="1056"/>
      <c r="I9" s="1056"/>
      <c r="J9" s="1056"/>
      <c r="K9" s="976"/>
    </row>
    <row r="10" spans="2:11" ht="20.25" customHeight="1">
      <c r="B10" s="976"/>
      <c r="C10" s="978" t="s">
        <v>1185</v>
      </c>
      <c r="D10" s="976"/>
      <c r="E10" s="976"/>
      <c r="F10" s="976"/>
      <c r="G10" s="976"/>
      <c r="H10" s="976"/>
      <c r="I10" s="976"/>
      <c r="J10" s="976"/>
      <c r="K10" s="976"/>
    </row>
    <row r="11" spans="2:11" ht="20.25" customHeight="1">
      <c r="B11" s="976"/>
      <c r="C11" s="976"/>
      <c r="D11" s="976"/>
      <c r="E11" s="976"/>
      <c r="F11" s="976"/>
      <c r="G11" s="976"/>
      <c r="H11" s="976"/>
      <c r="I11" s="976"/>
      <c r="J11" s="976"/>
      <c r="K11" s="976"/>
    </row>
    <row r="12" spans="2:11" ht="20.25" customHeight="1">
      <c r="B12" s="976"/>
      <c r="C12" s="976"/>
      <c r="D12" s="976"/>
      <c r="E12" s="976"/>
      <c r="F12" s="976"/>
      <c r="G12" s="976"/>
      <c r="H12" s="976"/>
      <c r="I12" s="976"/>
      <c r="J12" s="976"/>
      <c r="K12" s="976"/>
    </row>
    <row r="13" spans="2:11" ht="20.25" customHeight="1">
      <c r="B13" s="976"/>
      <c r="C13" s="976"/>
      <c r="D13" s="976"/>
      <c r="E13" s="976"/>
      <c r="F13" s="976"/>
      <c r="G13" s="976"/>
      <c r="H13" s="976"/>
      <c r="I13" s="976"/>
      <c r="J13" s="976"/>
      <c r="K13" s="976"/>
    </row>
    <row r="14" spans="2:11" ht="20.25" customHeight="1">
      <c r="B14" s="976"/>
      <c r="C14" s="976"/>
      <c r="D14" s="976"/>
      <c r="E14" s="976"/>
      <c r="F14" s="976"/>
      <c r="G14" s="976"/>
      <c r="H14" s="976"/>
      <c r="I14" s="976"/>
      <c r="J14" s="976"/>
      <c r="K14" s="976"/>
    </row>
    <row r="15" spans="2:11" ht="20.25" customHeight="1">
      <c r="B15" s="976"/>
      <c r="C15" s="976"/>
      <c r="D15" s="976"/>
      <c r="E15" s="1611"/>
      <c r="F15" s="1611"/>
      <c r="G15" s="1611"/>
      <c r="H15" s="976"/>
      <c r="I15" s="976"/>
      <c r="J15" s="976"/>
      <c r="K15" s="976"/>
    </row>
    <row r="16" spans="2:11" ht="20.25" customHeight="1">
      <c r="B16" s="976"/>
      <c r="C16" s="976"/>
      <c r="D16" s="976"/>
      <c r="E16" s="976"/>
      <c r="F16" s="976"/>
      <c r="G16" s="976"/>
      <c r="H16" s="976"/>
      <c r="I16" s="976"/>
      <c r="J16" s="976"/>
      <c r="K16" s="976"/>
    </row>
    <row r="17" spans="2:11" ht="9" customHeight="1">
      <c r="B17" s="976"/>
      <c r="C17" s="976"/>
      <c r="D17" s="976"/>
      <c r="E17" s="976"/>
      <c r="F17" s="976"/>
      <c r="G17" s="976"/>
      <c r="H17" s="976"/>
      <c r="I17" s="976"/>
      <c r="J17" s="976"/>
      <c r="K17" s="976"/>
    </row>
    <row r="18" spans="2:11" ht="20.25" customHeight="1">
      <c r="B18" s="976"/>
      <c r="C18" s="978" t="s">
        <v>1180</v>
      </c>
      <c r="D18" s="976"/>
      <c r="E18" s="1611"/>
      <c r="F18" s="1611"/>
      <c r="G18" s="1611"/>
      <c r="H18" s="1019" t="s">
        <v>1173</v>
      </c>
      <c r="I18" s="976"/>
      <c r="J18" s="976"/>
      <c r="K18" s="976"/>
    </row>
    <row r="19" spans="2:11" ht="13.5" customHeight="1">
      <c r="B19" s="976"/>
      <c r="C19" s="978"/>
      <c r="D19" s="976"/>
      <c r="E19" s="1103"/>
      <c r="F19" s="1103"/>
      <c r="G19" s="1103"/>
      <c r="H19" s="1019"/>
      <c r="I19" s="976"/>
      <c r="J19" s="976"/>
      <c r="K19" s="976"/>
    </row>
    <row r="20" spans="2:11" ht="13.5" customHeight="1">
      <c r="B20" s="976"/>
      <c r="C20" s="978"/>
      <c r="D20" s="976"/>
      <c r="E20" s="1103"/>
      <c r="F20" s="1103"/>
      <c r="G20" s="1103"/>
      <c r="H20" s="1019"/>
      <c r="I20" s="976"/>
      <c r="J20" s="976"/>
      <c r="K20" s="976"/>
    </row>
    <row r="21" spans="2:11" ht="15.75">
      <c r="B21" s="976"/>
      <c r="C21" s="1057" t="s">
        <v>1266</v>
      </c>
      <c r="D21" s="1056"/>
      <c r="E21" s="1056"/>
      <c r="F21" s="1056"/>
      <c r="G21" s="1056"/>
      <c r="H21" s="1056"/>
      <c r="I21" s="1056"/>
      <c r="J21" s="1056"/>
      <c r="K21" s="976"/>
    </row>
    <row r="22" spans="2:11" ht="20.25" customHeight="1">
      <c r="B22" s="976"/>
      <c r="C22" s="978"/>
      <c r="D22" s="976"/>
      <c r="E22" s="1615"/>
      <c r="F22" s="1615"/>
      <c r="G22" s="1615"/>
      <c r="H22" s="976"/>
      <c r="I22" s="976"/>
      <c r="J22" s="976"/>
      <c r="K22" s="976"/>
    </row>
    <row r="23" spans="2:11" ht="20.25" customHeight="1">
      <c r="B23" s="976"/>
      <c r="C23" s="978" t="s">
        <v>1181</v>
      </c>
      <c r="D23" s="976"/>
      <c r="E23" s="976"/>
      <c r="F23" s="976"/>
      <c r="G23" s="976"/>
      <c r="H23" s="976"/>
      <c r="I23" s="976"/>
      <c r="J23" s="976"/>
      <c r="K23" s="976"/>
    </row>
    <row r="24" spans="2:11" ht="20.25" customHeight="1">
      <c r="B24" s="976"/>
      <c r="C24" s="976"/>
      <c r="D24" s="976"/>
      <c r="E24" s="976"/>
      <c r="F24" s="976"/>
      <c r="G24" s="976"/>
      <c r="H24" s="976"/>
      <c r="I24" s="976"/>
      <c r="J24" s="976"/>
      <c r="K24" s="976"/>
    </row>
    <row r="25" spans="2:11" ht="20.25" customHeight="1">
      <c r="B25" s="976"/>
      <c r="C25" s="978" t="s">
        <v>1267</v>
      </c>
      <c r="D25" s="976"/>
      <c r="E25" s="1612"/>
      <c r="F25" s="1611"/>
      <c r="G25" s="1611"/>
      <c r="H25" s="1611"/>
      <c r="I25" s="1611"/>
      <c r="J25" s="1611"/>
      <c r="K25" s="976"/>
    </row>
    <row r="26" spans="2:11" ht="8.25" customHeight="1">
      <c r="B26" s="976"/>
      <c r="C26" s="978"/>
      <c r="D26" s="976"/>
      <c r="E26" s="1103"/>
      <c r="F26" s="1103"/>
      <c r="G26" s="1103"/>
      <c r="H26" s="1103"/>
      <c r="I26" s="1103"/>
      <c r="J26" s="1103"/>
      <c r="K26" s="976"/>
    </row>
    <row r="27" spans="2:11">
      <c r="B27" s="976"/>
      <c r="C27" s="978"/>
      <c r="D27" s="1111"/>
      <c r="E27" s="1115" t="s">
        <v>1268</v>
      </c>
      <c r="F27" s="1116"/>
      <c r="G27" s="1116"/>
      <c r="H27" s="1116"/>
      <c r="I27" s="1116"/>
      <c r="J27" s="1117">
        <f>LEN(SUBSTITUTE(E25," ",""))</f>
        <v>0</v>
      </c>
      <c r="K27" s="976"/>
    </row>
    <row r="28" spans="2:11">
      <c r="B28" s="976"/>
      <c r="C28" s="978"/>
      <c r="D28" s="1111"/>
      <c r="E28" s="1114"/>
      <c r="F28" s="1103"/>
      <c r="G28" s="1103"/>
      <c r="H28" s="1103"/>
      <c r="I28" s="1103"/>
      <c r="J28" s="1103"/>
      <c r="K28" s="976"/>
    </row>
    <row r="29" spans="2:11" ht="20.25" customHeight="1">
      <c r="B29" s="976"/>
      <c r="C29" s="976"/>
      <c r="D29" s="976"/>
      <c r="E29" s="976"/>
      <c r="F29" s="976"/>
      <c r="G29" s="976"/>
      <c r="H29" s="976"/>
      <c r="I29" s="976"/>
      <c r="J29" s="976"/>
      <c r="K29" s="976"/>
    </row>
    <row r="30" spans="2:11" ht="20.25" customHeight="1">
      <c r="B30" s="976"/>
      <c r="C30" s="978" t="s">
        <v>1259</v>
      </c>
      <c r="D30" s="976"/>
      <c r="E30" s="976"/>
      <c r="F30" s="976"/>
      <c r="G30" s="976"/>
      <c r="H30" s="976"/>
      <c r="I30" s="976"/>
      <c r="J30" s="976"/>
      <c r="K30" s="976"/>
    </row>
    <row r="31" spans="2:11" ht="20.25" customHeight="1">
      <c r="B31" s="976"/>
      <c r="C31" s="976"/>
      <c r="D31" s="976"/>
      <c r="E31" s="976"/>
      <c r="F31" s="976"/>
      <c r="G31" s="976"/>
      <c r="H31" s="976"/>
      <c r="I31" s="976"/>
      <c r="J31" s="976"/>
      <c r="K31" s="976"/>
    </row>
    <row r="32" spans="2:11" ht="20.25" customHeight="1">
      <c r="B32" s="976"/>
      <c r="C32" s="976"/>
      <c r="D32" s="976"/>
      <c r="E32" s="976"/>
      <c r="F32" s="976"/>
      <c r="G32" s="976"/>
      <c r="H32" s="976"/>
      <c r="I32" s="976"/>
      <c r="J32" s="976"/>
      <c r="K32" s="976"/>
    </row>
    <row r="33" spans="2:11" ht="20.25" customHeight="1">
      <c r="B33" s="976"/>
      <c r="C33" s="976"/>
      <c r="D33" s="976"/>
      <c r="E33" s="976"/>
      <c r="F33" s="976"/>
      <c r="G33" s="976"/>
      <c r="H33" s="976"/>
      <c r="I33" s="976"/>
      <c r="J33" s="976"/>
      <c r="K33" s="976"/>
    </row>
    <row r="34" spans="2:11" ht="20.25" customHeight="1">
      <c r="B34" s="976"/>
      <c r="C34" s="976"/>
      <c r="D34" s="976"/>
      <c r="E34" s="976"/>
      <c r="F34" s="976"/>
      <c r="G34" s="976"/>
      <c r="H34" s="976"/>
      <c r="I34" s="976"/>
      <c r="J34" s="976"/>
      <c r="K34" s="976"/>
    </row>
    <row r="35" spans="2:11" ht="20.25" customHeight="1">
      <c r="B35" s="976"/>
      <c r="C35" s="978" t="s">
        <v>1182</v>
      </c>
      <c r="D35" s="976"/>
      <c r="E35" s="1611"/>
      <c r="F35" s="1611"/>
      <c r="G35" s="1611"/>
      <c r="H35" s="1019" t="s">
        <v>1178</v>
      </c>
      <c r="I35" s="976"/>
      <c r="J35" s="976"/>
      <c r="K35" s="976"/>
    </row>
    <row r="36" spans="2:11" ht="20.25" customHeight="1">
      <c r="B36" s="976"/>
      <c r="C36" s="978" t="s">
        <v>1179</v>
      </c>
      <c r="D36" s="976"/>
      <c r="E36" s="1611"/>
      <c r="F36" s="1611"/>
      <c r="G36" s="1611"/>
      <c r="H36" s="1019" t="s">
        <v>1275</v>
      </c>
      <c r="I36" s="976"/>
      <c r="J36" s="976"/>
      <c r="K36" s="976"/>
    </row>
    <row r="37" spans="2:11" ht="20.25" customHeight="1">
      <c r="B37" s="976"/>
      <c r="C37" s="978" t="s">
        <v>1274</v>
      </c>
      <c r="D37" s="976"/>
      <c r="E37" s="1616">
        <f>E36*60</f>
        <v>0</v>
      </c>
      <c r="F37" s="1616"/>
      <c r="G37" s="1616"/>
      <c r="H37" s="1019" t="s">
        <v>1276</v>
      </c>
      <c r="I37" s="976"/>
      <c r="J37" s="976"/>
      <c r="K37" s="976"/>
    </row>
    <row r="38" spans="2:11" ht="20.25" customHeight="1">
      <c r="B38" s="976"/>
      <c r="C38" s="978"/>
      <c r="D38" s="976"/>
      <c r="E38" s="976"/>
      <c r="F38" s="976"/>
      <c r="G38" s="976"/>
      <c r="H38" s="1019"/>
      <c r="I38" s="976"/>
      <c r="J38" s="976"/>
      <c r="K38" s="976"/>
    </row>
    <row r="39" spans="2:11" ht="20.25" customHeight="1">
      <c r="B39" s="976"/>
      <c r="C39" s="978"/>
      <c r="D39" s="978"/>
      <c r="E39" s="978"/>
      <c r="F39" s="978"/>
      <c r="G39" s="978"/>
      <c r="H39" s="978"/>
      <c r="I39" s="976"/>
      <c r="J39" s="976"/>
      <c r="K39" s="976"/>
    </row>
    <row r="40" spans="2:11" ht="20.25" customHeight="1">
      <c r="B40" s="976"/>
      <c r="C40" s="1057" t="s">
        <v>1271</v>
      </c>
      <c r="D40" s="1055"/>
      <c r="E40" s="1055"/>
      <c r="F40" s="1055"/>
      <c r="G40" s="1055"/>
      <c r="H40" s="1055"/>
      <c r="I40" s="1055"/>
      <c r="J40" s="1055"/>
      <c r="K40" s="976"/>
    </row>
    <row r="41" spans="2:11" ht="11.25" customHeight="1">
      <c r="B41" s="976"/>
      <c r="C41" s="1121"/>
      <c r="D41" s="1122"/>
      <c r="E41" s="1055"/>
      <c r="F41" s="1122"/>
      <c r="G41" s="1122"/>
      <c r="H41" s="1122"/>
      <c r="I41" s="1122"/>
      <c r="J41" s="1122"/>
      <c r="K41" s="976"/>
    </row>
    <row r="42" spans="2:11" ht="20.25" customHeight="1">
      <c r="B42" s="976"/>
      <c r="C42" s="1110" t="s">
        <v>1263</v>
      </c>
      <c r="D42" s="976"/>
      <c r="E42" s="1105">
        <f>E37</f>
        <v>0</v>
      </c>
      <c r="F42" s="1103"/>
      <c r="G42" s="1118" t="s">
        <v>1269</v>
      </c>
      <c r="H42" s="1019"/>
      <c r="I42" s="1187"/>
      <c r="J42" s="1105"/>
      <c r="K42" s="976"/>
    </row>
    <row r="43" spans="2:11" ht="20.25" customHeight="1">
      <c r="B43" s="976"/>
      <c r="C43" s="1110" t="s">
        <v>1260</v>
      </c>
      <c r="D43" s="976"/>
      <c r="E43" s="1105">
        <v>16</v>
      </c>
      <c r="F43" s="1103"/>
      <c r="G43" s="984" t="s">
        <v>1260</v>
      </c>
      <c r="H43" s="1019"/>
      <c r="I43" s="1019"/>
      <c r="J43" s="1105">
        <v>16</v>
      </c>
      <c r="K43" s="976"/>
    </row>
    <row r="44" spans="2:11" ht="20.25" customHeight="1">
      <c r="B44" s="976"/>
      <c r="C44" s="1110" t="s">
        <v>1261</v>
      </c>
      <c r="D44" s="976"/>
      <c r="E44" s="1105">
        <v>5</v>
      </c>
      <c r="F44" s="1103"/>
      <c r="G44" s="984" t="s">
        <v>1261</v>
      </c>
      <c r="H44" s="1019"/>
      <c r="I44" s="1019"/>
      <c r="J44" s="1105">
        <v>5</v>
      </c>
      <c r="K44" s="976"/>
    </row>
    <row r="45" spans="2:11" ht="20.25" customHeight="1">
      <c r="B45" s="976"/>
      <c r="C45" s="1110" t="s">
        <v>1262</v>
      </c>
      <c r="D45" s="976"/>
      <c r="E45" s="1105">
        <v>50</v>
      </c>
      <c r="F45" s="1103"/>
      <c r="G45" s="984" t="s">
        <v>1262</v>
      </c>
      <c r="H45" s="1019"/>
      <c r="I45" s="1019"/>
      <c r="J45" s="1105">
        <v>50</v>
      </c>
      <c r="K45" s="976"/>
    </row>
    <row r="46" spans="2:11" ht="7.5" customHeight="1">
      <c r="B46" s="976"/>
      <c r="C46" s="1104"/>
      <c r="D46" s="976"/>
      <c r="E46" s="1103"/>
      <c r="F46" s="1103"/>
      <c r="G46" s="1103"/>
      <c r="H46" s="1019"/>
      <c r="I46" s="1019"/>
      <c r="J46" s="976"/>
      <c r="K46" s="976"/>
    </row>
    <row r="47" spans="2:11" ht="20.25" customHeight="1">
      <c r="B47" s="976"/>
      <c r="C47" s="1106" t="s">
        <v>1264</v>
      </c>
      <c r="D47" s="1107"/>
      <c r="E47" s="1112">
        <f>E42*E43*E44*E45</f>
        <v>0</v>
      </c>
      <c r="F47" s="1103"/>
      <c r="G47" s="1119" t="s">
        <v>1270</v>
      </c>
      <c r="H47" s="1120"/>
      <c r="I47" s="1120"/>
      <c r="J47" s="1112">
        <f>J42/J43/J44/J45</f>
        <v>0</v>
      </c>
      <c r="K47" s="976"/>
    </row>
    <row r="48" spans="2:11" ht="20.25" customHeight="1">
      <c r="B48" s="976"/>
      <c r="C48" s="1108" t="s">
        <v>1265</v>
      </c>
      <c r="D48" s="1109"/>
      <c r="E48" s="1113">
        <f>E43*E44*E45</f>
        <v>4000</v>
      </c>
      <c r="F48" s="976"/>
      <c r="G48" s="1119" t="s">
        <v>1277</v>
      </c>
      <c r="H48" s="1120"/>
      <c r="I48" s="1120"/>
      <c r="J48" s="1112">
        <f>J47/60</f>
        <v>0</v>
      </c>
      <c r="K48" s="976"/>
    </row>
    <row r="49" spans="2:11" ht="20.25" customHeight="1">
      <c r="B49" s="976"/>
      <c r="C49" s="1123"/>
      <c r="D49" s="1124"/>
      <c r="E49" s="1124"/>
      <c r="F49" s="976"/>
      <c r="G49" s="1119" t="s">
        <v>1278</v>
      </c>
      <c r="H49" s="1120"/>
      <c r="I49" s="1120"/>
      <c r="J49" s="1112">
        <f>J48/60</f>
        <v>0</v>
      </c>
      <c r="K49" s="976"/>
    </row>
    <row r="50" spans="2:11" ht="20.25" customHeight="1">
      <c r="B50" s="976"/>
      <c r="C50" s="1123"/>
      <c r="D50" s="1124"/>
      <c r="E50" s="1124"/>
      <c r="F50" s="976"/>
      <c r="G50" s="1186" t="s">
        <v>1265</v>
      </c>
      <c r="H50" s="1120"/>
      <c r="I50" s="1120"/>
      <c r="J50" s="1113">
        <f>J43*J44*J45</f>
        <v>4000</v>
      </c>
      <c r="K50" s="976"/>
    </row>
    <row r="51" spans="2:11" ht="20.25" customHeight="1">
      <c r="B51" s="976"/>
      <c r="C51" s="976"/>
      <c r="D51" s="976"/>
      <c r="E51" s="976"/>
      <c r="F51" s="976"/>
      <c r="G51" s="976"/>
      <c r="H51" s="976"/>
      <c r="I51" s="976"/>
      <c r="J51" s="976"/>
      <c r="K51" s="976"/>
    </row>
    <row r="52" spans="2:11" ht="20.25" customHeight="1">
      <c r="B52" s="976"/>
      <c r="C52" s="1057" t="s">
        <v>1174</v>
      </c>
      <c r="D52" s="1055"/>
      <c r="E52" s="1055"/>
      <c r="F52" s="1055"/>
      <c r="G52" s="1055"/>
      <c r="H52" s="1055"/>
      <c r="I52" s="1055"/>
      <c r="J52" s="1055"/>
      <c r="K52" s="976"/>
    </row>
    <row r="53" spans="2:11" ht="20.25" customHeight="1">
      <c r="B53" s="976"/>
      <c r="C53" s="978" t="s">
        <v>1175</v>
      </c>
      <c r="D53" s="976"/>
      <c r="E53" s="976"/>
      <c r="F53" s="976"/>
      <c r="G53" s="976"/>
      <c r="H53" s="976"/>
      <c r="I53" s="976"/>
      <c r="J53" s="976"/>
      <c r="K53" s="976"/>
    </row>
    <row r="54" spans="2:11" ht="20.25" customHeight="1">
      <c r="B54" s="976"/>
      <c r="C54" s="976"/>
      <c r="D54" s="976"/>
      <c r="E54" s="976"/>
      <c r="F54" s="976"/>
      <c r="G54" s="976"/>
      <c r="H54" s="976"/>
      <c r="I54" s="976"/>
      <c r="J54" s="976"/>
      <c r="K54" s="976"/>
    </row>
    <row r="55" spans="2:11" ht="20.25" customHeight="1">
      <c r="B55" s="976"/>
      <c r="C55" s="976"/>
      <c r="D55" s="976"/>
      <c r="E55" s="976"/>
      <c r="F55" s="976"/>
      <c r="G55" s="976"/>
      <c r="H55" s="976"/>
      <c r="I55" s="976"/>
      <c r="J55" s="976"/>
      <c r="K55" s="976"/>
    </row>
    <row r="56" spans="2:11" ht="20.25" customHeight="1">
      <c r="B56" s="976"/>
      <c r="C56" s="978" t="s">
        <v>1186</v>
      </c>
      <c r="D56" s="976"/>
      <c r="E56" s="976"/>
      <c r="F56" s="976"/>
      <c r="G56" s="976"/>
      <c r="H56" s="976"/>
      <c r="I56" s="976"/>
      <c r="J56" s="976"/>
      <c r="K56" s="976"/>
    </row>
    <row r="57" spans="2:11" ht="20.25" customHeight="1">
      <c r="B57" s="976"/>
      <c r="C57" s="976"/>
      <c r="D57" s="976"/>
      <c r="E57" s="976"/>
      <c r="F57" s="976"/>
      <c r="G57" s="976"/>
      <c r="H57" s="976"/>
      <c r="I57" s="976"/>
      <c r="J57" s="976"/>
      <c r="K57" s="976"/>
    </row>
    <row r="58" spans="2:11" ht="20.25" customHeight="1">
      <c r="B58" s="976"/>
      <c r="C58" s="976"/>
      <c r="D58" s="976"/>
      <c r="E58" s="976"/>
      <c r="F58" s="976"/>
      <c r="G58" s="976"/>
      <c r="H58" s="976"/>
      <c r="I58" s="976"/>
      <c r="J58" s="976"/>
      <c r="K58" s="976"/>
    </row>
    <row r="59" spans="2:11" ht="20.25" customHeight="1">
      <c r="B59" s="976"/>
      <c r="C59" s="976"/>
      <c r="D59" s="976"/>
      <c r="E59" s="976"/>
      <c r="F59" s="976"/>
      <c r="G59" s="976"/>
      <c r="H59" s="976"/>
      <c r="I59" s="976"/>
      <c r="J59" s="976"/>
      <c r="K59" s="976"/>
    </row>
    <row r="60" spans="2:11" ht="20.25" customHeight="1">
      <c r="B60" s="976"/>
      <c r="C60" s="976"/>
      <c r="D60" s="976"/>
      <c r="E60" s="976"/>
      <c r="F60" s="976"/>
      <c r="G60" s="976"/>
      <c r="H60" s="976"/>
      <c r="I60" s="976"/>
      <c r="J60" s="976"/>
      <c r="K60" s="976"/>
    </row>
    <row r="61" spans="2:11" ht="20.25" customHeight="1">
      <c r="B61" s="976"/>
      <c r="C61" s="1057" t="s">
        <v>1272</v>
      </c>
      <c r="D61" s="1055"/>
      <c r="E61" s="1055"/>
      <c r="F61" s="1055"/>
      <c r="G61" s="1055"/>
      <c r="H61" s="1055"/>
      <c r="I61" s="1055"/>
      <c r="J61" s="1055"/>
      <c r="K61" s="976"/>
    </row>
    <row r="62" spans="2:11" ht="6.75" customHeight="1">
      <c r="B62" s="976"/>
      <c r="C62" s="976"/>
      <c r="D62" s="976"/>
      <c r="E62" s="976"/>
      <c r="F62" s="976"/>
      <c r="G62" s="976"/>
      <c r="H62" s="976"/>
      <c r="I62" s="976"/>
      <c r="J62" s="976"/>
      <c r="K62" s="976"/>
    </row>
    <row r="63" spans="2:11" ht="20.25" customHeight="1">
      <c r="B63" s="976"/>
      <c r="C63" s="980" t="s">
        <v>1418</v>
      </c>
      <c r="D63" s="981"/>
      <c r="E63" s="981"/>
      <c r="F63" s="981"/>
      <c r="G63" s="981"/>
      <c r="H63" s="976"/>
      <c r="I63" s="976"/>
      <c r="J63" s="976"/>
      <c r="K63" s="976"/>
    </row>
    <row r="64" spans="2:11" ht="20.25" customHeight="1">
      <c r="B64" s="976"/>
      <c r="C64" s="980" t="s">
        <v>1176</v>
      </c>
      <c r="D64" s="981"/>
      <c r="E64" s="981"/>
      <c r="F64" s="981"/>
      <c r="G64" s="981"/>
      <c r="H64" s="976"/>
      <c r="I64" s="976"/>
      <c r="J64" s="976"/>
      <c r="K64" s="976"/>
    </row>
    <row r="65" spans="2:11" ht="20.25" customHeight="1">
      <c r="B65" s="976"/>
      <c r="C65" s="976"/>
      <c r="D65" s="976"/>
      <c r="E65" s="976"/>
      <c r="F65" s="976"/>
      <c r="G65" s="976"/>
      <c r="H65" s="976"/>
      <c r="I65" s="976"/>
      <c r="J65" s="976"/>
      <c r="K65" s="976"/>
    </row>
    <row r="66" spans="2:11" ht="20.25" customHeight="1">
      <c r="B66" s="976"/>
      <c r="C66" s="976"/>
      <c r="D66" s="976"/>
      <c r="E66" s="976"/>
      <c r="F66" s="976"/>
      <c r="G66" s="976"/>
      <c r="H66" s="976"/>
      <c r="I66" s="976"/>
      <c r="J66" s="976"/>
      <c r="K66" s="976"/>
    </row>
    <row r="67" spans="2:11" ht="20.25" customHeight="1">
      <c r="B67" s="976"/>
      <c r="C67" s="1057" t="s">
        <v>1420</v>
      </c>
      <c r="D67" s="1055"/>
      <c r="E67" s="1055"/>
      <c r="F67" s="1055"/>
      <c r="G67" s="1055"/>
      <c r="H67" s="1055"/>
      <c r="I67" s="1055"/>
      <c r="J67" s="1055"/>
      <c r="K67" s="976"/>
    </row>
    <row r="68" spans="2:11" ht="9.75" customHeight="1">
      <c r="B68" s="276"/>
      <c r="C68" s="277"/>
      <c r="D68" s="276"/>
      <c r="E68" s="276"/>
      <c r="F68" s="276"/>
      <c r="G68" s="276"/>
      <c r="H68" s="276"/>
      <c r="I68" s="276"/>
      <c r="J68" s="276"/>
      <c r="K68" s="276"/>
    </row>
    <row r="69" spans="2:11" ht="20.25" customHeight="1">
      <c r="B69" s="276"/>
      <c r="C69" s="1313" t="s">
        <v>1416</v>
      </c>
      <c r="D69" s="1313" t="s">
        <v>1416</v>
      </c>
      <c r="E69" s="1314"/>
      <c r="F69" s="1314"/>
      <c r="G69" s="1315"/>
      <c r="H69" s="1313" t="s">
        <v>1416</v>
      </c>
      <c r="I69" s="1314"/>
      <c r="J69" s="1315"/>
      <c r="K69" s="276"/>
    </row>
    <row r="70" spans="2:11" ht="20.25" customHeight="1">
      <c r="B70" s="276"/>
      <c r="C70" s="1308"/>
      <c r="D70" s="1308"/>
      <c r="E70" s="288"/>
      <c r="F70" s="288"/>
      <c r="G70" s="1310"/>
      <c r="H70" s="1308"/>
      <c r="I70" s="288"/>
      <c r="J70" s="1310"/>
      <c r="K70" s="276"/>
    </row>
    <row r="71" spans="2:11" ht="20.25" customHeight="1">
      <c r="B71" s="276"/>
      <c r="C71" s="1308"/>
      <c r="D71" s="1308"/>
      <c r="E71" s="288"/>
      <c r="F71" s="288"/>
      <c r="G71" s="1310"/>
      <c r="H71" s="1308"/>
      <c r="I71" s="288"/>
      <c r="J71" s="1310"/>
      <c r="K71" s="276"/>
    </row>
    <row r="72" spans="2:11" ht="20.25" customHeight="1">
      <c r="B72" s="276"/>
      <c r="C72" s="1308"/>
      <c r="D72" s="1308"/>
      <c r="E72" s="288"/>
      <c r="F72" s="288"/>
      <c r="G72" s="1310"/>
      <c r="H72" s="1308"/>
      <c r="I72" s="288"/>
      <c r="J72" s="1310"/>
      <c r="K72" s="276"/>
    </row>
    <row r="73" spans="2:11" ht="20.25" customHeight="1">
      <c r="B73" s="276"/>
      <c r="C73" s="1308"/>
      <c r="D73" s="1308"/>
      <c r="E73" s="288"/>
      <c r="F73" s="288"/>
      <c r="G73" s="1310"/>
      <c r="H73" s="1308"/>
      <c r="I73" s="288"/>
      <c r="J73" s="1310"/>
      <c r="K73" s="276"/>
    </row>
    <row r="74" spans="2:11" ht="20.25" customHeight="1">
      <c r="B74" s="276"/>
      <c r="C74" s="1308"/>
      <c r="D74" s="1308"/>
      <c r="E74" s="288"/>
      <c r="F74" s="288"/>
      <c r="G74" s="1310"/>
      <c r="H74" s="1308"/>
      <c r="I74" s="288"/>
      <c r="J74" s="1310"/>
      <c r="K74" s="276"/>
    </row>
    <row r="75" spans="2:11" ht="20.25" customHeight="1">
      <c r="B75" s="276"/>
      <c r="C75" s="1308"/>
      <c r="D75" s="1308"/>
      <c r="E75" s="288"/>
      <c r="F75" s="288"/>
      <c r="G75" s="1310"/>
      <c r="H75" s="1308"/>
      <c r="I75" s="288"/>
      <c r="J75" s="1310"/>
      <c r="K75" s="276"/>
    </row>
    <row r="76" spans="2:11" ht="20.25" customHeight="1">
      <c r="B76" s="276"/>
      <c r="C76" s="1309"/>
      <c r="D76" s="1309"/>
      <c r="E76" s="280"/>
      <c r="F76" s="280"/>
      <c r="G76" s="1311"/>
      <c r="H76" s="1309"/>
      <c r="I76" s="280"/>
      <c r="J76" s="1311"/>
      <c r="K76" s="276"/>
    </row>
    <row r="77" spans="2:11" ht="20.25" customHeight="1">
      <c r="B77" s="276"/>
      <c r="C77" s="1313" t="s">
        <v>1417</v>
      </c>
      <c r="D77" s="1313" t="s">
        <v>1417</v>
      </c>
      <c r="E77" s="1314"/>
      <c r="F77" s="1314"/>
      <c r="G77" s="1315"/>
      <c r="H77" s="1313" t="s">
        <v>1417</v>
      </c>
      <c r="I77" s="1314"/>
      <c r="J77" s="1312"/>
      <c r="K77" s="276"/>
    </row>
    <row r="78" spans="2:11" ht="20.25" customHeight="1">
      <c r="B78" s="276"/>
      <c r="C78" s="1308"/>
      <c r="D78" s="1308"/>
      <c r="E78" s="288"/>
      <c r="F78" s="288"/>
      <c r="G78" s="1310"/>
      <c r="H78" s="1308"/>
      <c r="I78" s="288"/>
      <c r="J78" s="1310"/>
      <c r="K78" s="276"/>
    </row>
    <row r="79" spans="2:11" ht="20.25" customHeight="1">
      <c r="B79" s="276"/>
      <c r="C79" s="1308"/>
      <c r="D79" s="1308"/>
      <c r="E79" s="288"/>
      <c r="F79" s="288"/>
      <c r="G79" s="1310"/>
      <c r="H79" s="1308"/>
      <c r="I79" s="288"/>
      <c r="J79" s="1310"/>
      <c r="K79" s="276"/>
    </row>
    <row r="80" spans="2:11" ht="20.25" customHeight="1">
      <c r="B80" s="276"/>
      <c r="C80" s="1308"/>
      <c r="D80" s="1308"/>
      <c r="E80" s="288"/>
      <c r="F80" s="288"/>
      <c r="G80" s="1310"/>
      <c r="H80" s="1308"/>
      <c r="I80" s="288"/>
      <c r="J80" s="1310"/>
      <c r="K80" s="276"/>
    </row>
    <row r="81" spans="2:11" ht="20.25" customHeight="1">
      <c r="B81" s="276"/>
      <c r="C81" s="1308"/>
      <c r="D81" s="1308"/>
      <c r="E81" s="288"/>
      <c r="F81" s="288"/>
      <c r="G81" s="1310"/>
      <c r="H81" s="1308"/>
      <c r="I81" s="288"/>
      <c r="J81" s="1310"/>
      <c r="K81" s="276"/>
    </row>
    <row r="82" spans="2:11" ht="20.25" customHeight="1">
      <c r="B82" s="276"/>
      <c r="C82" s="1308"/>
      <c r="D82" s="1308"/>
      <c r="E82" s="288"/>
      <c r="F82" s="288"/>
      <c r="G82" s="1310"/>
      <c r="H82" s="1308"/>
      <c r="I82" s="288"/>
      <c r="J82" s="1310"/>
      <c r="K82" s="276"/>
    </row>
    <row r="83" spans="2:11" ht="20.25" customHeight="1">
      <c r="B83" s="276"/>
      <c r="C83" s="1308"/>
      <c r="D83" s="1308"/>
      <c r="E83" s="288"/>
      <c r="F83" s="288"/>
      <c r="G83" s="1310"/>
      <c r="H83" s="1308"/>
      <c r="I83" s="288"/>
      <c r="J83" s="1310"/>
      <c r="K83" s="276"/>
    </row>
    <row r="84" spans="2:11" ht="20.25" customHeight="1">
      <c r="B84" s="276"/>
      <c r="C84" s="1309"/>
      <c r="D84" s="1309"/>
      <c r="E84" s="280"/>
      <c r="F84" s="280"/>
      <c r="G84" s="1311"/>
      <c r="H84" s="1309"/>
      <c r="I84" s="280"/>
      <c r="J84" s="1311"/>
      <c r="K84" s="276"/>
    </row>
    <row r="85" spans="2:11" ht="20.25" customHeight="1">
      <c r="B85" s="276"/>
      <c r="C85" s="276"/>
      <c r="D85" s="276"/>
      <c r="E85" s="276"/>
      <c r="F85" s="276"/>
      <c r="G85" s="276"/>
      <c r="H85" s="276"/>
      <c r="I85" s="276"/>
      <c r="J85" s="276"/>
      <c r="K85" s="276"/>
    </row>
    <row r="86" spans="2:11" ht="20.25" customHeight="1">
      <c r="B86" s="276"/>
      <c r="C86" s="276"/>
      <c r="D86" s="276"/>
      <c r="E86" s="276"/>
      <c r="F86" s="276"/>
      <c r="G86" s="276"/>
      <c r="H86" s="276"/>
      <c r="I86" s="276"/>
      <c r="J86" s="276"/>
      <c r="K86" s="276"/>
    </row>
    <row r="87" spans="2:11" ht="20.25" customHeight="1">
      <c r="B87" s="276"/>
      <c r="C87" s="276"/>
      <c r="D87" s="276"/>
      <c r="E87" s="276"/>
      <c r="F87" s="276"/>
      <c r="G87" s="276"/>
      <c r="H87" s="276"/>
      <c r="I87" s="276"/>
      <c r="J87" s="276"/>
      <c r="K87" s="276"/>
    </row>
    <row r="88" spans="2:11" ht="20.25" customHeight="1">
      <c r="B88" s="276"/>
      <c r="C88" s="276"/>
      <c r="D88" s="276"/>
      <c r="E88" s="276"/>
      <c r="F88" s="276"/>
      <c r="G88" s="276"/>
      <c r="H88" s="276"/>
      <c r="I88" s="276"/>
      <c r="J88" s="276"/>
      <c r="K88" s="276"/>
    </row>
    <row r="89" spans="2:11" ht="20.25" customHeight="1">
      <c r="B89" s="276"/>
      <c r="C89" s="276"/>
      <c r="D89" s="276"/>
      <c r="E89" s="276"/>
      <c r="F89" s="276"/>
      <c r="G89" s="276"/>
      <c r="H89" s="276"/>
      <c r="I89" s="276"/>
      <c r="J89" s="276"/>
      <c r="K89" s="276"/>
    </row>
    <row r="90" spans="2:11" ht="20.25" customHeight="1">
      <c r="B90" s="276"/>
      <c r="C90" s="276"/>
      <c r="D90" s="276"/>
      <c r="E90" s="276"/>
      <c r="F90" s="276"/>
      <c r="G90" s="276"/>
      <c r="H90" s="276"/>
      <c r="I90" s="276"/>
      <c r="J90" s="276"/>
      <c r="K90" s="276"/>
    </row>
    <row r="91" spans="2:11" ht="20.25" customHeight="1">
      <c r="B91" s="976"/>
      <c r="C91" s="276"/>
      <c r="D91" s="276"/>
      <c r="E91" s="276"/>
      <c r="F91" s="276"/>
      <c r="G91" s="276"/>
      <c r="H91" s="276"/>
      <c r="I91" s="276"/>
      <c r="J91" s="276"/>
      <c r="K91" s="976"/>
    </row>
    <row r="92" spans="2:11" ht="20.25" customHeight="1">
      <c r="B92" s="976"/>
      <c r="C92" s="1057" t="s">
        <v>1177</v>
      </c>
      <c r="D92" s="1055"/>
      <c r="E92" s="1055"/>
      <c r="F92" s="1055"/>
      <c r="G92" s="1055"/>
      <c r="H92" s="1055"/>
      <c r="I92" s="1055"/>
      <c r="J92" s="1055"/>
      <c r="K92" s="976"/>
    </row>
    <row r="93" spans="2:11" ht="9" customHeight="1">
      <c r="B93" s="976"/>
      <c r="C93" s="276"/>
      <c r="D93" s="276"/>
      <c r="E93" s="276"/>
      <c r="F93" s="276"/>
      <c r="G93" s="276"/>
      <c r="H93" s="276"/>
      <c r="I93" s="276"/>
      <c r="J93" s="276"/>
      <c r="K93" s="976"/>
    </row>
    <row r="94" spans="2:11" ht="20.25" customHeight="1">
      <c r="B94" s="976"/>
      <c r="C94" s="1613" t="s">
        <v>64</v>
      </c>
      <c r="D94" s="1614"/>
      <c r="E94" s="1614"/>
      <c r="F94" s="1614"/>
      <c r="G94" s="1614"/>
      <c r="H94" s="1614"/>
      <c r="I94" s="1614"/>
      <c r="J94" s="1614"/>
      <c r="K94" s="976"/>
    </row>
    <row r="95" spans="2:11" ht="20.25" customHeight="1">
      <c r="B95" s="976"/>
      <c r="C95" s="1613"/>
      <c r="D95" s="1614"/>
      <c r="E95" s="1614"/>
      <c r="F95" s="1614"/>
      <c r="G95" s="1614"/>
      <c r="H95" s="1614"/>
      <c r="I95" s="1614"/>
      <c r="J95" s="1614"/>
      <c r="K95" s="976"/>
    </row>
    <row r="96" spans="2:11" ht="20.25" customHeight="1">
      <c r="B96" s="976"/>
      <c r="C96" s="1614"/>
      <c r="D96" s="1614"/>
      <c r="E96" s="1614"/>
      <c r="F96" s="1614"/>
      <c r="G96" s="1614"/>
      <c r="H96" s="1614"/>
      <c r="I96" s="1614"/>
      <c r="J96" s="1614"/>
      <c r="K96" s="976"/>
    </row>
    <row r="97" spans="2:11" ht="20.25" customHeight="1">
      <c r="B97" s="976"/>
      <c r="C97" s="1614"/>
      <c r="D97" s="1614"/>
      <c r="E97" s="1614"/>
      <c r="F97" s="1614"/>
      <c r="G97" s="1614"/>
      <c r="H97" s="1614"/>
      <c r="I97" s="1614"/>
      <c r="J97" s="1614"/>
      <c r="K97" s="976"/>
    </row>
    <row r="98" spans="2:11" ht="20.25" customHeight="1">
      <c r="B98" s="976"/>
      <c r="C98" s="1614"/>
      <c r="D98" s="1614"/>
      <c r="E98" s="1614"/>
      <c r="F98" s="1614"/>
      <c r="G98" s="1614"/>
      <c r="H98" s="1614"/>
      <c r="I98" s="1614"/>
      <c r="J98" s="1614"/>
      <c r="K98" s="976"/>
    </row>
    <row r="99" spans="2:11" ht="20.25" customHeight="1">
      <c r="B99" s="976"/>
      <c r="C99" s="1614"/>
      <c r="D99" s="1614"/>
      <c r="E99" s="1614"/>
      <c r="F99" s="1614"/>
      <c r="G99" s="1614"/>
      <c r="H99" s="1614"/>
      <c r="I99" s="1614"/>
      <c r="J99" s="1614"/>
      <c r="K99" s="976"/>
    </row>
    <row r="100" spans="2:11" ht="20.25" customHeight="1">
      <c r="B100" s="976"/>
      <c r="C100" s="976"/>
      <c r="D100" s="976"/>
      <c r="E100" s="976"/>
      <c r="F100" s="976"/>
      <c r="G100" s="976"/>
      <c r="H100" s="976"/>
      <c r="I100" s="976"/>
      <c r="J100" s="976"/>
      <c r="K100" s="976"/>
    </row>
    <row r="101" spans="2:11">
      <c r="B101" s="976"/>
      <c r="C101" s="976"/>
      <c r="D101" s="976"/>
      <c r="E101" s="976"/>
      <c r="F101" s="976"/>
      <c r="G101" s="976"/>
      <c r="H101" s="976"/>
      <c r="I101" s="976"/>
      <c r="J101" s="976"/>
      <c r="K101" s="976"/>
    </row>
  </sheetData>
  <sheetProtection password="C583" sheet="1" selectLockedCells="1"/>
  <mergeCells count="8">
    <mergeCell ref="E15:G15"/>
    <mergeCell ref="E25:J25"/>
    <mergeCell ref="E35:G35"/>
    <mergeCell ref="E18:G18"/>
    <mergeCell ref="C94:J99"/>
    <mergeCell ref="E36:G36"/>
    <mergeCell ref="E22:G22"/>
    <mergeCell ref="E37:G37"/>
  </mergeCells>
  <pageMargins left="0.7" right="0.7" top="0.75" bottom="0.75" header="0.3" footer="0.3"/>
  <pageSetup paperSize="9" scale="76" orientation="portrait" r:id="rId1"/>
  <rowBreaks count="1" manualBreakCount="1">
    <brk id="50" min="1" max="10" man="1"/>
  </rowBreaks>
  <colBreaks count="1" manualBreakCount="1">
    <brk id="1" max="1048575" man="1"/>
  </colBreaks>
  <ignoredErrors>
    <ignoredError sqref="E47:E48 J27 E37 E4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0" r:id="rId4" name="Check Box 10">
              <controlPr defaultSize="0" autoFill="0" autoLine="0" autoPict="0">
                <anchor moveWithCells="1">
                  <from>
                    <xdr:col>4</xdr:col>
                    <xdr:colOff>66675</xdr:colOff>
                    <xdr:row>21</xdr:row>
                    <xdr:rowOff>161925</xdr:rowOff>
                  </from>
                  <to>
                    <xdr:col>5</xdr:col>
                    <xdr:colOff>295275</xdr:colOff>
                    <xdr:row>22</xdr:row>
                    <xdr:rowOff>114300</xdr:rowOff>
                  </to>
                </anchor>
              </controlPr>
            </control>
          </mc:Choice>
        </mc:AlternateContent>
        <mc:AlternateContent xmlns:mc="http://schemas.openxmlformats.org/markup-compatibility/2006">
          <mc:Choice Requires="x14">
            <control shapeId="20491" r:id="rId5" name="Check Box 11">
              <controlPr defaultSize="0" autoFill="0" autoLine="0" autoPict="0">
                <anchor moveWithCells="1">
                  <from>
                    <xdr:col>6</xdr:col>
                    <xdr:colOff>152400</xdr:colOff>
                    <xdr:row>21</xdr:row>
                    <xdr:rowOff>161925</xdr:rowOff>
                  </from>
                  <to>
                    <xdr:col>7</xdr:col>
                    <xdr:colOff>381000</xdr:colOff>
                    <xdr:row>22</xdr:row>
                    <xdr:rowOff>114300</xdr:rowOff>
                  </to>
                </anchor>
              </controlPr>
            </control>
          </mc:Choice>
        </mc:AlternateContent>
        <mc:AlternateContent xmlns:mc="http://schemas.openxmlformats.org/markup-compatibility/2006">
          <mc:Choice Requires="x14">
            <control shapeId="20492" r:id="rId6" name="Check Box 12">
              <controlPr defaultSize="0" autoFill="0" autoLine="0" autoPict="0">
                <anchor moveWithCells="1">
                  <from>
                    <xdr:col>4</xdr:col>
                    <xdr:colOff>66675</xdr:colOff>
                    <xdr:row>22</xdr:row>
                    <xdr:rowOff>190500</xdr:rowOff>
                  </from>
                  <to>
                    <xdr:col>5</xdr:col>
                    <xdr:colOff>295275</xdr:colOff>
                    <xdr:row>23</xdr:row>
                    <xdr:rowOff>142875</xdr:rowOff>
                  </to>
                </anchor>
              </controlPr>
            </control>
          </mc:Choice>
        </mc:AlternateContent>
        <mc:AlternateContent xmlns:mc="http://schemas.openxmlformats.org/markup-compatibility/2006">
          <mc:Choice Requires="x14">
            <control shapeId="20493" r:id="rId7" name="Check Box 13">
              <controlPr defaultSize="0" autoFill="0" autoLine="0" autoPict="0">
                <anchor moveWithCells="1">
                  <from>
                    <xdr:col>6</xdr:col>
                    <xdr:colOff>152400</xdr:colOff>
                    <xdr:row>22</xdr:row>
                    <xdr:rowOff>180975</xdr:rowOff>
                  </from>
                  <to>
                    <xdr:col>7</xdr:col>
                    <xdr:colOff>381000</xdr:colOff>
                    <xdr:row>23</xdr:row>
                    <xdr:rowOff>133350</xdr:rowOff>
                  </to>
                </anchor>
              </controlPr>
            </control>
          </mc:Choice>
        </mc:AlternateContent>
        <mc:AlternateContent xmlns:mc="http://schemas.openxmlformats.org/markup-compatibility/2006">
          <mc:Choice Requires="x14">
            <control shapeId="20494" r:id="rId8" name="Check Box 14">
              <controlPr defaultSize="0" autoFill="0" autoLine="0" autoPict="0">
                <anchor moveWithCells="1">
                  <from>
                    <xdr:col>4</xdr:col>
                    <xdr:colOff>66675</xdr:colOff>
                    <xdr:row>52</xdr:row>
                    <xdr:rowOff>114300</xdr:rowOff>
                  </from>
                  <to>
                    <xdr:col>5</xdr:col>
                    <xdr:colOff>295275</xdr:colOff>
                    <xdr:row>53</xdr:row>
                    <xdr:rowOff>66675</xdr:rowOff>
                  </to>
                </anchor>
              </controlPr>
            </control>
          </mc:Choice>
        </mc:AlternateContent>
        <mc:AlternateContent xmlns:mc="http://schemas.openxmlformats.org/markup-compatibility/2006">
          <mc:Choice Requires="x14">
            <control shapeId="20495" r:id="rId9" name="Check Box 15">
              <controlPr defaultSize="0" autoFill="0" autoLine="0" autoPict="0">
                <anchor moveWithCells="1">
                  <from>
                    <xdr:col>5</xdr:col>
                    <xdr:colOff>504825</xdr:colOff>
                    <xdr:row>52</xdr:row>
                    <xdr:rowOff>114300</xdr:rowOff>
                  </from>
                  <to>
                    <xdr:col>7</xdr:col>
                    <xdr:colOff>123825</xdr:colOff>
                    <xdr:row>53</xdr:row>
                    <xdr:rowOff>66675</xdr:rowOff>
                  </to>
                </anchor>
              </controlPr>
            </control>
          </mc:Choice>
        </mc:AlternateContent>
        <mc:AlternateContent xmlns:mc="http://schemas.openxmlformats.org/markup-compatibility/2006">
          <mc:Choice Requires="x14">
            <control shapeId="20496" r:id="rId10" name="Check Box 16">
              <controlPr defaultSize="0" autoFill="0" autoLine="0" autoPict="0">
                <anchor moveWithCells="1">
                  <from>
                    <xdr:col>5</xdr:col>
                    <xdr:colOff>504825</xdr:colOff>
                    <xdr:row>53</xdr:row>
                    <xdr:rowOff>190500</xdr:rowOff>
                  </from>
                  <to>
                    <xdr:col>8</xdr:col>
                    <xdr:colOff>228600</xdr:colOff>
                    <xdr:row>54</xdr:row>
                    <xdr:rowOff>142875</xdr:rowOff>
                  </to>
                </anchor>
              </controlPr>
            </control>
          </mc:Choice>
        </mc:AlternateContent>
        <mc:AlternateContent xmlns:mc="http://schemas.openxmlformats.org/markup-compatibility/2006">
          <mc:Choice Requires="x14">
            <control shapeId="20497" r:id="rId11" name="Check Box 17">
              <controlPr defaultSize="0" autoFill="0" autoLine="0" autoPict="0">
                <anchor moveWithCells="1">
                  <from>
                    <xdr:col>4</xdr:col>
                    <xdr:colOff>66675</xdr:colOff>
                    <xdr:row>63</xdr:row>
                    <xdr:rowOff>47625</xdr:rowOff>
                  </from>
                  <to>
                    <xdr:col>5</xdr:col>
                    <xdr:colOff>304800</xdr:colOff>
                    <xdr:row>64</xdr:row>
                    <xdr:rowOff>0</xdr:rowOff>
                  </to>
                </anchor>
              </controlPr>
            </control>
          </mc:Choice>
        </mc:AlternateContent>
        <mc:AlternateContent xmlns:mc="http://schemas.openxmlformats.org/markup-compatibility/2006">
          <mc:Choice Requires="x14">
            <control shapeId="20498" r:id="rId12" name="Check Box 18">
              <controlPr defaultSize="0" autoFill="0" autoLine="0" autoPict="0">
                <anchor moveWithCells="1">
                  <from>
                    <xdr:col>6</xdr:col>
                    <xdr:colOff>19050</xdr:colOff>
                    <xdr:row>63</xdr:row>
                    <xdr:rowOff>38100</xdr:rowOff>
                  </from>
                  <to>
                    <xdr:col>7</xdr:col>
                    <xdr:colOff>257175</xdr:colOff>
                    <xdr:row>63</xdr:row>
                    <xdr:rowOff>247650</xdr:rowOff>
                  </to>
                </anchor>
              </controlPr>
            </control>
          </mc:Choice>
        </mc:AlternateContent>
        <mc:AlternateContent xmlns:mc="http://schemas.openxmlformats.org/markup-compatibility/2006">
          <mc:Choice Requires="x14">
            <control shapeId="20499" r:id="rId13" name="Check Box 19">
              <controlPr defaultSize="0" autoFill="0" autoLine="0" autoPict="0">
                <anchor moveWithCells="1">
                  <from>
                    <xdr:col>4</xdr:col>
                    <xdr:colOff>66675</xdr:colOff>
                    <xdr:row>62</xdr:row>
                    <xdr:rowOff>47625</xdr:rowOff>
                  </from>
                  <to>
                    <xdr:col>5</xdr:col>
                    <xdr:colOff>304800</xdr:colOff>
                    <xdr:row>63</xdr:row>
                    <xdr:rowOff>0</xdr:rowOff>
                  </to>
                </anchor>
              </controlPr>
            </control>
          </mc:Choice>
        </mc:AlternateContent>
        <mc:AlternateContent xmlns:mc="http://schemas.openxmlformats.org/markup-compatibility/2006">
          <mc:Choice Requires="x14">
            <control shapeId="20500" r:id="rId14" name="Check Box 20">
              <controlPr defaultSize="0" autoFill="0" autoLine="0" autoPict="0">
                <anchor moveWithCells="1">
                  <from>
                    <xdr:col>6</xdr:col>
                    <xdr:colOff>19050</xdr:colOff>
                    <xdr:row>62</xdr:row>
                    <xdr:rowOff>38100</xdr:rowOff>
                  </from>
                  <to>
                    <xdr:col>7</xdr:col>
                    <xdr:colOff>257175</xdr:colOff>
                    <xdr:row>62</xdr:row>
                    <xdr:rowOff>247650</xdr:rowOff>
                  </to>
                </anchor>
              </controlPr>
            </control>
          </mc:Choice>
        </mc:AlternateContent>
        <mc:AlternateContent xmlns:mc="http://schemas.openxmlformats.org/markup-compatibility/2006">
          <mc:Choice Requires="x14">
            <control shapeId="20501" r:id="rId15" name="Group Box 21">
              <controlPr defaultSize="0" autoFill="0" autoPict="0">
                <anchor moveWithCells="1">
                  <from>
                    <xdr:col>3</xdr:col>
                    <xdr:colOff>333375</xdr:colOff>
                    <xdr:row>9</xdr:row>
                    <xdr:rowOff>76200</xdr:rowOff>
                  </from>
                  <to>
                    <xdr:col>9</xdr:col>
                    <xdr:colOff>561975</xdr:colOff>
                    <xdr:row>15</xdr:row>
                    <xdr:rowOff>228600</xdr:rowOff>
                  </to>
                </anchor>
              </controlPr>
            </control>
          </mc:Choice>
        </mc:AlternateContent>
        <mc:AlternateContent xmlns:mc="http://schemas.openxmlformats.org/markup-compatibility/2006">
          <mc:Choice Requires="x14">
            <control shapeId="20502" r:id="rId16" name="Option Button 22">
              <controlPr defaultSize="0" autoFill="0" autoLine="0" autoPict="0">
                <anchor moveWithCells="1">
                  <from>
                    <xdr:col>5</xdr:col>
                    <xdr:colOff>590550</xdr:colOff>
                    <xdr:row>31</xdr:row>
                    <xdr:rowOff>209550</xdr:rowOff>
                  </from>
                  <to>
                    <xdr:col>7</xdr:col>
                    <xdr:colOff>371475</xdr:colOff>
                    <xdr:row>32</xdr:row>
                    <xdr:rowOff>161925</xdr:rowOff>
                  </to>
                </anchor>
              </controlPr>
            </control>
          </mc:Choice>
        </mc:AlternateContent>
        <mc:AlternateContent xmlns:mc="http://schemas.openxmlformats.org/markup-compatibility/2006">
          <mc:Choice Requires="x14">
            <control shapeId="20503" r:id="rId17" name="Option Button 23">
              <controlPr defaultSize="0" autoFill="0" autoLine="0" autoPict="0">
                <anchor moveWithCells="1">
                  <from>
                    <xdr:col>4</xdr:col>
                    <xdr:colOff>247650</xdr:colOff>
                    <xdr:row>31</xdr:row>
                    <xdr:rowOff>209550</xdr:rowOff>
                  </from>
                  <to>
                    <xdr:col>5</xdr:col>
                    <xdr:colOff>304800</xdr:colOff>
                    <xdr:row>32</xdr:row>
                    <xdr:rowOff>161925</xdr:rowOff>
                  </to>
                </anchor>
              </controlPr>
            </control>
          </mc:Choice>
        </mc:AlternateContent>
        <mc:AlternateContent xmlns:mc="http://schemas.openxmlformats.org/markup-compatibility/2006">
          <mc:Choice Requires="x14">
            <control shapeId="20504" r:id="rId18" name="Option Button 24">
              <controlPr defaultSize="0" autoFill="0" autoLine="0" autoPict="0">
                <anchor moveWithCells="1">
                  <from>
                    <xdr:col>7</xdr:col>
                    <xdr:colOff>514350</xdr:colOff>
                    <xdr:row>31</xdr:row>
                    <xdr:rowOff>190500</xdr:rowOff>
                  </from>
                  <to>
                    <xdr:col>9</xdr:col>
                    <xdr:colOff>247650</xdr:colOff>
                    <xdr:row>32</xdr:row>
                    <xdr:rowOff>142875</xdr:rowOff>
                  </to>
                </anchor>
              </controlPr>
            </control>
          </mc:Choice>
        </mc:AlternateContent>
        <mc:AlternateContent xmlns:mc="http://schemas.openxmlformats.org/markup-compatibility/2006">
          <mc:Choice Requires="x14">
            <control shapeId="20506" r:id="rId19" name="Check Box 26">
              <controlPr defaultSize="0" autoFill="0" autoLine="0" autoPict="0">
                <anchor moveWithCells="1">
                  <from>
                    <xdr:col>4</xdr:col>
                    <xdr:colOff>66675</xdr:colOff>
                    <xdr:row>53</xdr:row>
                    <xdr:rowOff>190500</xdr:rowOff>
                  </from>
                  <to>
                    <xdr:col>5</xdr:col>
                    <xdr:colOff>295275</xdr:colOff>
                    <xdr:row>54</xdr:row>
                    <xdr:rowOff>142875</xdr:rowOff>
                  </to>
                </anchor>
              </controlPr>
            </control>
          </mc:Choice>
        </mc:AlternateContent>
        <mc:AlternateContent xmlns:mc="http://schemas.openxmlformats.org/markup-compatibility/2006">
          <mc:Choice Requires="x14">
            <control shapeId="20510" r:id="rId20" name="Option Button 30">
              <controlPr defaultSize="0" autoFill="0" autoLine="0" autoPict="0">
                <anchor moveWithCells="1">
                  <from>
                    <xdr:col>7</xdr:col>
                    <xdr:colOff>476250</xdr:colOff>
                    <xdr:row>9</xdr:row>
                    <xdr:rowOff>142875</xdr:rowOff>
                  </from>
                  <to>
                    <xdr:col>9</xdr:col>
                    <xdr:colOff>285750</xdr:colOff>
                    <xdr:row>10</xdr:row>
                    <xdr:rowOff>142875</xdr:rowOff>
                  </to>
                </anchor>
              </controlPr>
            </control>
          </mc:Choice>
        </mc:AlternateContent>
        <mc:AlternateContent xmlns:mc="http://schemas.openxmlformats.org/markup-compatibility/2006">
          <mc:Choice Requires="x14">
            <control shapeId="20512" r:id="rId21" name="Option Button 32">
              <controlPr defaultSize="0" autoFill="0" autoLine="0" autoPict="0">
                <anchor moveWithCells="1">
                  <from>
                    <xdr:col>7</xdr:col>
                    <xdr:colOff>476250</xdr:colOff>
                    <xdr:row>10</xdr:row>
                    <xdr:rowOff>104775</xdr:rowOff>
                  </from>
                  <to>
                    <xdr:col>9</xdr:col>
                    <xdr:colOff>285750</xdr:colOff>
                    <xdr:row>11</xdr:row>
                    <xdr:rowOff>104775</xdr:rowOff>
                  </to>
                </anchor>
              </controlPr>
            </control>
          </mc:Choice>
        </mc:AlternateContent>
        <mc:AlternateContent xmlns:mc="http://schemas.openxmlformats.org/markup-compatibility/2006">
          <mc:Choice Requires="x14">
            <control shapeId="20514" r:id="rId22" name="Option Button 34">
              <controlPr defaultSize="0" autoFill="0" autoLine="0" autoPict="0">
                <anchor moveWithCells="1">
                  <from>
                    <xdr:col>3</xdr:col>
                    <xdr:colOff>523875</xdr:colOff>
                    <xdr:row>12</xdr:row>
                    <xdr:rowOff>38100</xdr:rowOff>
                  </from>
                  <to>
                    <xdr:col>5</xdr:col>
                    <xdr:colOff>381000</xdr:colOff>
                    <xdr:row>13</xdr:row>
                    <xdr:rowOff>38100</xdr:rowOff>
                  </to>
                </anchor>
              </controlPr>
            </control>
          </mc:Choice>
        </mc:AlternateContent>
        <mc:AlternateContent xmlns:mc="http://schemas.openxmlformats.org/markup-compatibility/2006">
          <mc:Choice Requires="x14">
            <control shapeId="20515" r:id="rId23" name="Option Button 35">
              <controlPr defaultSize="0" autoFill="0" autoLine="0" autoPict="0">
                <anchor moveWithCells="1">
                  <from>
                    <xdr:col>3</xdr:col>
                    <xdr:colOff>523875</xdr:colOff>
                    <xdr:row>13</xdr:row>
                    <xdr:rowOff>0</xdr:rowOff>
                  </from>
                  <to>
                    <xdr:col>7</xdr:col>
                    <xdr:colOff>381000</xdr:colOff>
                    <xdr:row>14</xdr:row>
                    <xdr:rowOff>0</xdr:rowOff>
                  </to>
                </anchor>
              </controlPr>
            </control>
          </mc:Choice>
        </mc:AlternateContent>
        <mc:AlternateContent xmlns:mc="http://schemas.openxmlformats.org/markup-compatibility/2006">
          <mc:Choice Requires="x14">
            <control shapeId="20525" r:id="rId24" name="Group Box 45">
              <controlPr defaultSize="0" autoFill="0" autoPict="0">
                <anchor moveWithCells="1">
                  <from>
                    <xdr:col>1</xdr:col>
                    <xdr:colOff>561975</xdr:colOff>
                    <xdr:row>28</xdr:row>
                    <xdr:rowOff>219075</xdr:rowOff>
                  </from>
                  <to>
                    <xdr:col>9</xdr:col>
                    <xdr:colOff>581025</xdr:colOff>
                    <xdr:row>32</xdr:row>
                    <xdr:rowOff>209550</xdr:rowOff>
                  </to>
                </anchor>
              </controlPr>
            </control>
          </mc:Choice>
        </mc:AlternateContent>
        <mc:AlternateContent xmlns:mc="http://schemas.openxmlformats.org/markup-compatibility/2006">
          <mc:Choice Requires="x14">
            <control shapeId="20535" r:id="rId25" name="Option Button 55">
              <controlPr defaultSize="0" autoFill="0" autoLine="0" autoPict="0">
                <anchor moveWithCells="1">
                  <from>
                    <xdr:col>3</xdr:col>
                    <xdr:colOff>523875</xdr:colOff>
                    <xdr:row>9</xdr:row>
                    <xdr:rowOff>142875</xdr:rowOff>
                  </from>
                  <to>
                    <xdr:col>5</xdr:col>
                    <xdr:colOff>381000</xdr:colOff>
                    <xdr:row>10</xdr:row>
                    <xdr:rowOff>142875</xdr:rowOff>
                  </to>
                </anchor>
              </controlPr>
            </control>
          </mc:Choice>
        </mc:AlternateContent>
        <mc:AlternateContent xmlns:mc="http://schemas.openxmlformats.org/markup-compatibility/2006">
          <mc:Choice Requires="x14">
            <control shapeId="20537" r:id="rId26" name="Option Button 57">
              <controlPr defaultSize="0" autoFill="0" autoLine="0" autoPict="0">
                <anchor moveWithCells="1">
                  <from>
                    <xdr:col>3</xdr:col>
                    <xdr:colOff>523875</xdr:colOff>
                    <xdr:row>11</xdr:row>
                    <xdr:rowOff>66675</xdr:rowOff>
                  </from>
                  <to>
                    <xdr:col>5</xdr:col>
                    <xdr:colOff>381000</xdr:colOff>
                    <xdr:row>12</xdr:row>
                    <xdr:rowOff>66675</xdr:rowOff>
                  </to>
                </anchor>
              </controlPr>
            </control>
          </mc:Choice>
        </mc:AlternateContent>
        <mc:AlternateContent xmlns:mc="http://schemas.openxmlformats.org/markup-compatibility/2006">
          <mc:Choice Requires="x14">
            <control shapeId="20538" r:id="rId27" name="Option Button 58">
              <controlPr defaultSize="0" autoFill="0" autoLine="0" autoPict="0">
                <anchor moveWithCells="1">
                  <from>
                    <xdr:col>7</xdr:col>
                    <xdr:colOff>476250</xdr:colOff>
                    <xdr:row>11</xdr:row>
                    <xdr:rowOff>85725</xdr:rowOff>
                  </from>
                  <to>
                    <xdr:col>9</xdr:col>
                    <xdr:colOff>285750</xdr:colOff>
                    <xdr:row>12</xdr:row>
                    <xdr:rowOff>85725</xdr:rowOff>
                  </to>
                </anchor>
              </controlPr>
            </control>
          </mc:Choice>
        </mc:AlternateContent>
        <mc:AlternateContent xmlns:mc="http://schemas.openxmlformats.org/markup-compatibility/2006">
          <mc:Choice Requires="x14">
            <control shapeId="20540" r:id="rId28" name="Option Button 60">
              <controlPr defaultSize="0" autoFill="0" autoLine="0" autoPict="0">
                <anchor moveWithCells="1">
                  <from>
                    <xdr:col>3</xdr:col>
                    <xdr:colOff>523875</xdr:colOff>
                    <xdr:row>10</xdr:row>
                    <xdr:rowOff>104775</xdr:rowOff>
                  </from>
                  <to>
                    <xdr:col>5</xdr:col>
                    <xdr:colOff>381000</xdr:colOff>
                    <xdr:row>11</xdr:row>
                    <xdr:rowOff>104775</xdr:rowOff>
                  </to>
                </anchor>
              </controlPr>
            </control>
          </mc:Choice>
        </mc:AlternateContent>
        <mc:AlternateContent xmlns:mc="http://schemas.openxmlformats.org/markup-compatibility/2006">
          <mc:Choice Requires="x14">
            <control shapeId="20542" r:id="rId29" name="Check Box 62">
              <controlPr defaultSize="0" autoFill="0" autoLine="0" autoPict="0">
                <anchor moveWithCells="1">
                  <from>
                    <xdr:col>4</xdr:col>
                    <xdr:colOff>66675</xdr:colOff>
                    <xdr:row>55</xdr:row>
                    <xdr:rowOff>104775</xdr:rowOff>
                  </from>
                  <to>
                    <xdr:col>7</xdr:col>
                    <xdr:colOff>38100</xdr:colOff>
                    <xdr:row>56</xdr:row>
                    <xdr:rowOff>114300</xdr:rowOff>
                  </to>
                </anchor>
              </controlPr>
            </control>
          </mc:Choice>
        </mc:AlternateContent>
        <mc:AlternateContent xmlns:mc="http://schemas.openxmlformats.org/markup-compatibility/2006">
          <mc:Choice Requires="x14">
            <control shapeId="20543" r:id="rId30" name="Check Box 63">
              <controlPr defaultSize="0" autoFill="0" autoLine="0" autoPict="0">
                <anchor moveWithCells="1">
                  <from>
                    <xdr:col>4</xdr:col>
                    <xdr:colOff>66675</xdr:colOff>
                    <xdr:row>56</xdr:row>
                    <xdr:rowOff>142875</xdr:rowOff>
                  </from>
                  <to>
                    <xdr:col>8</xdr:col>
                    <xdr:colOff>361950</xdr:colOff>
                    <xdr:row>57</xdr:row>
                    <xdr:rowOff>123825</xdr:rowOff>
                  </to>
                </anchor>
              </controlPr>
            </control>
          </mc:Choice>
        </mc:AlternateContent>
        <mc:AlternateContent xmlns:mc="http://schemas.openxmlformats.org/markup-compatibility/2006">
          <mc:Choice Requires="x14">
            <control shapeId="20544" r:id="rId31" name="Check Box 64">
              <controlPr defaultSize="0" autoFill="0" autoLine="0" autoPict="0">
                <anchor moveWithCells="1">
                  <from>
                    <xdr:col>4</xdr:col>
                    <xdr:colOff>66675</xdr:colOff>
                    <xdr:row>57</xdr:row>
                    <xdr:rowOff>171450</xdr:rowOff>
                  </from>
                  <to>
                    <xdr:col>8</xdr:col>
                    <xdr:colOff>361950</xdr:colOff>
                    <xdr:row>58</xdr:row>
                    <xdr:rowOff>152400</xdr:rowOff>
                  </to>
                </anchor>
              </controlPr>
            </control>
          </mc:Choice>
        </mc:AlternateContent>
        <mc:AlternateContent xmlns:mc="http://schemas.openxmlformats.org/markup-compatibility/2006">
          <mc:Choice Requires="x14">
            <control shapeId="20545" r:id="rId32" name="Check Box 65">
              <controlPr defaultSize="0" autoFill="0" autoLine="0" autoPict="0">
                <anchor moveWithCells="1">
                  <from>
                    <xdr:col>7</xdr:col>
                    <xdr:colOff>561975</xdr:colOff>
                    <xdr:row>21</xdr:row>
                    <xdr:rowOff>152400</xdr:rowOff>
                  </from>
                  <to>
                    <xdr:col>9</xdr:col>
                    <xdr:colOff>133350</xdr:colOff>
                    <xdr:row>22</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theme="5" tint="-0.249977111117893"/>
  </sheetPr>
  <dimension ref="B3:N41"/>
  <sheetViews>
    <sheetView showGridLines="0" showRowColHeaders="0" workbookViewId="0">
      <selection activeCell="F8" sqref="F8"/>
    </sheetView>
  </sheetViews>
  <sheetFormatPr defaultColWidth="9.140625" defaultRowHeight="12.75"/>
  <cols>
    <col min="1" max="2" width="9.140625" style="977"/>
    <col min="3" max="3" width="33.28515625" style="977" bestFit="1" customWidth="1"/>
    <col min="4" max="13" width="9.140625" style="977"/>
    <col min="14" max="14" width="33.42578125" style="977" bestFit="1" customWidth="1"/>
    <col min="15" max="16384" width="9.140625" style="977"/>
  </cols>
  <sheetData>
    <row r="3" spans="2:14">
      <c r="B3" s="976"/>
      <c r="C3" s="976"/>
      <c r="D3" s="976"/>
      <c r="E3" s="976"/>
      <c r="F3" s="976"/>
      <c r="G3" s="976"/>
      <c r="H3" s="976"/>
      <c r="I3" s="976"/>
      <c r="J3" s="976"/>
      <c r="K3" s="976"/>
    </row>
    <row r="4" spans="2:14">
      <c r="B4" s="976"/>
      <c r="C4" s="976"/>
      <c r="D4" s="976"/>
      <c r="E4" s="976"/>
      <c r="F4" s="976"/>
      <c r="G4" s="976"/>
      <c r="H4" s="976"/>
      <c r="I4" s="976"/>
      <c r="J4" s="976"/>
      <c r="K4" s="976"/>
    </row>
    <row r="5" spans="2:14">
      <c r="B5" s="976"/>
      <c r="C5" s="976"/>
      <c r="D5" s="976"/>
      <c r="E5" s="976"/>
      <c r="F5" s="976"/>
      <c r="G5" s="976"/>
      <c r="H5" s="978"/>
      <c r="I5" s="976"/>
      <c r="J5" s="976"/>
      <c r="K5" s="976"/>
    </row>
    <row r="6" spans="2:14">
      <c r="B6" s="976"/>
      <c r="C6" s="976"/>
      <c r="D6" s="976"/>
      <c r="E6" s="976"/>
      <c r="F6" s="976"/>
      <c r="G6" s="976"/>
      <c r="H6" s="976"/>
      <c r="I6" s="976"/>
      <c r="J6" s="976"/>
      <c r="K6" s="976"/>
    </row>
    <row r="7" spans="2:14">
      <c r="B7" s="976"/>
      <c r="C7" s="976"/>
      <c r="D7" s="976"/>
      <c r="E7" s="976"/>
      <c r="F7" s="976"/>
      <c r="G7" s="976"/>
      <c r="H7" s="978"/>
      <c r="I7" s="976"/>
      <c r="J7" s="976"/>
      <c r="K7" s="976"/>
      <c r="N7" s="979" t="s">
        <v>1125</v>
      </c>
    </row>
    <row r="8" spans="2:14" ht="20.25" customHeight="1">
      <c r="B8" s="976"/>
      <c r="C8" s="980" t="s">
        <v>1117</v>
      </c>
      <c r="D8" s="976"/>
      <c r="E8" s="981"/>
      <c r="F8" s="1021"/>
      <c r="G8" s="976"/>
      <c r="H8" s="982"/>
      <c r="I8" s="976"/>
      <c r="J8" s="976"/>
      <c r="K8" s="976"/>
      <c r="N8" s="983">
        <v>41732</v>
      </c>
    </row>
    <row r="9" spans="2:14" ht="20.25" customHeight="1">
      <c r="B9" s="976"/>
      <c r="C9" s="980" t="s">
        <v>1118</v>
      </c>
      <c r="D9" s="976"/>
      <c r="E9" s="981"/>
      <c r="F9" s="1021"/>
      <c r="G9" s="976"/>
      <c r="H9" s="984"/>
      <c r="I9" s="976"/>
      <c r="J9" s="976"/>
      <c r="K9" s="976"/>
      <c r="N9" s="985" t="s">
        <v>1104</v>
      </c>
    </row>
    <row r="10" spans="2:14" ht="20.25" customHeight="1">
      <c r="B10" s="976"/>
      <c r="C10" s="980" t="s">
        <v>1120</v>
      </c>
      <c r="D10" s="976"/>
      <c r="E10" s="981"/>
      <c r="F10" s="1022" t="s">
        <v>1115</v>
      </c>
      <c r="G10" s="976"/>
      <c r="H10" s="1023" t="s">
        <v>1116</v>
      </c>
      <c r="I10" s="976"/>
      <c r="J10" s="976"/>
      <c r="K10" s="976"/>
      <c r="N10" s="985" t="s">
        <v>1107</v>
      </c>
    </row>
    <row r="11" spans="2:14" ht="20.25" customHeight="1">
      <c r="B11" s="976"/>
      <c r="C11" s="980" t="s">
        <v>1119</v>
      </c>
      <c r="D11" s="976"/>
      <c r="E11" s="981"/>
      <c r="F11" s="1022" t="s">
        <v>1115</v>
      </c>
      <c r="G11" s="976"/>
      <c r="H11" s="986"/>
      <c r="I11" s="976"/>
      <c r="J11" s="976"/>
      <c r="K11" s="976"/>
      <c r="N11" s="987">
        <v>12700</v>
      </c>
    </row>
    <row r="12" spans="2:14" ht="20.25" customHeight="1">
      <c r="B12" s="976"/>
      <c r="C12" s="980" t="s">
        <v>1121</v>
      </c>
      <c r="D12" s="976"/>
      <c r="E12" s="981"/>
      <c r="F12" s="1021"/>
      <c r="G12" s="976"/>
      <c r="H12" s="984"/>
      <c r="I12" s="976"/>
      <c r="J12" s="976"/>
      <c r="K12" s="976"/>
      <c r="N12" s="985" t="s">
        <v>1108</v>
      </c>
    </row>
    <row r="13" spans="2:14" ht="20.25" customHeight="1">
      <c r="B13" s="976"/>
      <c r="C13" s="980" t="s">
        <v>1122</v>
      </c>
      <c r="D13" s="976"/>
      <c r="E13" s="981"/>
      <c r="F13" s="1021"/>
      <c r="G13" s="976"/>
      <c r="H13" s="984"/>
      <c r="I13" s="976"/>
      <c r="J13" s="976"/>
      <c r="K13" s="976"/>
      <c r="N13" s="985">
        <v>1220</v>
      </c>
    </row>
    <row r="14" spans="2:14" ht="20.25" customHeight="1">
      <c r="B14" s="976"/>
      <c r="C14" s="980" t="s">
        <v>1123</v>
      </c>
      <c r="D14" s="976"/>
      <c r="E14" s="981"/>
      <c r="F14" s="1022" t="s">
        <v>1115</v>
      </c>
      <c r="G14" s="976"/>
      <c r="H14" s="984"/>
      <c r="I14" s="976"/>
      <c r="J14" s="976"/>
      <c r="K14" s="976"/>
      <c r="N14" s="985" t="s">
        <v>1109</v>
      </c>
    </row>
    <row r="15" spans="2:14" ht="20.25" customHeight="1">
      <c r="B15" s="976"/>
      <c r="C15" s="980" t="s">
        <v>1124</v>
      </c>
      <c r="D15" s="976"/>
      <c r="E15" s="981"/>
      <c r="F15" s="976"/>
      <c r="G15" s="976"/>
      <c r="H15" s="984"/>
      <c r="I15" s="976"/>
      <c r="J15" s="976"/>
      <c r="K15" s="976"/>
      <c r="N15" s="985" t="s">
        <v>1110</v>
      </c>
    </row>
    <row r="16" spans="2:14" ht="20.25" customHeight="1">
      <c r="B16" s="976"/>
      <c r="C16" s="1618"/>
      <c r="D16" s="1618"/>
      <c r="E16" s="1618"/>
      <c r="F16" s="1618"/>
      <c r="G16" s="1618"/>
      <c r="H16" s="1618"/>
      <c r="I16" s="1618"/>
      <c r="J16" s="1618"/>
      <c r="K16" s="976"/>
      <c r="N16" s="988"/>
    </row>
    <row r="17" spans="2:14" ht="20.25" customHeight="1">
      <c r="B17" s="976"/>
      <c r="C17" s="1618"/>
      <c r="D17" s="1618"/>
      <c r="E17" s="1618"/>
      <c r="F17" s="1618"/>
      <c r="G17" s="1618"/>
      <c r="H17" s="1618"/>
      <c r="I17" s="1618"/>
      <c r="J17" s="1618"/>
      <c r="K17" s="976"/>
      <c r="N17" s="988"/>
    </row>
    <row r="18" spans="2:14" ht="20.25" customHeight="1">
      <c r="B18" s="976"/>
      <c r="C18" s="1618"/>
      <c r="D18" s="1618"/>
      <c r="E18" s="1618"/>
      <c r="F18" s="1618"/>
      <c r="G18" s="1618"/>
      <c r="H18" s="1618"/>
      <c r="I18" s="1618"/>
      <c r="J18" s="1618"/>
      <c r="K18" s="976"/>
      <c r="N18" s="988"/>
    </row>
    <row r="19" spans="2:14" ht="20.25" customHeight="1">
      <c r="B19" s="976"/>
      <c r="C19" s="980"/>
      <c r="D19" s="976"/>
      <c r="E19" s="981"/>
      <c r="F19" s="976"/>
      <c r="G19" s="976"/>
      <c r="H19" s="984"/>
      <c r="I19" s="976"/>
      <c r="J19" s="976"/>
      <c r="K19" s="976"/>
      <c r="N19" s="988"/>
    </row>
    <row r="20" spans="2:14" ht="20.25" customHeight="1">
      <c r="B20" s="976"/>
      <c r="C20" s="980" t="s">
        <v>1114</v>
      </c>
      <c r="D20" s="976"/>
      <c r="E20" s="981"/>
      <c r="F20" s="976"/>
      <c r="G20" s="976"/>
      <c r="H20" s="984"/>
      <c r="I20" s="976"/>
      <c r="J20" s="976"/>
      <c r="K20" s="976"/>
      <c r="N20" s="985" t="s">
        <v>1111</v>
      </c>
    </row>
    <row r="21" spans="2:14" ht="20.25" customHeight="1">
      <c r="B21" s="976"/>
      <c r="C21" s="1618"/>
      <c r="D21" s="1618"/>
      <c r="E21" s="1618"/>
      <c r="F21" s="1618"/>
      <c r="G21" s="1618"/>
      <c r="H21" s="1618"/>
      <c r="I21" s="1618"/>
      <c r="J21" s="1618"/>
      <c r="K21" s="976"/>
      <c r="N21" s="988"/>
    </row>
    <row r="22" spans="2:14" ht="20.25" customHeight="1">
      <c r="B22" s="976"/>
      <c r="C22" s="1618"/>
      <c r="D22" s="1618"/>
      <c r="E22" s="1618"/>
      <c r="F22" s="1618"/>
      <c r="G22" s="1618"/>
      <c r="H22" s="1618"/>
      <c r="I22" s="1618"/>
      <c r="J22" s="1618"/>
      <c r="K22" s="976"/>
      <c r="N22" s="988"/>
    </row>
    <row r="23" spans="2:14" ht="20.25" customHeight="1">
      <c r="B23" s="976"/>
      <c r="C23" s="1618"/>
      <c r="D23" s="1618"/>
      <c r="E23" s="1618"/>
      <c r="F23" s="1618"/>
      <c r="G23" s="1618"/>
      <c r="H23" s="1618"/>
      <c r="I23" s="1618"/>
      <c r="J23" s="1618"/>
      <c r="K23" s="976"/>
      <c r="N23" s="988"/>
    </row>
    <row r="24" spans="2:14">
      <c r="B24" s="976"/>
      <c r="C24" s="976"/>
      <c r="D24" s="976"/>
      <c r="E24" s="976"/>
      <c r="F24" s="976"/>
      <c r="G24" s="976"/>
      <c r="H24" s="984"/>
      <c r="I24" s="976"/>
      <c r="J24" s="976"/>
      <c r="K24" s="976"/>
      <c r="N24" s="988"/>
    </row>
    <row r="25" spans="2:14">
      <c r="B25" s="976"/>
      <c r="C25" s="978" t="s">
        <v>1113</v>
      </c>
      <c r="D25" s="976"/>
      <c r="E25" s="976"/>
      <c r="F25" s="976"/>
      <c r="G25" s="976"/>
      <c r="H25" s="976"/>
      <c r="I25" s="976"/>
      <c r="J25" s="976"/>
      <c r="K25" s="976"/>
      <c r="N25" s="985" t="s">
        <v>1112</v>
      </c>
    </row>
    <row r="26" spans="2:14" ht="5.25" customHeight="1">
      <c r="B26" s="976"/>
      <c r="C26" s="978"/>
      <c r="D26" s="976"/>
      <c r="E26" s="976"/>
      <c r="F26" s="976"/>
      <c r="G26" s="976"/>
      <c r="H26" s="984"/>
      <c r="I26" s="976"/>
      <c r="J26" s="976"/>
      <c r="K26" s="976"/>
      <c r="N26" s="988"/>
    </row>
    <row r="27" spans="2:14">
      <c r="B27" s="976"/>
      <c r="C27" s="1617"/>
      <c r="D27" s="1617"/>
      <c r="E27" s="1617"/>
      <c r="F27" s="1617"/>
      <c r="G27" s="1617"/>
      <c r="H27" s="1617"/>
      <c r="I27" s="1617"/>
      <c r="J27" s="1617"/>
      <c r="K27" s="976"/>
    </row>
    <row r="28" spans="2:14">
      <c r="B28" s="976"/>
      <c r="C28" s="1617"/>
      <c r="D28" s="1617"/>
      <c r="E28" s="1617"/>
      <c r="F28" s="1617"/>
      <c r="G28" s="1617"/>
      <c r="H28" s="1617"/>
      <c r="I28" s="1617"/>
      <c r="J28" s="1617"/>
      <c r="K28" s="976"/>
    </row>
    <row r="29" spans="2:14">
      <c r="B29" s="976"/>
      <c r="C29" s="1617"/>
      <c r="D29" s="1617"/>
      <c r="E29" s="1617"/>
      <c r="F29" s="1617"/>
      <c r="G29" s="1617"/>
      <c r="H29" s="1617"/>
      <c r="I29" s="1617"/>
      <c r="J29" s="1617"/>
      <c r="K29" s="976"/>
    </row>
    <row r="30" spans="2:14">
      <c r="B30" s="976"/>
      <c r="C30" s="1617"/>
      <c r="D30" s="1617"/>
      <c r="E30" s="1617"/>
      <c r="F30" s="1617"/>
      <c r="G30" s="1617"/>
      <c r="H30" s="1617"/>
      <c r="I30" s="1617"/>
      <c r="J30" s="1617"/>
      <c r="K30" s="976"/>
    </row>
    <row r="31" spans="2:14">
      <c r="B31" s="976"/>
      <c r="C31" s="1617"/>
      <c r="D31" s="1617"/>
      <c r="E31" s="1617"/>
      <c r="F31" s="1617"/>
      <c r="G31" s="1617"/>
      <c r="H31" s="1617"/>
      <c r="I31" s="1617"/>
      <c r="J31" s="1617"/>
      <c r="K31" s="976"/>
    </row>
    <row r="32" spans="2:14">
      <c r="B32" s="976"/>
      <c r="C32" s="1617"/>
      <c r="D32" s="1617"/>
      <c r="E32" s="1617"/>
      <c r="F32" s="1617"/>
      <c r="G32" s="1617"/>
      <c r="H32" s="1617"/>
      <c r="I32" s="1617"/>
      <c r="J32" s="1617"/>
      <c r="K32" s="976"/>
    </row>
    <row r="33" spans="2:11">
      <c r="B33" s="976"/>
      <c r="C33" s="1617"/>
      <c r="D33" s="1617"/>
      <c r="E33" s="1617"/>
      <c r="F33" s="1617"/>
      <c r="G33" s="1617"/>
      <c r="H33" s="1617"/>
      <c r="I33" s="1617"/>
      <c r="J33" s="1617"/>
      <c r="K33" s="976"/>
    </row>
    <row r="34" spans="2:11">
      <c r="B34" s="976"/>
      <c r="C34" s="1019"/>
      <c r="D34" s="976"/>
      <c r="E34" s="976"/>
      <c r="F34" s="976"/>
      <c r="G34" s="976"/>
      <c r="H34" s="976"/>
      <c r="I34" s="976"/>
      <c r="J34" s="976"/>
      <c r="K34" s="976"/>
    </row>
    <row r="35" spans="2:11">
      <c r="B35" s="976"/>
      <c r="C35" s="1020" t="s">
        <v>1132</v>
      </c>
      <c r="D35" s="976"/>
      <c r="E35" s="976"/>
      <c r="F35" s="976"/>
      <c r="G35" s="976"/>
      <c r="H35" s="976"/>
      <c r="I35" s="976"/>
      <c r="J35" s="976"/>
      <c r="K35" s="976"/>
    </row>
    <row r="36" spans="2:11">
      <c r="B36" s="976"/>
      <c r="C36" s="1021"/>
      <c r="D36" s="976"/>
      <c r="E36" s="976"/>
      <c r="F36" s="976"/>
      <c r="G36" s="976"/>
      <c r="H36" s="976"/>
      <c r="I36" s="976"/>
      <c r="J36" s="976"/>
      <c r="K36" s="976"/>
    </row>
    <row r="37" spans="2:11">
      <c r="B37" s="976"/>
      <c r="C37" s="976"/>
      <c r="D37" s="976"/>
      <c r="E37" s="976"/>
      <c r="F37" s="976"/>
      <c r="G37" s="976"/>
      <c r="H37" s="976"/>
      <c r="I37" s="976"/>
      <c r="J37" s="976"/>
      <c r="K37" s="976"/>
    </row>
    <row r="38" spans="2:11">
      <c r="B38" s="976"/>
      <c r="C38" s="976"/>
      <c r="D38" s="976"/>
      <c r="E38" s="976"/>
      <c r="F38" s="976"/>
      <c r="G38" s="976"/>
      <c r="H38" s="976"/>
      <c r="I38" s="976"/>
      <c r="J38" s="976"/>
      <c r="K38" s="976"/>
    </row>
    <row r="39" spans="2:11">
      <c r="B39" s="976"/>
      <c r="C39" s="976"/>
      <c r="D39" s="976"/>
      <c r="E39" s="976"/>
      <c r="F39" s="976"/>
      <c r="G39" s="976"/>
      <c r="H39" s="976"/>
      <c r="I39" s="976"/>
      <c r="J39" s="976"/>
      <c r="K39" s="976"/>
    </row>
    <row r="40" spans="2:11">
      <c r="B40" s="976"/>
      <c r="C40" s="976"/>
      <c r="D40" s="976"/>
      <c r="E40" s="976"/>
      <c r="F40" s="976"/>
      <c r="G40" s="976"/>
      <c r="H40" s="976"/>
      <c r="I40" s="976"/>
      <c r="J40" s="976"/>
      <c r="K40" s="976"/>
    </row>
    <row r="41" spans="2:11">
      <c r="B41" s="976"/>
      <c r="C41" s="976"/>
      <c r="D41" s="976"/>
      <c r="E41" s="976"/>
      <c r="F41" s="976"/>
      <c r="G41" s="976"/>
      <c r="H41" s="976"/>
      <c r="I41" s="976"/>
      <c r="J41" s="976"/>
      <c r="K41" s="976"/>
    </row>
  </sheetData>
  <sheetProtection password="CFD5" sheet="1" objects="1" scenarios="1" selectLockedCells="1"/>
  <mergeCells count="3">
    <mergeCell ref="C27:J33"/>
    <mergeCell ref="C21:J23"/>
    <mergeCell ref="C16:J18"/>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theme="5" tint="0.79998168889431442"/>
  </sheetPr>
  <dimension ref="B6:J63"/>
  <sheetViews>
    <sheetView showRowColHeaders="0" workbookViewId="0">
      <pane ySplit="11" topLeftCell="A12" activePane="bottomLeft" state="frozen"/>
      <selection pane="bottomLeft" activeCell="C9" sqref="C9"/>
    </sheetView>
  </sheetViews>
  <sheetFormatPr defaultColWidth="9.140625" defaultRowHeight="12.75"/>
  <cols>
    <col min="1" max="2" width="9.140625" style="112"/>
    <col min="3" max="3" width="30.7109375" style="113" bestFit="1" customWidth="1"/>
    <col min="4" max="4" width="17.28515625" style="113" customWidth="1"/>
    <col min="5" max="5" width="28.28515625" style="113" customWidth="1"/>
    <col min="6" max="6" width="48.7109375" style="113" bestFit="1" customWidth="1"/>
    <col min="7" max="7" width="11" style="116" bestFit="1" customWidth="1"/>
    <col min="8" max="8" width="17" style="112" hidden="1" customWidth="1"/>
    <col min="9" max="16384" width="9.140625" style="112"/>
  </cols>
  <sheetData>
    <row r="6" spans="2:10">
      <c r="B6" s="118"/>
      <c r="C6" s="1362"/>
      <c r="D6" s="1362"/>
      <c r="E6" s="1362"/>
      <c r="F6" s="1362"/>
      <c r="G6" s="119"/>
      <c r="H6" s="118"/>
      <c r="I6" s="118"/>
      <c r="J6" s="118"/>
    </row>
    <row r="7" spans="2:10">
      <c r="B7" s="118"/>
      <c r="C7" s="1362"/>
      <c r="D7" s="1362"/>
      <c r="E7" s="1362"/>
      <c r="F7" s="1362"/>
      <c r="G7" s="119"/>
      <c r="H7" s="118"/>
      <c r="I7" s="118"/>
      <c r="J7" s="118"/>
    </row>
    <row r="8" spans="2:10" ht="21" thickBot="1">
      <c r="B8" s="118"/>
      <c r="C8" s="1365"/>
      <c r="D8" s="1365"/>
      <c r="E8" s="1365" t="s">
        <v>1456</v>
      </c>
      <c r="F8" s="1365"/>
      <c r="G8" s="1366"/>
      <c r="H8" s="118"/>
      <c r="I8" s="118"/>
      <c r="J8" s="118"/>
    </row>
    <row r="9" spans="2:10" hidden="1">
      <c r="B9" s="118"/>
      <c r="C9" s="1360" t="s">
        <v>1454</v>
      </c>
      <c r="D9" s="1" t="s">
        <v>1453</v>
      </c>
      <c r="E9" s="1362"/>
      <c r="F9" s="1362"/>
      <c r="G9" s="119"/>
      <c r="H9" s="118"/>
      <c r="I9" s="118"/>
      <c r="J9" s="118"/>
    </row>
    <row r="10" spans="2:10">
      <c r="B10" s="118"/>
      <c r="C10" s="1362"/>
      <c r="D10" s="1362"/>
      <c r="E10" s="1362"/>
      <c r="F10" s="1362"/>
      <c r="G10" s="119"/>
      <c r="H10" s="118"/>
      <c r="I10" s="118"/>
      <c r="J10" s="118"/>
    </row>
    <row r="11" spans="2:10">
      <c r="B11" s="118"/>
      <c r="C11" s="1360" t="s">
        <v>1438</v>
      </c>
      <c r="D11" s="1363" t="s">
        <v>1434</v>
      </c>
      <c r="E11" s="1363" t="s">
        <v>1433</v>
      </c>
      <c r="F11" s="1360" t="s">
        <v>1435</v>
      </c>
      <c r="G11" s="2" t="s">
        <v>1452</v>
      </c>
      <c r="H11" t="s">
        <v>1455</v>
      </c>
      <c r="I11" s="118"/>
      <c r="J11" s="118"/>
    </row>
    <row r="12" spans="2:10">
      <c r="B12" s="118"/>
      <c r="C12" t="s">
        <v>41</v>
      </c>
      <c r="D12" s="1"/>
      <c r="E12" s="1"/>
      <c r="F12"/>
      <c r="G12" s="1364"/>
      <c r="H12" s="1361"/>
      <c r="I12" s="118"/>
      <c r="J12" s="118"/>
    </row>
    <row r="13" spans="2:10">
      <c r="B13" s="118"/>
      <c r="C13"/>
      <c r="D13" s="1"/>
      <c r="E13" s="1"/>
      <c r="F13"/>
      <c r="G13" s="2"/>
      <c r="H13"/>
      <c r="I13" s="118"/>
      <c r="J13" s="118"/>
    </row>
    <row r="14" spans="2:10">
      <c r="B14" s="118"/>
      <c r="C14"/>
      <c r="D14" s="1"/>
      <c r="E14" s="1"/>
      <c r="F14"/>
      <c r="G14" s="2"/>
      <c r="H14"/>
      <c r="I14" s="118"/>
      <c r="J14" s="118"/>
    </row>
    <row r="15" spans="2:10">
      <c r="B15" s="118"/>
      <c r="C15"/>
      <c r="D15" s="1"/>
      <c r="E15" s="1"/>
      <c r="F15"/>
      <c r="G15" s="2"/>
      <c r="H15"/>
      <c r="I15" s="118"/>
      <c r="J15" s="118"/>
    </row>
    <row r="16" spans="2:10">
      <c r="B16" s="118"/>
      <c r="C16"/>
      <c r="D16" s="1"/>
      <c r="E16" s="1"/>
      <c r="F16"/>
      <c r="G16" s="2"/>
      <c r="H16"/>
      <c r="I16" s="118"/>
      <c r="J16" s="118"/>
    </row>
    <row r="17" spans="2:10">
      <c r="B17" s="118"/>
      <c r="C17"/>
      <c r="D17" s="1"/>
      <c r="E17" s="1"/>
      <c r="F17"/>
      <c r="G17" s="2"/>
      <c r="H17"/>
      <c r="I17" s="118"/>
      <c r="J17" s="118"/>
    </row>
    <row r="18" spans="2:10">
      <c r="B18" s="118"/>
      <c r="C18"/>
      <c r="D18" s="1"/>
      <c r="E18" s="1"/>
      <c r="F18"/>
      <c r="G18" s="2"/>
      <c r="H18"/>
      <c r="I18" s="118"/>
      <c r="J18" s="118"/>
    </row>
    <row r="19" spans="2:10">
      <c r="B19" s="118"/>
      <c r="C19"/>
      <c r="D19" s="1"/>
      <c r="E19" s="1"/>
      <c r="F19"/>
      <c r="G19" s="2"/>
      <c r="H19"/>
      <c r="I19" s="118"/>
      <c r="J19" s="118"/>
    </row>
    <row r="20" spans="2:10">
      <c r="B20" s="118"/>
      <c r="C20"/>
      <c r="D20" s="1"/>
      <c r="E20" s="1"/>
      <c r="F20"/>
      <c r="G20" s="2"/>
      <c r="H20"/>
      <c r="I20" s="118"/>
      <c r="J20" s="118"/>
    </row>
    <row r="21" spans="2:10">
      <c r="B21" s="118"/>
      <c r="C21"/>
      <c r="D21" s="1"/>
      <c r="E21" s="1"/>
      <c r="F21"/>
      <c r="G21" s="2"/>
      <c r="H21"/>
      <c r="I21" s="118"/>
      <c r="J21" s="118"/>
    </row>
    <row r="22" spans="2:10">
      <c r="B22" s="118"/>
      <c r="C22"/>
      <c r="D22" s="1"/>
      <c r="E22" s="1"/>
      <c r="F22"/>
      <c r="G22" s="2"/>
      <c r="H22"/>
      <c r="I22" s="118"/>
      <c r="J22" s="118"/>
    </row>
    <row r="23" spans="2:10">
      <c r="B23" s="118"/>
      <c r="C23"/>
      <c r="D23" s="1"/>
      <c r="E23" s="1"/>
      <c r="F23"/>
      <c r="G23" s="2"/>
      <c r="H23"/>
      <c r="I23" s="118"/>
      <c r="J23" s="118"/>
    </row>
    <row r="24" spans="2:10">
      <c r="B24" s="118"/>
      <c r="C24"/>
      <c r="D24" s="1"/>
      <c r="E24" s="1"/>
      <c r="F24"/>
      <c r="G24" s="2"/>
      <c r="H24"/>
      <c r="I24" s="118"/>
      <c r="J24" s="118"/>
    </row>
    <row r="25" spans="2:10">
      <c r="B25" s="118"/>
      <c r="C25"/>
      <c r="D25" s="1"/>
      <c r="E25" s="1"/>
      <c r="F25"/>
      <c r="G25" s="2"/>
      <c r="H25"/>
      <c r="I25" s="118"/>
      <c r="J25" s="118"/>
    </row>
    <row r="26" spans="2:10">
      <c r="B26" s="118"/>
      <c r="C26"/>
      <c r="D26" s="1"/>
      <c r="E26" s="1"/>
      <c r="F26"/>
      <c r="G26" s="2"/>
      <c r="H26"/>
      <c r="I26" s="118"/>
      <c r="J26" s="118"/>
    </row>
    <row r="27" spans="2:10">
      <c r="B27" s="118"/>
      <c r="C27"/>
      <c r="D27" s="1"/>
      <c r="E27" s="1"/>
      <c r="F27"/>
      <c r="G27" s="2"/>
      <c r="H27"/>
      <c r="I27" s="118"/>
      <c r="J27" s="118"/>
    </row>
    <row r="28" spans="2:10">
      <c r="B28" s="118"/>
      <c r="C28"/>
      <c r="D28" s="1"/>
      <c r="E28" s="1"/>
      <c r="F28"/>
      <c r="G28" s="2"/>
      <c r="H28"/>
      <c r="I28" s="118"/>
      <c r="J28" s="118"/>
    </row>
    <row r="29" spans="2:10">
      <c r="B29" s="118"/>
      <c r="C29"/>
      <c r="D29" s="1"/>
      <c r="E29" s="1"/>
      <c r="F29"/>
      <c r="G29" s="2"/>
      <c r="H29"/>
      <c r="I29" s="118"/>
      <c r="J29" s="118"/>
    </row>
    <row r="30" spans="2:10">
      <c r="B30" s="118"/>
      <c r="C30"/>
      <c r="D30" s="1"/>
      <c r="E30" s="1"/>
      <c r="F30"/>
      <c r="G30" s="2"/>
      <c r="H30"/>
      <c r="I30" s="118"/>
      <c r="J30" s="118"/>
    </row>
    <row r="31" spans="2:10">
      <c r="B31" s="118"/>
      <c r="C31"/>
      <c r="D31" s="1"/>
      <c r="E31" s="1"/>
      <c r="F31"/>
      <c r="G31" s="2"/>
      <c r="H31"/>
      <c r="I31" s="118"/>
      <c r="J31" s="118"/>
    </row>
    <row r="32" spans="2:10">
      <c r="B32" s="118"/>
      <c r="C32"/>
      <c r="D32" s="1"/>
      <c r="E32" s="1"/>
      <c r="F32"/>
      <c r="G32" s="2"/>
      <c r="H32"/>
      <c r="I32" s="118"/>
      <c r="J32" s="118"/>
    </row>
    <row r="33" spans="2:10">
      <c r="B33" s="118"/>
      <c r="C33" s="1362"/>
      <c r="D33" s="1362"/>
      <c r="E33" s="1362"/>
      <c r="F33" s="1362"/>
      <c r="G33" s="119"/>
      <c r="H33"/>
      <c r="I33" s="118"/>
      <c r="J33" s="118"/>
    </row>
    <row r="34" spans="2:10">
      <c r="B34" s="118"/>
      <c r="C34" s="1362"/>
      <c r="D34" s="1362"/>
      <c r="E34" s="1362"/>
      <c r="F34" s="1362"/>
      <c r="G34" s="119"/>
      <c r="H34"/>
      <c r="I34" s="118"/>
      <c r="J34" s="118"/>
    </row>
    <row r="35" spans="2:10">
      <c r="B35" s="118"/>
      <c r="C35" s="1362"/>
      <c r="D35" s="1362"/>
      <c r="E35" s="1362"/>
      <c r="F35" s="1362"/>
      <c r="G35" s="119"/>
      <c r="H35"/>
      <c r="I35" s="118"/>
      <c r="J35" s="118"/>
    </row>
    <row r="36" spans="2:10">
      <c r="B36" s="118"/>
      <c r="C36" s="1362"/>
      <c r="D36" s="1362"/>
      <c r="E36" s="1362"/>
      <c r="F36" s="1362"/>
      <c r="G36" s="119"/>
      <c r="H36"/>
      <c r="I36" s="118"/>
      <c r="J36" s="118"/>
    </row>
    <row r="37" spans="2:10">
      <c r="B37" s="118"/>
      <c r="C37" s="1362"/>
      <c r="D37" s="1362"/>
      <c r="E37" s="1362"/>
      <c r="F37" s="1362"/>
      <c r="G37" s="119"/>
      <c r="H37"/>
      <c r="I37" s="118"/>
      <c r="J37" s="118"/>
    </row>
    <row r="38" spans="2:10">
      <c r="B38" s="118"/>
      <c r="C38" s="1362"/>
      <c r="D38" s="1362"/>
      <c r="E38" s="1362"/>
      <c r="F38" s="1362"/>
      <c r="G38" s="119"/>
      <c r="H38" s="118"/>
      <c r="I38" s="118"/>
      <c r="J38" s="118"/>
    </row>
    <row r="39" spans="2:10">
      <c r="B39" s="118"/>
      <c r="C39" s="1362"/>
      <c r="D39" s="1362"/>
      <c r="E39" s="1362"/>
      <c r="F39" s="1362"/>
      <c r="G39" s="119"/>
      <c r="H39" s="118"/>
      <c r="I39" s="118"/>
      <c r="J39" s="118"/>
    </row>
    <row r="40" spans="2:10">
      <c r="B40" s="118"/>
      <c r="C40" s="1362"/>
      <c r="D40" s="1362"/>
      <c r="E40" s="1362"/>
      <c r="F40" s="1362"/>
      <c r="G40" s="119"/>
      <c r="H40" s="118"/>
      <c r="I40" s="118"/>
      <c r="J40" s="118"/>
    </row>
    <row r="41" spans="2:10">
      <c r="B41" s="118"/>
      <c r="C41" s="1362"/>
      <c r="D41" s="1362"/>
      <c r="E41" s="1362"/>
      <c r="F41" s="1362"/>
      <c r="G41" s="119"/>
      <c r="H41" s="118"/>
      <c r="I41" s="118"/>
      <c r="J41" s="118"/>
    </row>
    <row r="42" spans="2:10">
      <c r="B42" s="118"/>
      <c r="C42" s="1362"/>
      <c r="D42" s="1362"/>
      <c r="E42" s="1362"/>
      <c r="F42" s="1362"/>
      <c r="G42" s="119"/>
      <c r="H42" s="118"/>
      <c r="I42" s="118"/>
      <c r="J42" s="118"/>
    </row>
    <row r="43" spans="2:10">
      <c r="B43" s="118"/>
      <c r="C43" s="1362"/>
      <c r="D43" s="1362"/>
      <c r="E43" s="1362"/>
      <c r="F43" s="1362"/>
      <c r="G43" s="119"/>
      <c r="H43" s="118"/>
      <c r="I43" s="118"/>
      <c r="J43" s="118"/>
    </row>
    <row r="44" spans="2:10">
      <c r="B44" s="118"/>
      <c r="C44" s="1362"/>
      <c r="D44" s="1362"/>
      <c r="E44" s="1362"/>
      <c r="F44" s="1362"/>
      <c r="G44" s="119"/>
      <c r="H44" s="118"/>
      <c r="I44" s="118"/>
      <c r="J44" s="118"/>
    </row>
    <row r="45" spans="2:10">
      <c r="B45" s="118"/>
      <c r="C45" s="1362"/>
      <c r="D45" s="1362"/>
      <c r="E45" s="1362"/>
      <c r="F45" s="1362"/>
      <c r="G45" s="119"/>
      <c r="H45" s="118"/>
      <c r="I45" s="118"/>
      <c r="J45" s="118"/>
    </row>
    <row r="46" spans="2:10">
      <c r="B46" s="118"/>
      <c r="C46" s="1362"/>
      <c r="D46" s="1362"/>
      <c r="E46" s="1362"/>
      <c r="F46" s="1362"/>
      <c r="G46" s="119"/>
      <c r="H46" s="118"/>
      <c r="I46" s="118"/>
      <c r="J46" s="118"/>
    </row>
    <row r="47" spans="2:10">
      <c r="B47" s="118"/>
      <c r="C47" s="1362"/>
      <c r="D47" s="1362"/>
      <c r="E47" s="1362"/>
      <c r="F47" s="1362"/>
      <c r="G47" s="119"/>
      <c r="H47" s="118"/>
      <c r="I47" s="118"/>
      <c r="J47" s="118"/>
    </row>
    <row r="48" spans="2:10">
      <c r="B48" s="118"/>
      <c r="C48" s="1362"/>
      <c r="D48" s="1362"/>
      <c r="E48" s="1362"/>
      <c r="F48" s="1362"/>
      <c r="G48" s="119"/>
      <c r="H48" s="118"/>
      <c r="I48" s="118"/>
      <c r="J48" s="118"/>
    </row>
    <row r="49" spans="2:10">
      <c r="B49" s="118"/>
      <c r="C49" s="1362"/>
      <c r="D49" s="1362"/>
      <c r="E49" s="1362"/>
      <c r="F49" s="1362"/>
      <c r="G49" s="119"/>
      <c r="H49" s="118"/>
      <c r="I49" s="118"/>
      <c r="J49" s="118"/>
    </row>
    <row r="50" spans="2:10">
      <c r="B50" s="118"/>
      <c r="C50" s="1362"/>
      <c r="D50" s="1362"/>
      <c r="E50" s="1362"/>
      <c r="F50" s="1362"/>
      <c r="G50" s="119"/>
      <c r="H50" s="118"/>
      <c r="I50" s="118"/>
      <c r="J50" s="118"/>
    </row>
    <row r="51" spans="2:10">
      <c r="B51" s="118"/>
      <c r="C51" s="1362"/>
      <c r="D51" s="1362"/>
      <c r="E51" s="1362"/>
      <c r="F51" s="1362"/>
      <c r="G51" s="119"/>
      <c r="H51" s="118"/>
      <c r="I51" s="118"/>
      <c r="J51" s="118"/>
    </row>
    <row r="52" spans="2:10">
      <c r="B52" s="118"/>
      <c r="C52" s="1362"/>
      <c r="D52" s="1362"/>
      <c r="E52" s="1362"/>
      <c r="F52" s="1362"/>
      <c r="G52" s="119"/>
      <c r="H52" s="118"/>
      <c r="I52" s="118"/>
      <c r="J52" s="118"/>
    </row>
    <row r="53" spans="2:10">
      <c r="B53" s="118"/>
      <c r="C53" s="1362"/>
      <c r="D53" s="1362"/>
      <c r="E53" s="1362"/>
      <c r="F53" s="1362"/>
      <c r="G53" s="119"/>
      <c r="H53" s="118"/>
      <c r="I53" s="118"/>
      <c r="J53" s="118"/>
    </row>
    <row r="54" spans="2:10">
      <c r="B54" s="118"/>
      <c r="C54" s="1362"/>
      <c r="D54" s="1362"/>
      <c r="E54" s="1362"/>
      <c r="F54" s="1362"/>
      <c r="G54" s="119"/>
      <c r="H54" s="118"/>
      <c r="I54" s="118"/>
      <c r="J54" s="118"/>
    </row>
    <row r="55" spans="2:10">
      <c r="B55" s="118"/>
      <c r="C55" s="1362"/>
      <c r="D55" s="1362"/>
      <c r="E55" s="1362"/>
      <c r="F55" s="1362"/>
      <c r="G55" s="119"/>
      <c r="H55" s="118"/>
      <c r="I55" s="118"/>
      <c r="J55" s="118"/>
    </row>
    <row r="56" spans="2:10">
      <c r="B56" s="118"/>
      <c r="C56" s="1362"/>
      <c r="D56" s="1362"/>
      <c r="E56" s="1362"/>
      <c r="F56" s="1362"/>
      <c r="G56" s="119"/>
      <c r="H56" s="118"/>
      <c r="I56" s="118"/>
      <c r="J56" s="118"/>
    </row>
    <row r="57" spans="2:10">
      <c r="B57" s="118"/>
      <c r="C57" s="1362"/>
      <c r="D57" s="1362"/>
      <c r="E57" s="1362"/>
      <c r="F57" s="1362"/>
      <c r="G57" s="119"/>
      <c r="H57" s="118"/>
      <c r="I57" s="118"/>
      <c r="J57" s="118"/>
    </row>
    <row r="58" spans="2:10">
      <c r="B58" s="118"/>
      <c r="C58" s="1362"/>
      <c r="D58" s="1362"/>
      <c r="E58" s="1362"/>
      <c r="F58" s="1362"/>
      <c r="G58" s="119"/>
      <c r="H58" s="118"/>
      <c r="I58" s="118"/>
      <c r="J58" s="118"/>
    </row>
    <row r="59" spans="2:10">
      <c r="B59" s="118"/>
      <c r="C59" s="1362"/>
      <c r="D59" s="1362"/>
      <c r="E59" s="1362"/>
      <c r="F59" s="1362"/>
      <c r="G59" s="119"/>
      <c r="H59" s="118"/>
      <c r="I59" s="118"/>
      <c r="J59" s="118"/>
    </row>
    <row r="60" spans="2:10">
      <c r="B60" s="118"/>
      <c r="C60" s="1362"/>
      <c r="D60" s="1362"/>
      <c r="E60" s="1362"/>
      <c r="F60" s="1362"/>
      <c r="G60" s="119"/>
      <c r="H60" s="118"/>
      <c r="I60" s="118"/>
      <c r="J60" s="118"/>
    </row>
    <row r="61" spans="2:10">
      <c r="B61" s="118"/>
      <c r="C61" s="1362"/>
      <c r="D61" s="1362"/>
      <c r="E61" s="1362"/>
      <c r="F61" s="1362"/>
      <c r="G61" s="119"/>
      <c r="H61" s="118"/>
      <c r="I61" s="118"/>
      <c r="J61" s="118"/>
    </row>
    <row r="62" spans="2:10">
      <c r="B62" s="118"/>
      <c r="C62" s="1362"/>
      <c r="D62" s="1362"/>
      <c r="E62" s="1362"/>
      <c r="F62" s="1362"/>
      <c r="G62" s="119"/>
      <c r="H62" s="118"/>
      <c r="I62" s="118"/>
      <c r="J62" s="118"/>
    </row>
    <row r="63" spans="2:10">
      <c r="B63" s="118"/>
      <c r="C63" s="1362"/>
      <c r="D63" s="1362"/>
      <c r="E63" s="1362"/>
      <c r="F63" s="1362"/>
      <c r="G63" s="119"/>
      <c r="H63" s="118"/>
      <c r="I63" s="118"/>
      <c r="J63" s="118"/>
    </row>
  </sheetData>
  <sheetProtection password="C583" sheet="1" objects="1" scenarios="1" selectLockedCells="1"/>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9938" r:id="rId4" name="Button 2">
              <controlPr defaultSize="0" print="0" autoFill="0" autoPict="0" macro="[0]!PSlip">
                <anchor moveWithCells="1" sizeWithCells="1">
                  <from>
                    <xdr:col>6</xdr:col>
                    <xdr:colOff>466725</xdr:colOff>
                    <xdr:row>1</xdr:row>
                    <xdr:rowOff>28575</xdr:rowOff>
                  </from>
                  <to>
                    <xdr:col>10</xdr:col>
                    <xdr:colOff>0</xdr:colOff>
                    <xdr:row>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tabColor theme="5" tint="-0.249977111117893"/>
  </sheetPr>
  <dimension ref="B3:V64"/>
  <sheetViews>
    <sheetView showGridLines="0" showRowColHeaders="0" workbookViewId="0">
      <selection activeCell="D8" sqref="D8"/>
    </sheetView>
  </sheetViews>
  <sheetFormatPr defaultColWidth="9.140625" defaultRowHeight="12.75"/>
  <cols>
    <col min="1" max="2" width="9.140625" style="977"/>
    <col min="3" max="3" width="43.28515625" style="977" customWidth="1"/>
    <col min="4" max="13" width="9.140625" style="977"/>
    <col min="14" max="14" width="33.42578125" style="977" bestFit="1" customWidth="1"/>
    <col min="15" max="16384" width="9.140625" style="977"/>
  </cols>
  <sheetData>
    <row r="3" spans="2:22">
      <c r="B3" s="976"/>
      <c r="C3" s="976"/>
      <c r="D3" s="976"/>
      <c r="E3" s="976"/>
      <c r="F3" s="976"/>
      <c r="G3" s="976"/>
      <c r="H3" s="976"/>
      <c r="I3" s="976"/>
      <c r="J3" s="976"/>
      <c r="K3" s="976"/>
      <c r="M3" s="976"/>
      <c r="N3" s="976"/>
      <c r="O3" s="976"/>
      <c r="P3" s="976"/>
      <c r="Q3" s="976"/>
      <c r="R3" s="976"/>
      <c r="S3" s="976"/>
      <c r="T3" s="976"/>
      <c r="U3" s="976"/>
      <c r="V3" s="976"/>
    </row>
    <row r="4" spans="2:22">
      <c r="B4" s="976"/>
      <c r="C4" s="976"/>
      <c r="D4" s="976"/>
      <c r="E4" s="976"/>
      <c r="F4" s="976"/>
      <c r="G4" s="976"/>
      <c r="H4" s="976"/>
      <c r="I4" s="976"/>
      <c r="J4" s="976"/>
      <c r="K4" s="976"/>
      <c r="M4" s="976"/>
      <c r="N4" s="976"/>
      <c r="O4" s="976"/>
      <c r="P4" s="976"/>
      <c r="Q4" s="976"/>
      <c r="R4" s="976"/>
      <c r="S4" s="976"/>
      <c r="T4" s="976"/>
      <c r="U4" s="976"/>
      <c r="V4" s="976"/>
    </row>
    <row r="5" spans="2:22">
      <c r="B5" s="976"/>
      <c r="C5" s="976"/>
      <c r="D5" s="976"/>
      <c r="E5" s="976"/>
      <c r="F5" s="976"/>
      <c r="G5" s="976"/>
      <c r="H5" s="978"/>
      <c r="I5" s="976"/>
      <c r="J5" s="976"/>
      <c r="K5" s="976"/>
      <c r="M5" s="976"/>
      <c r="N5" s="976"/>
      <c r="O5" s="976"/>
      <c r="P5" s="976"/>
      <c r="Q5" s="976"/>
      <c r="R5" s="976"/>
      <c r="S5" s="978"/>
      <c r="T5" s="976"/>
      <c r="U5" s="976"/>
      <c r="V5" s="976"/>
    </row>
    <row r="6" spans="2:22">
      <c r="B6" s="976"/>
      <c r="C6" s="976"/>
      <c r="D6" s="976"/>
      <c r="E6" s="976"/>
      <c r="F6" s="976"/>
      <c r="G6" s="976"/>
      <c r="H6" s="976"/>
      <c r="I6" s="976"/>
      <c r="J6" s="976"/>
      <c r="K6" s="976"/>
      <c r="M6" s="976"/>
      <c r="N6" s="976"/>
      <c r="O6" s="976"/>
      <c r="P6" s="976"/>
      <c r="Q6" s="976"/>
      <c r="R6" s="976"/>
      <c r="S6" s="976"/>
      <c r="T6" s="976"/>
      <c r="U6" s="976"/>
      <c r="V6" s="976"/>
    </row>
    <row r="7" spans="2:22" ht="20.25" customHeight="1">
      <c r="B7" s="976"/>
      <c r="C7" s="980" t="s">
        <v>140</v>
      </c>
      <c r="D7" s="1076" t="s">
        <v>1145</v>
      </c>
      <c r="E7" s="1047"/>
      <c r="F7" s="986"/>
      <c r="G7" s="986"/>
      <c r="H7" s="1058"/>
      <c r="I7" s="1019"/>
      <c r="J7" s="1019"/>
      <c r="K7" s="1019"/>
      <c r="M7" s="976"/>
      <c r="N7" s="980" t="s">
        <v>140</v>
      </c>
      <c r="O7" s="1076" t="s">
        <v>1201</v>
      </c>
      <c r="P7" s="1047"/>
      <c r="Q7" s="986"/>
      <c r="R7" s="986"/>
      <c r="S7" s="1058"/>
      <c r="T7" s="1019"/>
      <c r="U7" s="1019"/>
      <c r="V7" s="1019"/>
    </row>
    <row r="8" spans="2:22" ht="20.25" customHeight="1">
      <c r="B8" s="976"/>
      <c r="C8" s="1047"/>
      <c r="D8" s="1019"/>
      <c r="E8" s="1047"/>
      <c r="F8" s="986"/>
      <c r="G8" s="986"/>
      <c r="H8" s="986"/>
      <c r="I8" s="1019"/>
      <c r="J8" s="1019"/>
      <c r="K8" s="1019"/>
      <c r="M8" s="976"/>
      <c r="N8" s="1047"/>
      <c r="O8" s="1019"/>
      <c r="P8" s="1047"/>
      <c r="Q8" s="986"/>
      <c r="R8" s="986"/>
      <c r="S8" s="986"/>
      <c r="T8" s="1019"/>
      <c r="U8" s="1019"/>
      <c r="V8" s="1019"/>
    </row>
    <row r="9" spans="2:22" ht="20.25" customHeight="1">
      <c r="B9" s="976"/>
      <c r="C9" s="1052" t="s">
        <v>1183</v>
      </c>
      <c r="D9" s="1049"/>
      <c r="E9" s="1050"/>
      <c r="F9" s="1051"/>
      <c r="G9" s="1051"/>
      <c r="H9" s="1051"/>
      <c r="I9" s="1051"/>
      <c r="J9" s="1019"/>
      <c r="K9" s="1019"/>
      <c r="M9" s="976"/>
      <c r="N9" s="1052" t="s">
        <v>1183</v>
      </c>
      <c r="O9" s="1049"/>
      <c r="P9" s="1050"/>
      <c r="Q9" s="1051"/>
      <c r="R9" s="1051"/>
      <c r="S9" s="1051"/>
      <c r="T9" s="1051"/>
      <c r="U9" s="1019"/>
      <c r="V9" s="1019"/>
    </row>
    <row r="10" spans="2:22" ht="20.25" customHeight="1">
      <c r="B10" s="976"/>
      <c r="C10" s="1019"/>
      <c r="D10" s="1054" t="s">
        <v>1150</v>
      </c>
      <c r="E10" s="1054" t="s">
        <v>1151</v>
      </c>
      <c r="F10" s="1054" t="s">
        <v>1152</v>
      </c>
      <c r="G10" s="1054" t="s">
        <v>1153</v>
      </c>
      <c r="H10" s="1054" t="s">
        <v>1154</v>
      </c>
      <c r="I10" s="1054" t="s">
        <v>74</v>
      </c>
      <c r="J10" s="1019"/>
      <c r="K10" s="1019"/>
      <c r="M10" s="976"/>
      <c r="N10" s="1019"/>
      <c r="O10" s="1054" t="s">
        <v>1150</v>
      </c>
      <c r="P10" s="1054" t="s">
        <v>1151</v>
      </c>
      <c r="Q10" s="1054" t="s">
        <v>1152</v>
      </c>
      <c r="R10" s="1054" t="s">
        <v>1153</v>
      </c>
      <c r="S10" s="1054" t="s">
        <v>1154</v>
      </c>
      <c r="T10" s="1054" t="s">
        <v>74</v>
      </c>
      <c r="U10" s="1019"/>
      <c r="V10" s="1019"/>
    </row>
    <row r="11" spans="2:22" ht="20.25" customHeight="1">
      <c r="B11" s="976"/>
      <c r="C11" s="980" t="s">
        <v>1146</v>
      </c>
      <c r="D11" s="1059">
        <v>1000</v>
      </c>
      <c r="E11" s="1059">
        <v>1050</v>
      </c>
      <c r="F11" s="1059">
        <v>1102.5</v>
      </c>
      <c r="G11" s="1059">
        <v>1157.625</v>
      </c>
      <c r="H11" s="1059">
        <v>1215.5062500000001</v>
      </c>
      <c r="I11" s="1060">
        <f>SUM(D11:H11)</f>
        <v>5525.6312500000004</v>
      </c>
      <c r="J11" s="1019"/>
      <c r="K11" s="1019"/>
      <c r="M11" s="976"/>
      <c r="N11" s="980" t="s">
        <v>1146</v>
      </c>
      <c r="O11" s="1059"/>
      <c r="P11" s="1059"/>
      <c r="Q11" s="1059"/>
      <c r="R11" s="1059"/>
      <c r="S11" s="1059"/>
      <c r="T11" s="1060">
        <f>SUM(O11:S11)</f>
        <v>0</v>
      </c>
      <c r="U11" s="1019"/>
      <c r="V11" s="1019"/>
    </row>
    <row r="12" spans="2:22" ht="20.25" customHeight="1">
      <c r="B12" s="976"/>
      <c r="C12" s="980" t="s">
        <v>1147</v>
      </c>
      <c r="D12" s="1059">
        <v>2430</v>
      </c>
      <c r="E12" s="1059">
        <v>2552</v>
      </c>
      <c r="F12" s="1059">
        <v>2679</v>
      </c>
      <c r="G12" s="1059">
        <v>2813</v>
      </c>
      <c r="H12" s="1059">
        <v>2954</v>
      </c>
      <c r="I12" s="1060">
        <f>SUM(D12:H12)</f>
        <v>13428</v>
      </c>
      <c r="J12" s="1019"/>
      <c r="K12" s="1019"/>
      <c r="M12" s="976"/>
      <c r="N12" s="980" t="s">
        <v>1147</v>
      </c>
      <c r="O12" s="1059"/>
      <c r="P12" s="1059"/>
      <c r="Q12" s="1059"/>
      <c r="R12" s="1059"/>
      <c r="S12" s="1059"/>
      <c r="T12" s="1060">
        <f>SUM(O12:S12)</f>
        <v>0</v>
      </c>
      <c r="U12" s="1019"/>
      <c r="V12" s="1019"/>
    </row>
    <row r="13" spans="2:22" ht="20.25" customHeight="1">
      <c r="B13" s="976"/>
      <c r="C13" s="980" t="s">
        <v>1148</v>
      </c>
      <c r="D13" s="1059">
        <v>1800</v>
      </c>
      <c r="E13" s="1059">
        <v>1890</v>
      </c>
      <c r="F13" s="1059">
        <v>1984.5</v>
      </c>
      <c r="G13" s="1059">
        <v>2083.7249999999999</v>
      </c>
      <c r="H13" s="1059">
        <v>2187.9112500000001</v>
      </c>
      <c r="I13" s="1060">
        <f>SUM(D13:H13)</f>
        <v>9946.1362499999996</v>
      </c>
      <c r="J13" s="1019"/>
      <c r="K13" s="1019"/>
      <c r="M13" s="976"/>
      <c r="N13" s="980" t="s">
        <v>1148</v>
      </c>
      <c r="O13" s="1059"/>
      <c r="P13" s="1059"/>
      <c r="Q13" s="1059"/>
      <c r="R13" s="1059"/>
      <c r="S13" s="1059"/>
      <c r="T13" s="1060">
        <f>SUM(O13:S13)</f>
        <v>0</v>
      </c>
      <c r="U13" s="1019"/>
      <c r="V13" s="1019"/>
    </row>
    <row r="14" spans="2:22" ht="20.25" customHeight="1">
      <c r="B14" s="976"/>
      <c r="C14" s="980" t="s">
        <v>1149</v>
      </c>
      <c r="D14" s="1059"/>
      <c r="E14" s="1059"/>
      <c r="F14" s="1059"/>
      <c r="G14" s="1059"/>
      <c r="H14" s="1059"/>
      <c r="I14" s="1060"/>
      <c r="J14" s="1047"/>
      <c r="K14" s="1019"/>
      <c r="M14" s="976"/>
      <c r="N14" s="980" t="s">
        <v>1149</v>
      </c>
      <c r="O14" s="1059"/>
      <c r="P14" s="1059"/>
      <c r="Q14" s="1059"/>
      <c r="R14" s="1059"/>
      <c r="S14" s="1059"/>
      <c r="T14" s="1060"/>
      <c r="U14" s="1047"/>
      <c r="V14" s="1019"/>
    </row>
    <row r="15" spans="2:22" ht="20.25" customHeight="1">
      <c r="B15" s="976"/>
      <c r="C15" s="1072" t="s">
        <v>1189</v>
      </c>
      <c r="D15" s="1059">
        <f>66*12</f>
        <v>792</v>
      </c>
      <c r="E15" s="1059">
        <f>D15*1.02</f>
        <v>807.84</v>
      </c>
      <c r="F15" s="1059">
        <f t="shared" ref="F15:H20" si="0">E15*1.02</f>
        <v>823.99680000000001</v>
      </c>
      <c r="G15" s="1059">
        <f t="shared" si="0"/>
        <v>840.47673600000007</v>
      </c>
      <c r="H15" s="1059">
        <f t="shared" si="0"/>
        <v>857.28627072000006</v>
      </c>
      <c r="I15" s="1060">
        <f t="shared" ref="I15:I20" si="1">SUM(D15:H15)</f>
        <v>4121.5998067199998</v>
      </c>
      <c r="J15" s="1047"/>
      <c r="K15" s="1019"/>
      <c r="M15" s="976"/>
      <c r="N15" s="1072" t="s">
        <v>1202</v>
      </c>
      <c r="O15" s="1059"/>
      <c r="P15" s="1059"/>
      <c r="Q15" s="1059"/>
      <c r="R15" s="1059"/>
      <c r="S15" s="1059"/>
      <c r="T15" s="1060">
        <f t="shared" ref="T15:T20" si="2">SUM(O15:S15)</f>
        <v>0</v>
      </c>
      <c r="U15" s="1047"/>
      <c r="V15" s="1019"/>
    </row>
    <row r="16" spans="2:22" ht="20.25" customHeight="1">
      <c r="B16" s="976"/>
      <c r="C16" s="1072" t="s">
        <v>1190</v>
      </c>
      <c r="D16" s="1059">
        <v>720</v>
      </c>
      <c r="E16" s="1059">
        <f t="shared" ref="E16:E20" si="3">D16*1.02</f>
        <v>734.4</v>
      </c>
      <c r="F16" s="1059">
        <f t="shared" si="0"/>
        <v>749.08799999999997</v>
      </c>
      <c r="G16" s="1059">
        <f t="shared" si="0"/>
        <v>764.06975999999997</v>
      </c>
      <c r="H16" s="1059">
        <f t="shared" si="0"/>
        <v>779.35115519999999</v>
      </c>
      <c r="I16" s="1060">
        <f t="shared" si="1"/>
        <v>3746.9089152000001</v>
      </c>
      <c r="J16" s="1047"/>
      <c r="K16" s="1019"/>
      <c r="M16" s="976"/>
      <c r="N16" s="1072" t="s">
        <v>1203</v>
      </c>
      <c r="O16" s="1059"/>
      <c r="P16" s="1059"/>
      <c r="Q16" s="1059"/>
      <c r="R16" s="1059"/>
      <c r="S16" s="1059"/>
      <c r="T16" s="1060">
        <f t="shared" si="2"/>
        <v>0</v>
      </c>
      <c r="U16" s="1047"/>
      <c r="V16" s="1019"/>
    </row>
    <row r="17" spans="2:22" ht="20.25" customHeight="1">
      <c r="B17" s="976"/>
      <c r="C17" s="1072" t="s">
        <v>1191</v>
      </c>
      <c r="D17" s="1059">
        <v>648</v>
      </c>
      <c r="E17" s="1059">
        <f t="shared" si="3"/>
        <v>660.96</v>
      </c>
      <c r="F17" s="1059">
        <f t="shared" si="0"/>
        <v>674.17920000000004</v>
      </c>
      <c r="G17" s="1059">
        <f t="shared" si="0"/>
        <v>687.6627840000001</v>
      </c>
      <c r="H17" s="1059">
        <f t="shared" si="0"/>
        <v>701.41603968000015</v>
      </c>
      <c r="I17" s="1060">
        <f t="shared" si="1"/>
        <v>3372.2180236800004</v>
      </c>
      <c r="J17" s="1047"/>
      <c r="K17" s="1019"/>
      <c r="M17" s="976"/>
      <c r="N17" s="1072" t="s">
        <v>1204</v>
      </c>
      <c r="O17" s="1059"/>
      <c r="P17" s="1059"/>
      <c r="Q17" s="1059"/>
      <c r="R17" s="1059"/>
      <c r="S17" s="1059"/>
      <c r="T17" s="1060">
        <f t="shared" si="2"/>
        <v>0</v>
      </c>
      <c r="U17" s="1047"/>
      <c r="V17" s="1019"/>
    </row>
    <row r="18" spans="2:22" ht="20.25" customHeight="1">
      <c r="B18" s="976"/>
      <c r="C18" s="1072" t="s">
        <v>1192</v>
      </c>
      <c r="D18" s="1059">
        <v>600</v>
      </c>
      <c r="E18" s="1059">
        <f t="shared" si="3"/>
        <v>612</v>
      </c>
      <c r="F18" s="1059">
        <f t="shared" si="0"/>
        <v>624.24</v>
      </c>
      <c r="G18" s="1059">
        <f t="shared" si="0"/>
        <v>636.72480000000007</v>
      </c>
      <c r="H18" s="1059">
        <f t="shared" si="0"/>
        <v>649.45929600000011</v>
      </c>
      <c r="I18" s="1060">
        <f t="shared" si="1"/>
        <v>3122.4240960000002</v>
      </c>
      <c r="J18" s="1047"/>
      <c r="K18" s="1019"/>
      <c r="M18" s="976"/>
      <c r="N18" s="1072" t="s">
        <v>1205</v>
      </c>
      <c r="O18" s="1059"/>
      <c r="P18" s="1059"/>
      <c r="Q18" s="1059"/>
      <c r="R18" s="1059"/>
      <c r="S18" s="1059"/>
      <c r="T18" s="1060">
        <f t="shared" si="2"/>
        <v>0</v>
      </c>
      <c r="U18" s="1047"/>
      <c r="V18" s="1019"/>
    </row>
    <row r="19" spans="2:22" ht="20.25" customHeight="1">
      <c r="B19" s="976"/>
      <c r="C19" s="1072" t="s">
        <v>1193</v>
      </c>
      <c r="D19" s="1059">
        <v>564</v>
      </c>
      <c r="E19" s="1059">
        <f t="shared" si="3"/>
        <v>575.28</v>
      </c>
      <c r="F19" s="1059">
        <f t="shared" si="0"/>
        <v>586.78559999999993</v>
      </c>
      <c r="G19" s="1059">
        <f t="shared" si="0"/>
        <v>598.52131199999997</v>
      </c>
      <c r="H19" s="1059">
        <f t="shared" si="0"/>
        <v>610.49173824000002</v>
      </c>
      <c r="I19" s="1060">
        <f t="shared" si="1"/>
        <v>2935.0786502399997</v>
      </c>
      <c r="J19" s="1047"/>
      <c r="K19" s="1019"/>
      <c r="M19" s="976"/>
      <c r="N19" s="1072" t="s">
        <v>1206</v>
      </c>
      <c r="O19" s="1059"/>
      <c r="P19" s="1059"/>
      <c r="Q19" s="1059"/>
      <c r="R19" s="1059"/>
      <c r="S19" s="1059"/>
      <c r="T19" s="1060">
        <f t="shared" si="2"/>
        <v>0</v>
      </c>
      <c r="U19" s="1047"/>
      <c r="V19" s="1019"/>
    </row>
    <row r="20" spans="2:22" ht="20.25" customHeight="1">
      <c r="B20" s="976"/>
      <c r="C20" s="1072" t="s">
        <v>1194</v>
      </c>
      <c r="D20" s="1059">
        <v>540</v>
      </c>
      <c r="E20" s="1059">
        <f t="shared" si="3"/>
        <v>550.79999999999995</v>
      </c>
      <c r="F20" s="1059">
        <f t="shared" si="0"/>
        <v>561.81599999999992</v>
      </c>
      <c r="G20" s="1059">
        <f t="shared" si="0"/>
        <v>573.0523199999999</v>
      </c>
      <c r="H20" s="1059">
        <f t="shared" si="0"/>
        <v>584.51336639999988</v>
      </c>
      <c r="I20" s="1060">
        <f t="shared" si="1"/>
        <v>2810.1816863999998</v>
      </c>
      <c r="J20" s="1047"/>
      <c r="K20" s="1019"/>
      <c r="M20" s="976"/>
      <c r="N20" s="1072" t="s">
        <v>1207</v>
      </c>
      <c r="O20" s="1059"/>
      <c r="P20" s="1059"/>
      <c r="Q20" s="1059"/>
      <c r="R20" s="1059"/>
      <c r="S20" s="1059"/>
      <c r="T20" s="1060">
        <f t="shared" si="2"/>
        <v>0</v>
      </c>
      <c r="U20" s="1047"/>
      <c r="V20" s="1019"/>
    </row>
    <row r="21" spans="2:22" ht="20.25" customHeight="1">
      <c r="B21" s="976"/>
      <c r="C21" s="980"/>
      <c r="D21" s="1059"/>
      <c r="E21" s="1059"/>
      <c r="F21" s="1059"/>
      <c r="G21" s="1059"/>
      <c r="H21" s="1059"/>
      <c r="I21" s="1060"/>
      <c r="J21" s="1047"/>
      <c r="K21" s="1019"/>
      <c r="M21" s="976"/>
      <c r="N21" s="980"/>
      <c r="O21" s="1059"/>
      <c r="P21" s="1059"/>
      <c r="Q21" s="1059"/>
      <c r="R21" s="1059"/>
      <c r="S21" s="1059"/>
      <c r="T21" s="1060"/>
      <c r="U21" s="1047"/>
      <c r="V21" s="1019"/>
    </row>
    <row r="22" spans="2:22" ht="20.25" customHeight="1">
      <c r="B22" s="976"/>
      <c r="C22" s="1047"/>
      <c r="D22" s="1047"/>
      <c r="E22" s="1047"/>
      <c r="F22" s="1047"/>
      <c r="G22" s="1047"/>
      <c r="H22" s="1047"/>
      <c r="I22" s="1047"/>
      <c r="J22" s="1047"/>
      <c r="K22" s="1019"/>
      <c r="M22" s="976"/>
      <c r="N22" s="1047"/>
      <c r="O22" s="1047"/>
      <c r="P22" s="1047"/>
      <c r="Q22" s="1047"/>
      <c r="R22" s="1047"/>
      <c r="S22" s="1047"/>
      <c r="T22" s="1047"/>
      <c r="U22" s="1047"/>
      <c r="V22" s="1019"/>
    </row>
    <row r="23" spans="2:22" ht="20.25" customHeight="1">
      <c r="B23" s="976"/>
      <c r="C23" s="1052" t="s">
        <v>1184</v>
      </c>
      <c r="D23" s="1049"/>
      <c r="E23" s="1050"/>
      <c r="F23" s="1051"/>
      <c r="G23" s="1051"/>
      <c r="H23" s="1051"/>
      <c r="I23" s="1051"/>
      <c r="J23" s="1047"/>
      <c r="K23" s="1019"/>
      <c r="M23" s="976"/>
      <c r="N23" s="1052" t="s">
        <v>1184</v>
      </c>
      <c r="O23" s="1049"/>
      <c r="P23" s="1050"/>
      <c r="Q23" s="1051"/>
      <c r="R23" s="1051"/>
      <c r="S23" s="1051"/>
      <c r="T23" s="1051"/>
      <c r="U23" s="1047"/>
      <c r="V23" s="1019"/>
    </row>
    <row r="24" spans="2:22" ht="20.25" customHeight="1">
      <c r="B24" s="976"/>
      <c r="C24" s="1053"/>
      <c r="D24" s="1054" t="s">
        <v>1150</v>
      </c>
      <c r="E24" s="1054" t="s">
        <v>1151</v>
      </c>
      <c r="F24" s="1054" t="s">
        <v>1152</v>
      </c>
      <c r="G24" s="1054" t="s">
        <v>1153</v>
      </c>
      <c r="H24" s="1054" t="s">
        <v>1154</v>
      </c>
      <c r="I24" s="1047"/>
      <c r="J24" s="1047"/>
      <c r="K24" s="1019"/>
      <c r="M24" s="976"/>
      <c r="N24" s="1053"/>
      <c r="O24" s="1054" t="s">
        <v>1150</v>
      </c>
      <c r="P24" s="1054" t="s">
        <v>1151</v>
      </c>
      <c r="Q24" s="1054" t="s">
        <v>1152</v>
      </c>
      <c r="R24" s="1054" t="s">
        <v>1153</v>
      </c>
      <c r="S24" s="1054" t="s">
        <v>1154</v>
      </c>
      <c r="T24" s="1047"/>
      <c r="U24" s="1047"/>
      <c r="V24" s="1019"/>
    </row>
    <row r="25" spans="2:22" ht="20.25" customHeight="1">
      <c r="B25" s="976"/>
      <c r="C25" s="980" t="s">
        <v>1146</v>
      </c>
      <c r="D25" s="1048">
        <f>D11/12</f>
        <v>83.333333333333329</v>
      </c>
      <c r="E25" s="1048">
        <f t="shared" ref="E25:H25" si="4">E11/12</f>
        <v>87.5</v>
      </c>
      <c r="F25" s="1048">
        <f t="shared" si="4"/>
        <v>91.875</v>
      </c>
      <c r="G25" s="1048">
        <f t="shared" si="4"/>
        <v>96.46875</v>
      </c>
      <c r="H25" s="1048">
        <f t="shared" si="4"/>
        <v>101.29218750000001</v>
      </c>
      <c r="I25" s="1047"/>
      <c r="J25" s="1047"/>
      <c r="K25" s="1019"/>
      <c r="M25" s="976"/>
      <c r="N25" s="980" t="s">
        <v>1146</v>
      </c>
      <c r="O25" s="1048">
        <f>O11/12</f>
        <v>0</v>
      </c>
      <c r="P25" s="1048">
        <f t="shared" ref="P25:S25" si="5">P11/12</f>
        <v>0</v>
      </c>
      <c r="Q25" s="1048">
        <f t="shared" si="5"/>
        <v>0</v>
      </c>
      <c r="R25" s="1048">
        <f t="shared" si="5"/>
        <v>0</v>
      </c>
      <c r="S25" s="1048">
        <f t="shared" si="5"/>
        <v>0</v>
      </c>
      <c r="T25" s="1047"/>
      <c r="U25" s="1047"/>
      <c r="V25" s="1019"/>
    </row>
    <row r="26" spans="2:22" ht="20.25" customHeight="1">
      <c r="B26" s="976"/>
      <c r="C26" s="980" t="s">
        <v>1147</v>
      </c>
      <c r="D26" s="1048">
        <f t="shared" ref="D26:H26" si="6">D12/12</f>
        <v>202.5</v>
      </c>
      <c r="E26" s="1048">
        <f t="shared" si="6"/>
        <v>212.66666666666666</v>
      </c>
      <c r="F26" s="1048">
        <f t="shared" si="6"/>
        <v>223.25</v>
      </c>
      <c r="G26" s="1048">
        <f t="shared" si="6"/>
        <v>234.41666666666666</v>
      </c>
      <c r="H26" s="1048">
        <f t="shared" si="6"/>
        <v>246.16666666666666</v>
      </c>
      <c r="I26" s="1047"/>
      <c r="J26" s="1047"/>
      <c r="K26" s="1019"/>
      <c r="M26" s="976"/>
      <c r="N26" s="980" t="s">
        <v>1147</v>
      </c>
      <c r="O26" s="1048">
        <f t="shared" ref="O26:S26" si="7">O12/12</f>
        <v>0</v>
      </c>
      <c r="P26" s="1048">
        <f t="shared" si="7"/>
        <v>0</v>
      </c>
      <c r="Q26" s="1048">
        <f t="shared" si="7"/>
        <v>0</v>
      </c>
      <c r="R26" s="1048">
        <f t="shared" si="7"/>
        <v>0</v>
      </c>
      <c r="S26" s="1048">
        <f t="shared" si="7"/>
        <v>0</v>
      </c>
      <c r="T26" s="1047"/>
      <c r="U26" s="1047"/>
      <c r="V26" s="1019"/>
    </row>
    <row r="27" spans="2:22" ht="20.25" customHeight="1">
      <c r="B27" s="976"/>
      <c r="C27" s="980" t="s">
        <v>1148</v>
      </c>
      <c r="D27" s="1048">
        <f t="shared" ref="D27:H27" si="8">D13/12</f>
        <v>150</v>
      </c>
      <c r="E27" s="1048">
        <f t="shared" si="8"/>
        <v>157.5</v>
      </c>
      <c r="F27" s="1048">
        <f t="shared" si="8"/>
        <v>165.375</v>
      </c>
      <c r="G27" s="1048">
        <f t="shared" si="8"/>
        <v>173.64374999999998</v>
      </c>
      <c r="H27" s="1048">
        <f t="shared" si="8"/>
        <v>182.32593750000001</v>
      </c>
      <c r="I27" s="1047"/>
      <c r="J27" s="1047"/>
      <c r="K27" s="1019"/>
      <c r="M27" s="976"/>
      <c r="N27" s="980" t="s">
        <v>1148</v>
      </c>
      <c r="O27" s="1048">
        <f t="shared" ref="O27:S27" si="9">O13/12</f>
        <v>0</v>
      </c>
      <c r="P27" s="1048">
        <f t="shared" si="9"/>
        <v>0</v>
      </c>
      <c r="Q27" s="1048">
        <f t="shared" si="9"/>
        <v>0</v>
      </c>
      <c r="R27" s="1048">
        <f t="shared" si="9"/>
        <v>0</v>
      </c>
      <c r="S27" s="1048">
        <f t="shared" si="9"/>
        <v>0</v>
      </c>
      <c r="T27" s="1047"/>
      <c r="U27" s="1047"/>
      <c r="V27" s="1019"/>
    </row>
    <row r="28" spans="2:22" ht="20.25" customHeight="1">
      <c r="B28" s="976"/>
      <c r="C28" s="980" t="s">
        <v>1149</v>
      </c>
      <c r="D28" s="1048"/>
      <c r="E28" s="1048"/>
      <c r="F28" s="1048"/>
      <c r="G28" s="1048"/>
      <c r="H28" s="1048"/>
      <c r="I28" s="1047"/>
      <c r="J28" s="1047"/>
      <c r="K28" s="1019"/>
      <c r="M28" s="976"/>
      <c r="N28" s="980" t="s">
        <v>1149</v>
      </c>
      <c r="O28" s="1048"/>
      <c r="P28" s="1048"/>
      <c r="Q28" s="1048"/>
      <c r="R28" s="1048"/>
      <c r="S28" s="1048"/>
      <c r="T28" s="1047"/>
      <c r="U28" s="1047"/>
      <c r="V28" s="1019"/>
    </row>
    <row r="29" spans="2:22" ht="20.25" customHeight="1">
      <c r="B29" s="976"/>
      <c r="C29" s="1072" t="s">
        <v>1189</v>
      </c>
      <c r="D29" s="1048">
        <f>D15/12</f>
        <v>66</v>
      </c>
      <c r="E29" s="1048">
        <f t="shared" ref="E29:H29" si="10">E15/12</f>
        <v>67.320000000000007</v>
      </c>
      <c r="F29" s="1048">
        <f t="shared" si="10"/>
        <v>68.666399999999996</v>
      </c>
      <c r="G29" s="1048">
        <f t="shared" si="10"/>
        <v>70.039728000000011</v>
      </c>
      <c r="H29" s="1048">
        <f t="shared" si="10"/>
        <v>71.440522560000005</v>
      </c>
      <c r="I29" s="1047"/>
      <c r="J29" s="1047"/>
      <c r="K29" s="1019"/>
      <c r="M29" s="976"/>
      <c r="N29" s="1072" t="s">
        <v>1202</v>
      </c>
      <c r="O29" s="1048">
        <f>O15/12</f>
        <v>0</v>
      </c>
      <c r="P29" s="1048">
        <f t="shared" ref="P29:S29" si="11">P15/12</f>
        <v>0</v>
      </c>
      <c r="Q29" s="1048">
        <f t="shared" si="11"/>
        <v>0</v>
      </c>
      <c r="R29" s="1048">
        <f t="shared" si="11"/>
        <v>0</v>
      </c>
      <c r="S29" s="1048">
        <f t="shared" si="11"/>
        <v>0</v>
      </c>
      <c r="T29" s="1047"/>
      <c r="U29" s="1047"/>
      <c r="V29" s="1019"/>
    </row>
    <row r="30" spans="2:22" ht="20.25" customHeight="1">
      <c r="B30" s="976"/>
      <c r="C30" s="1072" t="s">
        <v>1190</v>
      </c>
      <c r="D30" s="1048">
        <f t="shared" ref="D30:H30" si="12">D16/12</f>
        <v>60</v>
      </c>
      <c r="E30" s="1048">
        <f t="shared" si="12"/>
        <v>61.199999999999996</v>
      </c>
      <c r="F30" s="1048">
        <f t="shared" si="12"/>
        <v>62.423999999999999</v>
      </c>
      <c r="G30" s="1048">
        <f t="shared" si="12"/>
        <v>63.67248</v>
      </c>
      <c r="H30" s="1048">
        <f t="shared" si="12"/>
        <v>64.945929599999999</v>
      </c>
      <c r="I30" s="1047"/>
      <c r="J30" s="1047"/>
      <c r="K30" s="1019"/>
      <c r="M30" s="976"/>
      <c r="N30" s="1072" t="s">
        <v>1203</v>
      </c>
      <c r="O30" s="1048">
        <f t="shared" ref="O30:S30" si="13">O16/12</f>
        <v>0</v>
      </c>
      <c r="P30" s="1048">
        <f t="shared" si="13"/>
        <v>0</v>
      </c>
      <c r="Q30" s="1048">
        <f t="shared" si="13"/>
        <v>0</v>
      </c>
      <c r="R30" s="1048">
        <f t="shared" si="13"/>
        <v>0</v>
      </c>
      <c r="S30" s="1048">
        <f t="shared" si="13"/>
        <v>0</v>
      </c>
      <c r="T30" s="1047"/>
      <c r="U30" s="1047"/>
      <c r="V30" s="1019"/>
    </row>
    <row r="31" spans="2:22" ht="20.25" customHeight="1">
      <c r="B31" s="976"/>
      <c r="C31" s="1072" t="s">
        <v>1191</v>
      </c>
      <c r="D31" s="1048">
        <f t="shared" ref="D31:H31" si="14">D17/12</f>
        <v>54</v>
      </c>
      <c r="E31" s="1048">
        <f t="shared" si="14"/>
        <v>55.080000000000005</v>
      </c>
      <c r="F31" s="1048">
        <f t="shared" si="14"/>
        <v>56.181600000000003</v>
      </c>
      <c r="G31" s="1048">
        <f t="shared" si="14"/>
        <v>57.305232000000011</v>
      </c>
      <c r="H31" s="1048">
        <f t="shared" si="14"/>
        <v>58.451336640000015</v>
      </c>
      <c r="I31" s="1047"/>
      <c r="J31" s="1047"/>
      <c r="K31" s="1019"/>
      <c r="M31" s="976"/>
      <c r="N31" s="1072" t="s">
        <v>1204</v>
      </c>
      <c r="O31" s="1048">
        <f t="shared" ref="O31:S31" si="15">O17/12</f>
        <v>0</v>
      </c>
      <c r="P31" s="1048">
        <f t="shared" si="15"/>
        <v>0</v>
      </c>
      <c r="Q31" s="1048">
        <f t="shared" si="15"/>
        <v>0</v>
      </c>
      <c r="R31" s="1048">
        <f t="shared" si="15"/>
        <v>0</v>
      </c>
      <c r="S31" s="1048">
        <f t="shared" si="15"/>
        <v>0</v>
      </c>
      <c r="T31" s="1047"/>
      <c r="U31" s="1047"/>
      <c r="V31" s="1019"/>
    </row>
    <row r="32" spans="2:22" ht="20.25" customHeight="1">
      <c r="B32" s="976"/>
      <c r="C32" s="1072" t="s">
        <v>1192</v>
      </c>
      <c r="D32" s="1048">
        <f t="shared" ref="D32:H32" si="16">D18/12</f>
        <v>50</v>
      </c>
      <c r="E32" s="1048">
        <f t="shared" si="16"/>
        <v>51</v>
      </c>
      <c r="F32" s="1048">
        <f t="shared" si="16"/>
        <v>52.02</v>
      </c>
      <c r="G32" s="1048">
        <f t="shared" si="16"/>
        <v>53.060400000000008</v>
      </c>
      <c r="H32" s="1048">
        <f t="shared" si="16"/>
        <v>54.121608000000009</v>
      </c>
      <c r="I32" s="1047"/>
      <c r="J32" s="1047"/>
      <c r="K32" s="1019"/>
      <c r="M32" s="976"/>
      <c r="N32" s="1072" t="s">
        <v>1205</v>
      </c>
      <c r="O32" s="1048">
        <f t="shared" ref="O32:S32" si="17">O18/12</f>
        <v>0</v>
      </c>
      <c r="P32" s="1048">
        <f t="shared" si="17"/>
        <v>0</v>
      </c>
      <c r="Q32" s="1048">
        <f t="shared" si="17"/>
        <v>0</v>
      </c>
      <c r="R32" s="1048">
        <f t="shared" si="17"/>
        <v>0</v>
      </c>
      <c r="S32" s="1048">
        <f t="shared" si="17"/>
        <v>0</v>
      </c>
      <c r="T32" s="1047"/>
      <c r="U32" s="1047"/>
      <c r="V32" s="1019"/>
    </row>
    <row r="33" spans="2:22" ht="20.25" customHeight="1">
      <c r="B33" s="976"/>
      <c r="C33" s="1072" t="s">
        <v>1193</v>
      </c>
      <c r="D33" s="1048">
        <f t="shared" ref="D33:H33" si="18">D19/12</f>
        <v>47</v>
      </c>
      <c r="E33" s="1048">
        <f t="shared" si="18"/>
        <v>47.94</v>
      </c>
      <c r="F33" s="1048">
        <f t="shared" si="18"/>
        <v>48.898799999999994</v>
      </c>
      <c r="G33" s="1048">
        <f t="shared" si="18"/>
        <v>49.876776</v>
      </c>
      <c r="H33" s="1048">
        <f t="shared" si="18"/>
        <v>50.874311519999999</v>
      </c>
      <c r="I33" s="1047"/>
      <c r="J33" s="1047"/>
      <c r="K33" s="1019"/>
      <c r="M33" s="976"/>
      <c r="N33" s="1072" t="s">
        <v>1206</v>
      </c>
      <c r="O33" s="1048">
        <f t="shared" ref="O33:S33" si="19">O19/12</f>
        <v>0</v>
      </c>
      <c r="P33" s="1048">
        <f t="shared" si="19"/>
        <v>0</v>
      </c>
      <c r="Q33" s="1048">
        <f t="shared" si="19"/>
        <v>0</v>
      </c>
      <c r="R33" s="1048">
        <f t="shared" si="19"/>
        <v>0</v>
      </c>
      <c r="S33" s="1048">
        <f t="shared" si="19"/>
        <v>0</v>
      </c>
      <c r="T33" s="1047"/>
      <c r="U33" s="1047"/>
      <c r="V33" s="1019"/>
    </row>
    <row r="34" spans="2:22" ht="20.25" customHeight="1">
      <c r="B34" s="976"/>
      <c r="C34" s="1072" t="s">
        <v>1194</v>
      </c>
      <c r="D34" s="1048">
        <f t="shared" ref="D34:H34" si="20">D20/12</f>
        <v>45</v>
      </c>
      <c r="E34" s="1048">
        <f t="shared" si="20"/>
        <v>45.9</v>
      </c>
      <c r="F34" s="1048">
        <f t="shared" si="20"/>
        <v>46.817999999999991</v>
      </c>
      <c r="G34" s="1048">
        <f t="shared" si="20"/>
        <v>47.754359999999991</v>
      </c>
      <c r="H34" s="1048">
        <f t="shared" si="20"/>
        <v>48.709447199999993</v>
      </c>
      <c r="I34" s="1047"/>
      <c r="J34" s="1047"/>
      <c r="K34" s="1019"/>
      <c r="M34" s="976"/>
      <c r="N34" s="1072" t="s">
        <v>1207</v>
      </c>
      <c r="O34" s="1048">
        <f t="shared" ref="O34:S34" si="21">O20/12</f>
        <v>0</v>
      </c>
      <c r="P34" s="1048">
        <f t="shared" si="21"/>
        <v>0</v>
      </c>
      <c r="Q34" s="1048">
        <f t="shared" si="21"/>
        <v>0</v>
      </c>
      <c r="R34" s="1048">
        <f t="shared" si="21"/>
        <v>0</v>
      </c>
      <c r="S34" s="1048">
        <f t="shared" si="21"/>
        <v>0</v>
      </c>
      <c r="T34" s="1047"/>
      <c r="U34" s="1047"/>
      <c r="V34" s="1019"/>
    </row>
    <row r="35" spans="2:22" ht="20.25" customHeight="1">
      <c r="B35" s="976"/>
      <c r="C35" s="980"/>
      <c r="D35" s="1048"/>
      <c r="E35" s="1048"/>
      <c r="F35" s="1048"/>
      <c r="G35" s="1048"/>
      <c r="H35" s="1048"/>
      <c r="I35" s="1047"/>
      <c r="J35" s="1047"/>
      <c r="K35" s="1019"/>
      <c r="M35" s="976"/>
      <c r="N35" s="980"/>
      <c r="O35" s="1048"/>
      <c r="P35" s="1048"/>
      <c r="Q35" s="1048"/>
      <c r="R35" s="1048"/>
      <c r="S35" s="1048"/>
      <c r="T35" s="1047"/>
      <c r="U35" s="1047"/>
      <c r="V35" s="1019"/>
    </row>
    <row r="36" spans="2:22" ht="20.25" customHeight="1">
      <c r="B36" s="976"/>
      <c r="C36" s="1047"/>
      <c r="D36" s="1047"/>
      <c r="E36" s="1047"/>
      <c r="F36" s="1047"/>
      <c r="G36" s="1047"/>
      <c r="H36" s="1047"/>
      <c r="I36" s="1047"/>
      <c r="J36" s="1047"/>
      <c r="K36" s="1019"/>
      <c r="M36" s="976"/>
      <c r="N36" s="1047"/>
      <c r="O36" s="1047"/>
      <c r="P36" s="1047"/>
      <c r="Q36" s="1047"/>
      <c r="R36" s="1047"/>
      <c r="S36" s="1047"/>
      <c r="T36" s="1047"/>
      <c r="U36" s="1047"/>
      <c r="V36" s="1019"/>
    </row>
    <row r="37" spans="2:22">
      <c r="B37" s="976"/>
      <c r="C37" s="1047"/>
      <c r="D37" s="1047"/>
      <c r="E37" s="1047"/>
      <c r="F37" s="1047"/>
      <c r="G37" s="1047"/>
      <c r="H37" s="1047"/>
      <c r="I37" s="1047"/>
      <c r="J37" s="1047"/>
      <c r="K37" s="1019"/>
      <c r="M37" s="976"/>
      <c r="N37" s="1047"/>
      <c r="O37" s="1047"/>
      <c r="P37" s="1047"/>
      <c r="Q37" s="1047"/>
      <c r="R37" s="1047"/>
      <c r="S37" s="1047"/>
      <c r="T37" s="1047"/>
      <c r="U37" s="1047"/>
      <c r="V37" s="1019"/>
    </row>
    <row r="38" spans="2:22" ht="15">
      <c r="B38" s="976"/>
      <c r="C38" s="1052" t="s">
        <v>1157</v>
      </c>
      <c r="D38" s="1049"/>
      <c r="E38" s="1050"/>
      <c r="F38" s="1051"/>
      <c r="G38" s="1051"/>
      <c r="H38" s="1051"/>
      <c r="I38" s="1051"/>
      <c r="J38" s="1047"/>
      <c r="K38" s="1019"/>
      <c r="M38" s="976"/>
      <c r="N38" s="1052" t="s">
        <v>1157</v>
      </c>
      <c r="O38" s="1049"/>
      <c r="P38" s="1050"/>
      <c r="Q38" s="1051"/>
      <c r="R38" s="1051"/>
      <c r="S38" s="1051"/>
      <c r="T38" s="1051"/>
      <c r="U38" s="1047"/>
      <c r="V38" s="1019"/>
    </row>
    <row r="39" spans="2:22" ht="20.25" customHeight="1">
      <c r="B39" s="976"/>
      <c r="C39" s="1019"/>
      <c r="D39" s="1054" t="s">
        <v>1150</v>
      </c>
      <c r="E39" s="1054" t="s">
        <v>1151</v>
      </c>
      <c r="F39" s="1054" t="s">
        <v>1152</v>
      </c>
      <c r="G39" s="1054" t="s">
        <v>1153</v>
      </c>
      <c r="H39" s="1054" t="s">
        <v>1154</v>
      </c>
      <c r="I39" s="1054" t="s">
        <v>74</v>
      </c>
      <c r="J39" s="1019"/>
      <c r="K39" s="1019"/>
      <c r="M39" s="976"/>
      <c r="N39" s="1019"/>
      <c r="O39" s="1054" t="s">
        <v>1150</v>
      </c>
      <c r="P39" s="1054" t="s">
        <v>1151</v>
      </c>
      <c r="Q39" s="1054" t="s">
        <v>1152</v>
      </c>
      <c r="R39" s="1054" t="s">
        <v>1153</v>
      </c>
      <c r="S39" s="1054" t="s">
        <v>1154</v>
      </c>
      <c r="T39" s="1054" t="s">
        <v>74</v>
      </c>
      <c r="U39" s="1019"/>
      <c r="V39" s="1019"/>
    </row>
    <row r="40" spans="2:22" ht="20.25" customHeight="1">
      <c r="B40" s="976"/>
      <c r="C40" s="980" t="s">
        <v>1155</v>
      </c>
      <c r="D40" s="1048">
        <f>SUM(D11:D12)</f>
        <v>3430</v>
      </c>
      <c r="E40" s="1048">
        <f t="shared" ref="E40:I40" si="22">SUM(E11:E12)</f>
        <v>3602</v>
      </c>
      <c r="F40" s="1048">
        <f t="shared" si="22"/>
        <v>3781.5</v>
      </c>
      <c r="G40" s="1048">
        <f t="shared" si="22"/>
        <v>3970.625</v>
      </c>
      <c r="H40" s="1048">
        <f t="shared" si="22"/>
        <v>4169.5062500000004</v>
      </c>
      <c r="I40" s="1060">
        <f t="shared" si="22"/>
        <v>18953.631249999999</v>
      </c>
      <c r="J40" s="1047"/>
      <c r="K40" s="1019"/>
      <c r="M40" s="976"/>
      <c r="N40" s="980" t="s">
        <v>1155</v>
      </c>
      <c r="O40" s="1048">
        <f>SUM(O11:O12)</f>
        <v>0</v>
      </c>
      <c r="P40" s="1048">
        <f t="shared" ref="P40:T40" si="23">SUM(P11:P12)</f>
        <v>0</v>
      </c>
      <c r="Q40" s="1048">
        <f t="shared" si="23"/>
        <v>0</v>
      </c>
      <c r="R40" s="1048">
        <f t="shared" si="23"/>
        <v>0</v>
      </c>
      <c r="S40" s="1048">
        <f t="shared" si="23"/>
        <v>0</v>
      </c>
      <c r="T40" s="1060">
        <f t="shared" si="23"/>
        <v>0</v>
      </c>
      <c r="U40" s="1047"/>
      <c r="V40" s="1019"/>
    </row>
    <row r="41" spans="2:22" ht="20.25" customHeight="1">
      <c r="B41" s="976"/>
      <c r="C41" s="980" t="s">
        <v>1156</v>
      </c>
      <c r="D41" s="1048">
        <f>SUM(D11:D13)</f>
        <v>5230</v>
      </c>
      <c r="E41" s="1048">
        <f t="shared" ref="E41:I41" si="24">SUM(E11:E13)</f>
        <v>5492</v>
      </c>
      <c r="F41" s="1048">
        <f t="shared" si="24"/>
        <v>5766</v>
      </c>
      <c r="G41" s="1048">
        <f t="shared" si="24"/>
        <v>6054.35</v>
      </c>
      <c r="H41" s="1048">
        <f t="shared" si="24"/>
        <v>6357.4175000000005</v>
      </c>
      <c r="I41" s="1060">
        <f t="shared" si="24"/>
        <v>28899.767499999998</v>
      </c>
      <c r="J41" s="1047"/>
      <c r="K41" s="1019"/>
      <c r="M41" s="976"/>
      <c r="N41" s="980" t="s">
        <v>1156</v>
      </c>
      <c r="O41" s="1048">
        <f>SUM(O11:O13)</f>
        <v>0</v>
      </c>
      <c r="P41" s="1048">
        <f t="shared" ref="P41:T41" si="25">SUM(P11:P13)</f>
        <v>0</v>
      </c>
      <c r="Q41" s="1048">
        <f t="shared" si="25"/>
        <v>0</v>
      </c>
      <c r="R41" s="1048">
        <f t="shared" si="25"/>
        <v>0</v>
      </c>
      <c r="S41" s="1048">
        <f t="shared" si="25"/>
        <v>0</v>
      </c>
      <c r="T41" s="1060">
        <f t="shared" si="25"/>
        <v>0</v>
      </c>
      <c r="U41" s="1047"/>
      <c r="V41" s="1019"/>
    </row>
    <row r="42" spans="2:22" ht="20.25" customHeight="1">
      <c r="B42" s="976"/>
      <c r="C42" s="980"/>
      <c r="D42" s="1048"/>
      <c r="E42" s="1048"/>
      <c r="F42" s="1048"/>
      <c r="G42" s="1048"/>
      <c r="H42" s="1048"/>
      <c r="I42" s="1060"/>
      <c r="J42" s="1047"/>
      <c r="K42" s="1019"/>
      <c r="M42" s="976"/>
      <c r="N42" s="980"/>
      <c r="O42" s="1048"/>
      <c r="P42" s="1048"/>
      <c r="Q42" s="1048"/>
      <c r="R42" s="1048"/>
      <c r="S42" s="1048"/>
      <c r="T42" s="1060"/>
      <c r="U42" s="1047"/>
      <c r="V42" s="1019"/>
    </row>
    <row r="43" spans="2:22" ht="20.25" customHeight="1">
      <c r="B43" s="976"/>
      <c r="C43" s="980"/>
      <c r="D43" s="1048"/>
      <c r="E43" s="1048"/>
      <c r="F43" s="1048"/>
      <c r="G43" s="1048"/>
      <c r="H43" s="1048"/>
      <c r="I43" s="1047"/>
      <c r="J43" s="1047"/>
      <c r="K43" s="1019"/>
      <c r="M43" s="976"/>
      <c r="N43" s="980"/>
      <c r="O43" s="1048"/>
      <c r="P43" s="1048"/>
      <c r="Q43" s="1048"/>
      <c r="R43" s="1048"/>
      <c r="S43" s="1048"/>
      <c r="T43" s="1047"/>
      <c r="U43" s="1047"/>
      <c r="V43" s="1019"/>
    </row>
    <row r="44" spans="2:22" ht="20.25" customHeight="1">
      <c r="B44" s="976"/>
      <c r="C44" s="980"/>
      <c r="D44" s="1048"/>
      <c r="E44" s="1048"/>
      <c r="F44" s="1048"/>
      <c r="G44" s="1048"/>
      <c r="H44" s="1048"/>
      <c r="I44" s="1047"/>
      <c r="J44" s="1047"/>
      <c r="K44" s="1019"/>
      <c r="M44" s="976"/>
      <c r="N44" s="980"/>
      <c r="O44" s="1048"/>
      <c r="P44" s="1048"/>
      <c r="Q44" s="1048"/>
      <c r="R44" s="1048"/>
      <c r="S44" s="1048"/>
      <c r="T44" s="1047"/>
      <c r="U44" s="1047"/>
      <c r="V44" s="1019"/>
    </row>
    <row r="45" spans="2:22" ht="20.25" customHeight="1">
      <c r="B45" s="976"/>
      <c r="C45" s="1052" t="s">
        <v>1172</v>
      </c>
      <c r="D45" s="1063"/>
      <c r="E45" s="1063"/>
      <c r="F45" s="1063"/>
      <c r="G45" s="1063"/>
      <c r="H45" s="1063"/>
      <c r="I45" s="1050"/>
      <c r="J45" s="1050"/>
      <c r="K45" s="1019"/>
      <c r="M45" s="976"/>
      <c r="N45" s="1052" t="s">
        <v>1172</v>
      </c>
      <c r="O45" s="1063"/>
      <c r="P45" s="1063"/>
      <c r="Q45" s="1063"/>
      <c r="R45" s="1063"/>
      <c r="S45" s="1063"/>
      <c r="T45" s="1050"/>
      <c r="U45" s="1050"/>
      <c r="V45" s="1019"/>
    </row>
    <row r="46" spans="2:22" ht="20.25" customHeight="1">
      <c r="B46" s="976"/>
      <c r="C46" s="1061" t="s">
        <v>1171</v>
      </c>
      <c r="D46" s="1061"/>
      <c r="E46" s="1062"/>
      <c r="F46" s="1062"/>
      <c r="G46" s="1062"/>
      <c r="H46" s="1062"/>
      <c r="I46" s="1061"/>
      <c r="J46" s="1061"/>
      <c r="K46" s="1019"/>
      <c r="M46" s="976"/>
      <c r="N46" s="1061" t="s">
        <v>1171</v>
      </c>
      <c r="O46" s="1061"/>
      <c r="P46" s="1062"/>
      <c r="Q46" s="1062"/>
      <c r="R46" s="1062"/>
      <c r="S46" s="1062"/>
      <c r="T46" s="1061"/>
      <c r="U46" s="1061"/>
      <c r="V46" s="1019"/>
    </row>
    <row r="47" spans="2:22" ht="28.5" customHeight="1">
      <c r="B47" s="976"/>
      <c r="C47" s="1619" t="s">
        <v>1158</v>
      </c>
      <c r="D47" s="1619"/>
      <c r="E47" s="1619"/>
      <c r="F47" s="1619"/>
      <c r="G47" s="1619"/>
      <c r="H47" s="1619"/>
      <c r="I47" s="1619"/>
      <c r="J47" s="1619"/>
      <c r="K47" s="1019"/>
      <c r="M47" s="976"/>
      <c r="N47" s="1619" t="s">
        <v>1158</v>
      </c>
      <c r="O47" s="1619"/>
      <c r="P47" s="1619"/>
      <c r="Q47" s="1619"/>
      <c r="R47" s="1619"/>
      <c r="S47" s="1619"/>
      <c r="T47" s="1619"/>
      <c r="U47" s="1619"/>
      <c r="V47" s="1019"/>
    </row>
    <row r="48" spans="2:22" ht="28.5" customHeight="1">
      <c r="B48" s="976"/>
      <c r="C48" s="1619" t="s">
        <v>1159</v>
      </c>
      <c r="D48" s="1619"/>
      <c r="E48" s="1619"/>
      <c r="F48" s="1619"/>
      <c r="G48" s="1619"/>
      <c r="H48" s="1619"/>
      <c r="I48" s="1619"/>
      <c r="J48" s="1619"/>
      <c r="K48" s="1019"/>
      <c r="M48" s="976"/>
      <c r="N48" s="1619" t="s">
        <v>1159</v>
      </c>
      <c r="O48" s="1619"/>
      <c r="P48" s="1619"/>
      <c r="Q48" s="1619"/>
      <c r="R48" s="1619"/>
      <c r="S48" s="1619"/>
      <c r="T48" s="1619"/>
      <c r="U48" s="1619"/>
      <c r="V48" s="1019"/>
    </row>
    <row r="49" spans="2:22">
      <c r="B49" s="976"/>
      <c r="C49" s="1619" t="s">
        <v>1160</v>
      </c>
      <c r="D49" s="1619"/>
      <c r="E49" s="1619"/>
      <c r="F49" s="1619"/>
      <c r="G49" s="1619"/>
      <c r="H49" s="1619"/>
      <c r="I49" s="1619"/>
      <c r="J49" s="1619"/>
      <c r="K49" s="1019"/>
      <c r="M49" s="976"/>
      <c r="N49" s="1619" t="s">
        <v>1160</v>
      </c>
      <c r="O49" s="1619"/>
      <c r="P49" s="1619"/>
      <c r="Q49" s="1619"/>
      <c r="R49" s="1619"/>
      <c r="S49" s="1619"/>
      <c r="T49" s="1619"/>
      <c r="U49" s="1619"/>
      <c r="V49" s="1019"/>
    </row>
    <row r="50" spans="2:22" ht="28.5" customHeight="1">
      <c r="B50" s="976"/>
      <c r="C50" s="1619" t="s">
        <v>1161</v>
      </c>
      <c r="D50" s="1619"/>
      <c r="E50" s="1619"/>
      <c r="F50" s="1619"/>
      <c r="G50" s="1619"/>
      <c r="H50" s="1619"/>
      <c r="I50" s="1619"/>
      <c r="J50" s="1619"/>
      <c r="K50" s="1019"/>
      <c r="M50" s="976"/>
      <c r="N50" s="1619" t="s">
        <v>1161</v>
      </c>
      <c r="O50" s="1619"/>
      <c r="P50" s="1619"/>
      <c r="Q50" s="1619"/>
      <c r="R50" s="1619"/>
      <c r="S50" s="1619"/>
      <c r="T50" s="1619"/>
      <c r="U50" s="1619"/>
      <c r="V50" s="1019"/>
    </row>
    <row r="51" spans="2:22" ht="33" customHeight="1">
      <c r="B51" s="976"/>
      <c r="C51" s="1619" t="s">
        <v>1162</v>
      </c>
      <c r="D51" s="1619"/>
      <c r="E51" s="1619"/>
      <c r="F51" s="1619"/>
      <c r="G51" s="1619"/>
      <c r="H51" s="1619"/>
      <c r="I51" s="1619"/>
      <c r="J51" s="1619"/>
      <c r="K51" s="1019"/>
      <c r="M51" s="976"/>
      <c r="N51" s="1619" t="s">
        <v>1162</v>
      </c>
      <c r="O51" s="1619"/>
      <c r="P51" s="1619"/>
      <c r="Q51" s="1619"/>
      <c r="R51" s="1619"/>
      <c r="S51" s="1619"/>
      <c r="T51" s="1619"/>
      <c r="U51" s="1619"/>
      <c r="V51" s="1019"/>
    </row>
    <row r="52" spans="2:22" ht="40.5" customHeight="1">
      <c r="B52" s="976"/>
      <c r="C52" s="1619" t="s">
        <v>1163</v>
      </c>
      <c r="D52" s="1619"/>
      <c r="E52" s="1619"/>
      <c r="F52" s="1619"/>
      <c r="G52" s="1619"/>
      <c r="H52" s="1619"/>
      <c r="I52" s="1619"/>
      <c r="J52" s="1619"/>
      <c r="K52" s="1019"/>
      <c r="M52" s="976"/>
      <c r="N52" s="1619" t="s">
        <v>1163</v>
      </c>
      <c r="O52" s="1619"/>
      <c r="P52" s="1619"/>
      <c r="Q52" s="1619"/>
      <c r="R52" s="1619"/>
      <c r="S52" s="1619"/>
      <c r="T52" s="1619"/>
      <c r="U52" s="1619"/>
      <c r="V52" s="1019"/>
    </row>
    <row r="53" spans="2:22" ht="28.5" customHeight="1">
      <c r="B53" s="976"/>
      <c r="C53" s="1619" t="s">
        <v>1164</v>
      </c>
      <c r="D53" s="1619"/>
      <c r="E53" s="1619"/>
      <c r="F53" s="1619"/>
      <c r="G53" s="1619"/>
      <c r="H53" s="1619"/>
      <c r="I53" s="1619"/>
      <c r="J53" s="1619"/>
      <c r="K53" s="1019"/>
      <c r="M53" s="976"/>
      <c r="N53" s="1619" t="s">
        <v>1164</v>
      </c>
      <c r="O53" s="1619"/>
      <c r="P53" s="1619"/>
      <c r="Q53" s="1619"/>
      <c r="R53" s="1619"/>
      <c r="S53" s="1619"/>
      <c r="T53" s="1619"/>
      <c r="U53" s="1619"/>
      <c r="V53" s="1019"/>
    </row>
    <row r="54" spans="2:22">
      <c r="B54" s="976"/>
      <c r="C54" s="1619" t="s">
        <v>1165</v>
      </c>
      <c r="D54" s="1619"/>
      <c r="E54" s="1619"/>
      <c r="F54" s="1619"/>
      <c r="G54" s="1619"/>
      <c r="H54" s="1619"/>
      <c r="I54" s="1619"/>
      <c r="J54" s="1619"/>
      <c r="K54" s="1019"/>
      <c r="M54" s="976"/>
      <c r="N54" s="1619" t="s">
        <v>1165</v>
      </c>
      <c r="O54" s="1619"/>
      <c r="P54" s="1619"/>
      <c r="Q54" s="1619"/>
      <c r="R54" s="1619"/>
      <c r="S54" s="1619"/>
      <c r="T54" s="1619"/>
      <c r="U54" s="1619"/>
      <c r="V54" s="1019"/>
    </row>
    <row r="55" spans="2:22" ht="28.5" customHeight="1">
      <c r="B55" s="976"/>
      <c r="C55" s="1619" t="s">
        <v>1169</v>
      </c>
      <c r="D55" s="1619"/>
      <c r="E55" s="1619"/>
      <c r="F55" s="1619"/>
      <c r="G55" s="1619"/>
      <c r="H55" s="1619"/>
      <c r="I55" s="1619"/>
      <c r="J55" s="1619"/>
      <c r="K55" s="1019"/>
      <c r="M55" s="976"/>
      <c r="N55" s="1619" t="s">
        <v>1169</v>
      </c>
      <c r="O55" s="1619"/>
      <c r="P55" s="1619"/>
      <c r="Q55" s="1619"/>
      <c r="R55" s="1619"/>
      <c r="S55" s="1619"/>
      <c r="T55" s="1619"/>
      <c r="U55" s="1619"/>
      <c r="V55" s="1019"/>
    </row>
    <row r="56" spans="2:22" ht="66" customHeight="1">
      <c r="B56" s="976"/>
      <c r="C56" s="1619" t="s">
        <v>1166</v>
      </c>
      <c r="D56" s="1619"/>
      <c r="E56" s="1619"/>
      <c r="F56" s="1619"/>
      <c r="G56" s="1619"/>
      <c r="H56" s="1619"/>
      <c r="I56" s="1619"/>
      <c r="J56" s="1619"/>
      <c r="K56" s="1019"/>
      <c r="M56" s="976"/>
      <c r="N56" s="1619" t="s">
        <v>1166</v>
      </c>
      <c r="O56" s="1619"/>
      <c r="P56" s="1619"/>
      <c r="Q56" s="1619"/>
      <c r="R56" s="1619"/>
      <c r="S56" s="1619"/>
      <c r="T56" s="1619"/>
      <c r="U56" s="1619"/>
      <c r="V56" s="1019"/>
    </row>
    <row r="57" spans="2:22" ht="57" customHeight="1">
      <c r="B57" s="976"/>
      <c r="C57" s="1619" t="s">
        <v>1167</v>
      </c>
      <c r="D57" s="1619"/>
      <c r="E57" s="1619"/>
      <c r="F57" s="1619"/>
      <c r="G57" s="1619"/>
      <c r="H57" s="1619"/>
      <c r="I57" s="1619"/>
      <c r="J57" s="1619"/>
      <c r="K57" s="1019"/>
      <c r="M57" s="976"/>
      <c r="N57" s="1619" t="s">
        <v>1167</v>
      </c>
      <c r="O57" s="1619"/>
      <c r="P57" s="1619"/>
      <c r="Q57" s="1619"/>
      <c r="R57" s="1619"/>
      <c r="S57" s="1619"/>
      <c r="T57" s="1619"/>
      <c r="U57" s="1619"/>
      <c r="V57" s="1019"/>
    </row>
    <row r="58" spans="2:22" ht="18" customHeight="1">
      <c r="B58" s="976"/>
      <c r="C58" s="1619" t="s">
        <v>1170</v>
      </c>
      <c r="D58" s="1619"/>
      <c r="E58" s="1619"/>
      <c r="F58" s="1619"/>
      <c r="G58" s="1619"/>
      <c r="H58" s="1619"/>
      <c r="I58" s="1619"/>
      <c r="J58" s="1619"/>
      <c r="K58" s="1019"/>
      <c r="M58" s="976"/>
      <c r="N58" s="1619" t="s">
        <v>1170</v>
      </c>
      <c r="O58" s="1619"/>
      <c r="P58" s="1619"/>
      <c r="Q58" s="1619"/>
      <c r="R58" s="1619"/>
      <c r="S58" s="1619"/>
      <c r="T58" s="1619"/>
      <c r="U58" s="1619"/>
      <c r="V58" s="1019"/>
    </row>
    <row r="59" spans="2:22" ht="30.75" customHeight="1">
      <c r="B59" s="976"/>
      <c r="C59" s="1619" t="s">
        <v>1168</v>
      </c>
      <c r="D59" s="1619"/>
      <c r="E59" s="1619"/>
      <c r="F59" s="1619"/>
      <c r="G59" s="1619"/>
      <c r="H59" s="1619"/>
      <c r="I59" s="1619"/>
      <c r="J59" s="1619"/>
      <c r="K59" s="1019"/>
      <c r="M59" s="976"/>
      <c r="N59" s="1619" t="s">
        <v>1168</v>
      </c>
      <c r="O59" s="1619"/>
      <c r="P59" s="1619"/>
      <c r="Q59" s="1619"/>
      <c r="R59" s="1619"/>
      <c r="S59" s="1619"/>
      <c r="T59" s="1619"/>
      <c r="U59" s="1619"/>
      <c r="V59" s="1019"/>
    </row>
    <row r="60" spans="2:22">
      <c r="B60" s="976"/>
      <c r="C60" s="980"/>
      <c r="D60" s="1047"/>
      <c r="E60" s="1048"/>
      <c r="F60" s="1048"/>
      <c r="G60" s="1048"/>
      <c r="H60" s="1048"/>
      <c r="I60" s="1047"/>
      <c r="J60" s="1047"/>
      <c r="K60" s="1019"/>
      <c r="M60" s="976"/>
      <c r="N60" s="980"/>
      <c r="O60" s="1047"/>
      <c r="P60" s="1048"/>
      <c r="Q60" s="1048"/>
      <c r="R60" s="1048"/>
      <c r="S60" s="1048"/>
      <c r="T60" s="1047"/>
      <c r="U60" s="1047"/>
      <c r="V60" s="1019"/>
    </row>
    <row r="61" spans="2:22" ht="20.25" customHeight="1">
      <c r="B61" s="976"/>
      <c r="C61" s="980"/>
      <c r="D61" s="1047"/>
      <c r="E61" s="1048"/>
      <c r="F61" s="1048"/>
      <c r="G61" s="1048"/>
      <c r="H61" s="1048"/>
      <c r="I61" s="1047"/>
      <c r="J61" s="1047"/>
      <c r="K61" s="1019"/>
      <c r="M61" s="976"/>
      <c r="N61" s="980"/>
      <c r="O61" s="1047"/>
      <c r="P61" s="1048"/>
      <c r="Q61" s="1048"/>
      <c r="R61" s="1048"/>
      <c r="S61" s="1048"/>
      <c r="T61" s="1047"/>
      <c r="U61" s="1047"/>
      <c r="V61" s="1019"/>
    </row>
    <row r="62" spans="2:22" ht="20.25" customHeight="1">
      <c r="B62" s="976"/>
      <c r="C62" s="980"/>
      <c r="D62" s="1047"/>
      <c r="E62" s="1048"/>
      <c r="F62" s="1048"/>
      <c r="G62" s="1048"/>
      <c r="H62" s="1048"/>
      <c r="I62" s="1047"/>
      <c r="J62" s="1047"/>
      <c r="K62" s="1019"/>
      <c r="M62" s="976"/>
      <c r="N62" s="980"/>
      <c r="O62" s="1047"/>
      <c r="P62" s="1048"/>
      <c r="Q62" s="1048"/>
      <c r="R62" s="1048"/>
      <c r="S62" s="1048"/>
      <c r="T62" s="1047"/>
      <c r="U62" s="1047"/>
      <c r="V62" s="1019"/>
    </row>
    <row r="63" spans="2:22">
      <c r="B63" s="976"/>
      <c r="C63" s="976"/>
      <c r="D63" s="976"/>
      <c r="E63" s="976"/>
      <c r="F63" s="976"/>
      <c r="G63" s="976"/>
      <c r="H63" s="976"/>
      <c r="I63" s="976"/>
      <c r="J63" s="976"/>
      <c r="K63" s="976"/>
      <c r="M63" s="976"/>
      <c r="N63" s="976"/>
      <c r="O63" s="976"/>
      <c r="P63" s="976"/>
      <c r="Q63" s="976"/>
      <c r="R63" s="976"/>
      <c r="S63" s="976"/>
      <c r="T63" s="976"/>
      <c r="U63" s="976"/>
      <c r="V63" s="976"/>
    </row>
    <row r="64" spans="2:22">
      <c r="B64" s="976"/>
      <c r="C64" s="976"/>
      <c r="D64" s="976"/>
      <c r="E64" s="976"/>
      <c r="F64" s="976"/>
      <c r="G64" s="976"/>
      <c r="H64" s="976"/>
      <c r="I64" s="976"/>
      <c r="J64" s="976"/>
      <c r="K64" s="976"/>
      <c r="M64" s="976"/>
      <c r="N64" s="976"/>
      <c r="O64" s="976"/>
      <c r="P64" s="976"/>
      <c r="Q64" s="976"/>
      <c r="R64" s="976"/>
      <c r="S64" s="976"/>
      <c r="T64" s="976"/>
      <c r="U64" s="976"/>
      <c r="V64" s="976"/>
    </row>
  </sheetData>
  <sheetProtection selectLockedCells="1"/>
  <mergeCells count="26">
    <mergeCell ref="C47:J47"/>
    <mergeCell ref="C48:J48"/>
    <mergeCell ref="C49:J49"/>
    <mergeCell ref="C56:J56"/>
    <mergeCell ref="C57:J57"/>
    <mergeCell ref="C58:J58"/>
    <mergeCell ref="C59:J59"/>
    <mergeCell ref="C50:J50"/>
    <mergeCell ref="C51:J51"/>
    <mergeCell ref="C52:J52"/>
    <mergeCell ref="C53:J53"/>
    <mergeCell ref="C54:J54"/>
    <mergeCell ref="C55:J55"/>
    <mergeCell ref="N47:U47"/>
    <mergeCell ref="N48:U48"/>
    <mergeCell ref="N49:U49"/>
    <mergeCell ref="N50:U50"/>
    <mergeCell ref="N51:U51"/>
    <mergeCell ref="N57:U57"/>
    <mergeCell ref="N58:U58"/>
    <mergeCell ref="N59:U59"/>
    <mergeCell ref="N52:U52"/>
    <mergeCell ref="N53:U53"/>
    <mergeCell ref="N54:U54"/>
    <mergeCell ref="N55:U55"/>
    <mergeCell ref="N56:U56"/>
  </mergeCells>
  <pageMargins left="0.7" right="0.7" top="0.75" bottom="0.75" header="0.3" footer="0.3"/>
  <pageSetup paperSize="9" orientation="portrait" r:id="rId1"/>
  <ignoredErrors>
    <ignoredError sqref="D40:I41" formulaRange="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theme="0"/>
    <pageSetUpPr fitToPage="1"/>
  </sheetPr>
  <dimension ref="B3:BK416"/>
  <sheetViews>
    <sheetView showGridLines="0" showRowColHeaders="0" zoomScaleNormal="100" workbookViewId="0">
      <selection activeCell="D9" sqref="D9"/>
    </sheetView>
  </sheetViews>
  <sheetFormatPr defaultColWidth="9.140625" defaultRowHeight="12.75"/>
  <cols>
    <col min="1" max="1" width="9.140625" style="579" customWidth="1"/>
    <col min="2" max="2" width="9.140625" style="579"/>
    <col min="3" max="3" width="16.42578125" style="754" customWidth="1"/>
    <col min="4" max="4" width="13.140625" style="754" customWidth="1"/>
    <col min="5" max="5" width="51.5703125" style="579" bestFit="1" customWidth="1"/>
    <col min="6" max="6" width="9.42578125" style="767" bestFit="1" customWidth="1"/>
    <col min="7" max="7" width="11.85546875" style="579" bestFit="1" customWidth="1"/>
    <col min="8" max="8" width="10.85546875" style="579" customWidth="1"/>
    <col min="9" max="9" width="7.5703125" style="578" customWidth="1"/>
    <col min="10" max="10" width="9.140625" style="522" customWidth="1"/>
    <col min="11" max="15" width="9.140625" style="522" hidden="1" customWidth="1"/>
    <col min="16" max="16" width="22.5703125" style="522" hidden="1" customWidth="1"/>
    <col min="17" max="22" width="9.140625" style="522" hidden="1" customWidth="1"/>
    <col min="23" max="23" width="9.85546875" style="522" hidden="1" customWidth="1"/>
    <col min="24" max="27" width="9.140625" style="522" hidden="1" customWidth="1"/>
    <col min="28" max="28" width="22.5703125" style="522" hidden="1" customWidth="1"/>
    <col min="29" max="29" width="19.85546875" style="522" hidden="1" customWidth="1"/>
    <col min="30" max="30" width="21" style="522" hidden="1" customWidth="1"/>
    <col min="31" max="31" width="21.7109375" style="522" hidden="1" customWidth="1"/>
    <col min="32" max="59" width="9.140625" style="522" hidden="1" customWidth="1"/>
    <col min="60" max="60" width="9.140625" style="522" customWidth="1"/>
    <col min="61" max="61" width="9.140625" style="522"/>
    <col min="62" max="62" width="10.28515625" style="767" bestFit="1" customWidth="1"/>
    <col min="63" max="16384" width="9.140625" style="579"/>
  </cols>
  <sheetData>
    <row r="3" spans="2:22">
      <c r="B3" s="520"/>
      <c r="C3" s="520"/>
      <c r="D3" s="520"/>
      <c r="E3" s="520"/>
      <c r="F3" s="520"/>
      <c r="G3" s="520"/>
      <c r="H3" s="520"/>
      <c r="I3" s="521"/>
    </row>
    <row r="4" spans="2:22" ht="23.25">
      <c r="B4" s="523"/>
      <c r="C4" s="524"/>
      <c r="D4" s="524"/>
      <c r="E4" s="525"/>
      <c r="F4" s="526"/>
      <c r="G4" s="525"/>
      <c r="H4" s="525"/>
      <c r="I4" s="527"/>
    </row>
    <row r="5" spans="2:22">
      <c r="B5" s="520"/>
      <c r="C5" s="528"/>
      <c r="D5" s="528"/>
      <c r="E5" s="520"/>
      <c r="F5" s="529"/>
      <c r="G5" s="520"/>
      <c r="H5" s="520"/>
      <c r="I5" s="527"/>
    </row>
    <row r="6" spans="2:22">
      <c r="B6" s="520"/>
      <c r="C6" s="528"/>
      <c r="D6" s="528"/>
      <c r="E6" s="520"/>
      <c r="F6" s="529"/>
      <c r="G6" s="520"/>
      <c r="H6" s="520"/>
      <c r="I6" s="527"/>
    </row>
    <row r="7" spans="2:22">
      <c r="B7" s="520"/>
      <c r="C7" s="528"/>
      <c r="D7" s="528"/>
      <c r="E7" s="528"/>
      <c r="F7" s="529"/>
      <c r="G7" s="520"/>
      <c r="H7" s="520"/>
      <c r="I7" s="527"/>
      <c r="M7" s="522">
        <v>1</v>
      </c>
      <c r="N7" s="522">
        <v>2</v>
      </c>
      <c r="U7" s="522">
        <v>1</v>
      </c>
      <c r="V7" s="522" t="e">
        <f>#REF!&amp;V10</f>
        <v>#REF!</v>
      </c>
    </row>
    <row r="8" spans="2:22" hidden="1">
      <c r="B8" s="520"/>
      <c r="C8" s="55" t="s">
        <v>298</v>
      </c>
      <c r="D8" s="348" t="s">
        <v>97</v>
      </c>
      <c r="E8" s="528"/>
      <c r="F8" s="529"/>
      <c r="G8" s="520"/>
      <c r="H8" s="520"/>
      <c r="I8" s="527"/>
      <c r="M8" s="522">
        <v>2</v>
      </c>
      <c r="N8" s="522">
        <v>4</v>
      </c>
      <c r="U8" s="522">
        <v>2</v>
      </c>
      <c r="V8" s="522" t="e">
        <f>E78&amp;V10</f>
        <v>#REF!</v>
      </c>
    </row>
    <row r="9" spans="2:22">
      <c r="B9" s="520"/>
      <c r="C9" s="994" t="s">
        <v>1126</v>
      </c>
      <c r="D9" s="348"/>
      <c r="E9" s="528"/>
      <c r="F9" s="529"/>
      <c r="G9" s="520"/>
      <c r="H9" s="520"/>
      <c r="I9" s="527"/>
    </row>
    <row r="10" spans="2:22">
      <c r="B10" s="520"/>
      <c r="C10" s="772" t="s">
        <v>303</v>
      </c>
      <c r="D10" s="773">
        <f>IF(D8="Yes",CP!J8,IF(D8="No",CP!H8,0%))</f>
        <v>0.2</v>
      </c>
      <c r="E10" s="530"/>
      <c r="F10" s="529"/>
      <c r="G10" s="520"/>
      <c r="H10" s="520"/>
      <c r="I10" s="527"/>
      <c r="M10" s="522">
        <v>3</v>
      </c>
      <c r="N10" s="522">
        <v>6</v>
      </c>
      <c r="U10" s="522" t="e">
        <f>FIND("m",#REF!,1)</f>
        <v>#REF!</v>
      </c>
      <c r="V10" s="522" t="e">
        <f>TRIM(LEFT(#REF!,(U10-3)))</f>
        <v>#REF!</v>
      </c>
    </row>
    <row r="11" spans="2:22" ht="13.5" thickBot="1">
      <c r="B11" s="520"/>
      <c r="C11" s="772" t="s">
        <v>304</v>
      </c>
      <c r="D11" s="773">
        <f>IF(D8="Yes",CP!I8,IF(D8="No",CP!G8,0%))</f>
        <v>0.12</v>
      </c>
      <c r="E11" s="530"/>
      <c r="F11" s="529"/>
      <c r="G11" s="520"/>
      <c r="H11" s="520"/>
      <c r="I11" s="527"/>
      <c r="M11" s="522">
        <v>4</v>
      </c>
      <c r="N11" s="522">
        <v>8</v>
      </c>
    </row>
    <row r="12" spans="2:22" ht="16.5" thickBot="1">
      <c r="B12" s="520"/>
      <c r="C12" s="531" t="s">
        <v>43</v>
      </c>
      <c r="D12" s="532"/>
      <c r="E12" s="913"/>
      <c r="F12" s="534"/>
      <c r="G12" s="535"/>
      <c r="H12" s="536"/>
      <c r="I12" s="527"/>
      <c r="M12" s="522">
        <v>5</v>
      </c>
      <c r="N12" s="522">
        <v>10</v>
      </c>
      <c r="V12" s="522" t="s">
        <v>297</v>
      </c>
    </row>
    <row r="13" spans="2:22" ht="4.5" customHeight="1" thickBot="1">
      <c r="B13" s="520"/>
      <c r="C13" s="520"/>
      <c r="D13" s="520"/>
      <c r="E13" s="520"/>
      <c r="F13" s="520"/>
      <c r="G13" s="520"/>
      <c r="H13" s="520"/>
      <c r="I13" s="527"/>
    </row>
    <row r="14" spans="2:22" ht="15">
      <c r="B14" s="537"/>
      <c r="C14" s="538" t="s">
        <v>2</v>
      </c>
      <c r="D14" s="539" t="s">
        <v>9</v>
      </c>
      <c r="E14" s="540" t="s">
        <v>0</v>
      </c>
      <c r="F14" s="541" t="s">
        <v>1</v>
      </c>
      <c r="G14" s="540" t="s">
        <v>3</v>
      </c>
      <c r="H14" s="542" t="s">
        <v>35</v>
      </c>
      <c r="I14" s="527"/>
      <c r="K14" s="522" t="s">
        <v>657</v>
      </c>
      <c r="V14" s="522" t="s">
        <v>73</v>
      </c>
    </row>
    <row r="15" spans="2:22" ht="15">
      <c r="B15" s="537"/>
      <c r="C15" s="1029"/>
      <c r="D15" s="1030"/>
      <c r="E15" s="1031"/>
      <c r="F15" s="1032"/>
      <c r="G15" s="1031"/>
      <c r="H15" s="1033"/>
      <c r="I15" s="527"/>
    </row>
    <row r="16" spans="2:22">
      <c r="B16" s="537"/>
      <c r="C16" s="870" t="s">
        <v>1138</v>
      </c>
      <c r="D16" s="600"/>
      <c r="E16" s="601"/>
      <c r="F16" s="601"/>
      <c r="G16" s="915"/>
      <c r="H16" s="603"/>
      <c r="I16" s="527"/>
    </row>
    <row r="17" spans="2:31">
      <c r="B17" s="537"/>
      <c r="C17" s="543"/>
      <c r="D17" s="544" t="str">
        <f>VLOOKUP($E17,$E$215:$H$290,2,FALSE)</f>
        <v>02030006</v>
      </c>
      <c r="E17" s="886" t="s">
        <v>658</v>
      </c>
      <c r="F17" s="545"/>
      <c r="G17" s="546" t="str">
        <f>IF(F17&gt;=1,VLOOKUP(E17,E$214:H$290,4,FALSE),"")</f>
        <v/>
      </c>
      <c r="H17" s="547" t="str">
        <f>IF(ISERROR(G17*F17),"",G17*F17)</f>
        <v/>
      </c>
      <c r="I17" s="527"/>
      <c r="K17" s="522">
        <f>F17*32</f>
        <v>0</v>
      </c>
      <c r="V17" s="897">
        <v>0.35</v>
      </c>
      <c r="W17" s="898" t="str">
        <f>IF(ISERROR(H17*(1-V17)),"",H17*(1-V17))</f>
        <v/>
      </c>
      <c r="AB17" s="1631" t="s">
        <v>659</v>
      </c>
      <c r="AC17" s="1631"/>
      <c r="AD17" s="1631" t="s">
        <v>660</v>
      </c>
      <c r="AE17" s="1631"/>
    </row>
    <row r="18" spans="2:31">
      <c r="B18" s="537"/>
      <c r="C18" s="548" t="s">
        <v>661</v>
      </c>
      <c r="D18" s="549" t="s">
        <v>662</v>
      </c>
      <c r="E18" s="881" t="s">
        <v>663</v>
      </c>
      <c r="F18" s="545">
        <f>$F$17</f>
        <v>0</v>
      </c>
      <c r="G18" s="546"/>
      <c r="H18" s="547">
        <f t="shared" ref="H18:H31" si="0">IF(ISERROR(G18*F18),"",G18*F18)</f>
        <v>0</v>
      </c>
      <c r="I18" s="527"/>
      <c r="V18" s="899">
        <v>0.35</v>
      </c>
      <c r="W18" s="898">
        <f>IF(ISERROR(H18*(1-V18)),"",H18*(1-V18))</f>
        <v>0</v>
      </c>
      <c r="AB18" s="900" t="s">
        <v>664</v>
      </c>
      <c r="AC18" s="900" t="s">
        <v>665</v>
      </c>
      <c r="AD18" s="900" t="s">
        <v>666</v>
      </c>
      <c r="AE18" s="900" t="s">
        <v>667</v>
      </c>
    </row>
    <row r="19" spans="2:31">
      <c r="B19" s="537"/>
      <c r="C19" s="551" t="s">
        <v>495</v>
      </c>
      <c r="D19" s="552" t="s">
        <v>668</v>
      </c>
      <c r="E19" s="881" t="s">
        <v>669</v>
      </c>
      <c r="F19" s="545">
        <f>$F$17</f>
        <v>0</v>
      </c>
      <c r="G19" s="546"/>
      <c r="H19" s="547">
        <f t="shared" si="0"/>
        <v>0</v>
      </c>
      <c r="I19" s="527"/>
      <c r="V19" s="899"/>
      <c r="W19" s="898"/>
      <c r="AB19" s="900"/>
      <c r="AC19" s="900"/>
      <c r="AD19" s="900"/>
      <c r="AE19" s="900"/>
    </row>
    <row r="20" spans="2:31">
      <c r="B20" s="537"/>
      <c r="C20" s="551"/>
      <c r="D20" s="553" t="s">
        <v>535</v>
      </c>
      <c r="E20" s="881" t="s">
        <v>365</v>
      </c>
      <c r="F20" s="545">
        <f>$F$17</f>
        <v>0</v>
      </c>
      <c r="G20" s="546"/>
      <c r="H20" s="547">
        <f t="shared" si="0"/>
        <v>0</v>
      </c>
      <c r="I20" s="527"/>
      <c r="V20" s="899"/>
      <c r="W20" s="898"/>
      <c r="AB20" s="900"/>
      <c r="AC20" s="900"/>
      <c r="AD20" s="900"/>
      <c r="AE20" s="900"/>
    </row>
    <row r="21" spans="2:31">
      <c r="B21" s="537"/>
      <c r="C21" s="551"/>
      <c r="D21" s="553" t="s">
        <v>530</v>
      </c>
      <c r="E21" s="881" t="s">
        <v>670</v>
      </c>
      <c r="F21" s="545">
        <f>$F$17</f>
        <v>0</v>
      </c>
      <c r="G21" s="546"/>
      <c r="H21" s="547">
        <f t="shared" si="0"/>
        <v>0</v>
      </c>
      <c r="I21" s="527"/>
      <c r="V21" s="899"/>
      <c r="W21" s="898"/>
      <c r="AB21" s="900"/>
      <c r="AC21" s="900"/>
      <c r="AD21" s="900"/>
      <c r="AE21" s="900"/>
    </row>
    <row r="22" spans="2:31" ht="38.25">
      <c r="B22" s="537"/>
      <c r="C22" s="551"/>
      <c r="D22" s="553" t="s">
        <v>1232</v>
      </c>
      <c r="E22" s="881" t="s">
        <v>671</v>
      </c>
      <c r="F22" s="545">
        <f>$F$17</f>
        <v>0</v>
      </c>
      <c r="G22" s="546"/>
      <c r="H22" s="547">
        <f t="shared" si="0"/>
        <v>0</v>
      </c>
      <c r="I22" s="527"/>
      <c r="V22" s="899"/>
      <c r="W22" s="898"/>
      <c r="AB22" s="900"/>
      <c r="AC22" s="900"/>
      <c r="AD22" s="900"/>
      <c r="AE22" s="900"/>
    </row>
    <row r="23" spans="2:31" ht="25.5">
      <c r="B23" s="537"/>
      <c r="C23" s="551"/>
      <c r="D23" s="553" t="s">
        <v>672</v>
      </c>
      <c r="E23" s="881" t="s">
        <v>673</v>
      </c>
      <c r="F23" s="545">
        <f>F17*0.3</f>
        <v>0</v>
      </c>
      <c r="G23" s="546"/>
      <c r="H23" s="547">
        <f t="shared" si="0"/>
        <v>0</v>
      </c>
      <c r="I23" s="527"/>
      <c r="V23" s="899"/>
      <c r="W23" s="898"/>
      <c r="AB23" s="900"/>
      <c r="AC23" s="900"/>
      <c r="AD23" s="900"/>
      <c r="AE23" s="900"/>
    </row>
    <row r="24" spans="2:31" ht="25.5">
      <c r="B24" s="537"/>
      <c r="C24" s="551"/>
      <c r="D24" s="553" t="s">
        <v>1039</v>
      </c>
      <c r="E24" s="881" t="s">
        <v>1040</v>
      </c>
      <c r="F24" s="545">
        <f>$F$17</f>
        <v>0</v>
      </c>
      <c r="G24" s="546"/>
      <c r="H24" s="547">
        <f t="shared" si="0"/>
        <v>0</v>
      </c>
      <c r="I24" s="527"/>
      <c r="V24" s="899"/>
      <c r="W24" s="898"/>
      <c r="AB24" s="900"/>
      <c r="AC24" s="900"/>
      <c r="AD24" s="900"/>
      <c r="AE24" s="900"/>
    </row>
    <row r="25" spans="2:31">
      <c r="B25" s="537"/>
      <c r="C25" s="551"/>
      <c r="D25" s="554"/>
      <c r="E25" s="881" t="s">
        <v>674</v>
      </c>
      <c r="F25" s="545">
        <f>$F$17</f>
        <v>0</v>
      </c>
      <c r="G25" s="546"/>
      <c r="H25" s="547">
        <f t="shared" si="0"/>
        <v>0</v>
      </c>
      <c r="I25" s="527"/>
      <c r="V25" s="899"/>
      <c r="W25" s="898"/>
      <c r="AB25" s="900"/>
      <c r="AC25" s="900"/>
      <c r="AD25" s="900"/>
      <c r="AE25" s="900"/>
    </row>
    <row r="26" spans="2:31">
      <c r="B26" s="537"/>
      <c r="C26" s="595"/>
      <c r="D26" s="596"/>
      <c r="E26" s="597"/>
      <c r="F26" s="597"/>
      <c r="G26" s="914"/>
      <c r="H26" s="599"/>
      <c r="I26" s="527"/>
      <c r="V26" s="899"/>
      <c r="W26" s="898"/>
      <c r="AB26" s="1025"/>
      <c r="AC26" s="1025"/>
      <c r="AD26" s="1025"/>
      <c r="AE26" s="1025"/>
    </row>
    <row r="27" spans="2:31">
      <c r="B27" s="537"/>
      <c r="C27" s="870" t="s">
        <v>1135</v>
      </c>
      <c r="D27" s="600"/>
      <c r="E27" s="601"/>
      <c r="F27" s="601"/>
      <c r="G27" s="915"/>
      <c r="H27" s="603"/>
      <c r="I27" s="527"/>
      <c r="V27" s="899"/>
      <c r="W27" s="898"/>
      <c r="AB27" s="1025"/>
      <c r="AC27" s="1025"/>
      <c r="AD27" s="1025"/>
      <c r="AE27" s="1025"/>
    </row>
    <row r="28" spans="2:31">
      <c r="B28" s="537"/>
      <c r="C28" s="551"/>
      <c r="D28" s="554"/>
      <c r="E28" s="1027" t="s">
        <v>1136</v>
      </c>
      <c r="F28" s="582"/>
      <c r="G28" s="880">
        <v>12000</v>
      </c>
      <c r="H28" s="547">
        <f t="shared" si="0"/>
        <v>0</v>
      </c>
      <c r="I28" s="527"/>
      <c r="V28" s="899"/>
      <c r="W28" s="898"/>
      <c r="AB28" s="1025"/>
      <c r="AC28" s="1025"/>
      <c r="AD28" s="1025"/>
      <c r="AE28" s="1025"/>
    </row>
    <row r="29" spans="2:31">
      <c r="B29" s="537"/>
      <c r="C29" s="551"/>
      <c r="D29" s="554"/>
      <c r="E29" s="1027" t="s">
        <v>1137</v>
      </c>
      <c r="F29" s="582"/>
      <c r="G29" s="880">
        <v>13000</v>
      </c>
      <c r="H29" s="547">
        <f t="shared" si="0"/>
        <v>0</v>
      </c>
      <c r="I29" s="527"/>
      <c r="V29" s="899"/>
      <c r="W29" s="898"/>
      <c r="AB29" s="1025"/>
      <c r="AC29" s="1025"/>
      <c r="AD29" s="1025"/>
      <c r="AE29" s="1025"/>
    </row>
    <row r="30" spans="2:31">
      <c r="B30" s="537"/>
      <c r="C30" s="551"/>
      <c r="D30" s="554"/>
      <c r="E30" s="1027"/>
      <c r="F30" s="582"/>
      <c r="G30" s="880"/>
      <c r="H30" s="1028"/>
      <c r="I30" s="527"/>
      <c r="V30" s="899"/>
      <c r="W30" s="898"/>
      <c r="AB30" s="1025"/>
      <c r="AC30" s="1025"/>
      <c r="AD30" s="1025"/>
      <c r="AE30" s="1025"/>
    </row>
    <row r="31" spans="2:31" ht="12.75" customHeight="1" thickBot="1">
      <c r="B31" s="537"/>
      <c r="C31" s="555"/>
      <c r="D31" s="556"/>
      <c r="E31" s="557"/>
      <c r="F31" s="558"/>
      <c r="G31" s="559"/>
      <c r="H31" s="560">
        <f t="shared" si="0"/>
        <v>0</v>
      </c>
      <c r="I31" s="527"/>
      <c r="V31" s="899"/>
      <c r="W31" s="898"/>
      <c r="AB31" s="900"/>
      <c r="AC31" s="900"/>
      <c r="AD31" s="900"/>
      <c r="AE31" s="900"/>
    </row>
    <row r="32" spans="2:31" ht="12.75" customHeight="1" thickBot="1">
      <c r="B32" s="537"/>
      <c r="C32" s="561"/>
      <c r="D32" s="562"/>
      <c r="E32" s="562"/>
      <c r="F32" s="563"/>
      <c r="G32" s="587" t="s">
        <v>42</v>
      </c>
      <c r="H32" s="588">
        <f>SUM(H17:H31)</f>
        <v>0</v>
      </c>
      <c r="I32" s="527"/>
      <c r="V32" s="899"/>
      <c r="W32" s="898"/>
      <c r="AB32" s="900"/>
      <c r="AC32" s="900"/>
      <c r="AD32" s="900"/>
      <c r="AE32" s="900"/>
    </row>
    <row r="33" spans="2:23" ht="13.5" thickBot="1">
      <c r="B33" s="566"/>
      <c r="C33" s="561"/>
      <c r="D33" s="562"/>
      <c r="E33" s="563"/>
      <c r="F33" s="563"/>
      <c r="G33" s="564"/>
      <c r="H33" s="565"/>
      <c r="I33" s="567"/>
    </row>
    <row r="34" spans="2:23" ht="16.5" thickBot="1">
      <c r="B34" s="537"/>
      <c r="C34" s="531" t="s">
        <v>137</v>
      </c>
      <c r="D34" s="532"/>
      <c r="E34" s="533"/>
      <c r="F34" s="534"/>
      <c r="G34" s="535"/>
      <c r="H34" s="536"/>
      <c r="I34" s="527"/>
    </row>
    <row r="35" spans="2:23" ht="5.25" customHeight="1" thickBot="1">
      <c r="B35" s="568"/>
      <c r="C35" s="569"/>
      <c r="D35" s="562"/>
      <c r="E35" s="570"/>
      <c r="F35" s="563"/>
      <c r="G35" s="564"/>
      <c r="H35" s="565"/>
      <c r="I35" s="567"/>
      <c r="K35" s="522">
        <f>IF(F17&gt;1,K36,0)</f>
        <v>0</v>
      </c>
    </row>
    <row r="36" spans="2:23" ht="22.5" customHeight="1">
      <c r="B36" s="571"/>
      <c r="C36" s="572" t="s">
        <v>675</v>
      </c>
      <c r="D36" s="605" t="str">
        <f>IF(ISERROR(VLOOKUP($E36,$E$215:$H$290,2,FALSE)),"",VLOOKUP($E36,$E$215:$H$290,2,FALSE))</f>
        <v>12080027</v>
      </c>
      <c r="E36" s="573" t="s">
        <v>676</v>
      </c>
      <c r="F36" s="574"/>
      <c r="G36" s="877" t="str">
        <f t="shared" ref="G36:G42" si="1">IF(F36&gt;=1,VLOOKUP(E36,E$214:H$290,4,FALSE),"")</f>
        <v/>
      </c>
      <c r="H36" s="575" t="str">
        <f>IF(ISERROR(G36*F36),"",G36*F36)</f>
        <v/>
      </c>
      <c r="I36" s="527"/>
      <c r="K36" s="522" t="e">
        <f>IF(AND(F50=1,(OR(#REF!=2,#REF!=2,#REF!= 2,#REF!=2))), 1,0)</f>
        <v>#REF!</v>
      </c>
      <c r="V36" s="899">
        <v>0</v>
      </c>
      <c r="W36" s="898" t="str">
        <f>IF(ISERROR(H36*(1-V36)),"",H36*(1-V36))</f>
        <v/>
      </c>
    </row>
    <row r="37" spans="2:23" ht="25.5">
      <c r="B37" s="571"/>
      <c r="C37" s="548">
        <f t="shared" ref="C37:C44" si="2">IF(ISERROR(VLOOKUP($E37,$E$215:$H$290,3,FALSE)),"",VLOOKUP($E37,$E$215:$H$290,3,FALSE))</f>
        <v>0</v>
      </c>
      <c r="D37" s="605" t="str">
        <f>IF(ISERROR(VLOOKUP($E37,$E$215:$H$290,2,FALSE)),"",VLOOKUP($E37,$E$215:$H$290,2,FALSE))</f>
        <v>99990085, 03020034</v>
      </c>
      <c r="E37" s="550" t="s">
        <v>371</v>
      </c>
      <c r="F37" s="545"/>
      <c r="G37" s="878" t="str">
        <f t="shared" si="1"/>
        <v/>
      </c>
      <c r="H37" s="547" t="str">
        <f>IF(ISERROR(G37*F37),"",G37*F37)</f>
        <v/>
      </c>
      <c r="I37" s="527"/>
      <c r="V37" s="899">
        <v>0</v>
      </c>
      <c r="W37" s="898" t="str">
        <f>IF(ISERROR(H37*(1-V37)),"",H37*(1-V37))</f>
        <v/>
      </c>
    </row>
    <row r="38" spans="2:23" ht="25.5">
      <c r="B38" s="537"/>
      <c r="C38" s="548">
        <f t="shared" si="2"/>
        <v>0</v>
      </c>
      <c r="D38" s="605" t="str">
        <f>IF(ISERROR(VLOOKUP($E38,$E$215:$H$290,2,FALSE)),"",VLOOKUP($E38,$E$215:$H$290,2,FALSE))</f>
        <v>13080149, 03020034</v>
      </c>
      <c r="E38" s="550" t="s">
        <v>372</v>
      </c>
      <c r="F38" s="545"/>
      <c r="G38" s="878" t="str">
        <f t="shared" si="1"/>
        <v/>
      </c>
      <c r="H38" s="547" t="str">
        <f t="shared" ref="H38:H44" si="3">IF(ISERROR(G38*F38),"",G38*F38)</f>
        <v/>
      </c>
      <c r="I38" s="527"/>
      <c r="V38" s="899">
        <v>0</v>
      </c>
      <c r="W38" s="898" t="str">
        <f t="shared" ref="W38:W44" si="4">IF(ISERROR(H38*(1-V38)),"",H38*(1-V38))</f>
        <v/>
      </c>
    </row>
    <row r="39" spans="2:23" ht="25.5" customHeight="1">
      <c r="B39" s="537"/>
      <c r="C39" s="548" t="str">
        <f t="shared" si="2"/>
        <v xml:space="preserve">NPORT-5110 </v>
      </c>
      <c r="D39" s="605" t="str">
        <f>IF(ISERROR(VLOOKUP($E39,$E$215:$H$290,2,FALSE)),"",VLOOKUP($E39,$E$215:$H$290,2,FALSE))</f>
        <v>13020013</v>
      </c>
      <c r="E39" s="550" t="s">
        <v>1020</v>
      </c>
      <c r="F39" s="545"/>
      <c r="G39" s="878" t="str">
        <f t="shared" si="1"/>
        <v/>
      </c>
      <c r="H39" s="547" t="str">
        <f t="shared" si="3"/>
        <v/>
      </c>
      <c r="I39" s="527"/>
      <c r="V39" s="899">
        <v>0</v>
      </c>
      <c r="W39" s="898" t="str">
        <f t="shared" si="4"/>
        <v/>
      </c>
    </row>
    <row r="40" spans="2:23" ht="24.75" customHeight="1">
      <c r="B40" s="537"/>
      <c r="C40" s="548">
        <f t="shared" si="2"/>
        <v>0</v>
      </c>
      <c r="D40" s="605" t="str">
        <f>IF(ISERROR(VLOOKUP($E40,$E$215:$H$290,2,FALSE)),"",VLOOKUP($E40,$E$215:$H$290,2,FALSE))</f>
        <v>02020158</v>
      </c>
      <c r="E40" s="550" t="s">
        <v>680</v>
      </c>
      <c r="F40" s="545"/>
      <c r="G40" s="878" t="str">
        <f t="shared" si="1"/>
        <v/>
      </c>
      <c r="H40" s="547" t="str">
        <f t="shared" si="3"/>
        <v/>
      </c>
      <c r="I40" s="527"/>
      <c r="K40" s="522" t="s">
        <v>679</v>
      </c>
      <c r="V40" s="899">
        <v>0</v>
      </c>
      <c r="W40" s="898" t="str">
        <f t="shared" si="4"/>
        <v/>
      </c>
    </row>
    <row r="41" spans="2:23" ht="25.5" customHeight="1">
      <c r="B41" s="537"/>
      <c r="C41" s="548" t="str">
        <f t="shared" si="2"/>
        <v>FA67050</v>
      </c>
      <c r="D41" s="891" t="s">
        <v>1032</v>
      </c>
      <c r="E41" s="550" t="s">
        <v>681</v>
      </c>
      <c r="F41" s="545"/>
      <c r="G41" s="878" t="str">
        <f t="shared" si="1"/>
        <v/>
      </c>
      <c r="H41" s="547" t="str">
        <f t="shared" si="3"/>
        <v/>
      </c>
      <c r="I41" s="527"/>
      <c r="V41" s="899">
        <v>0</v>
      </c>
      <c r="W41" s="898" t="str">
        <f t="shared" si="4"/>
        <v/>
      </c>
    </row>
    <row r="42" spans="2:23">
      <c r="B42" s="577"/>
      <c r="C42" s="548" t="str">
        <f t="shared" si="2"/>
        <v>FA62068</v>
      </c>
      <c r="D42" s="605" t="str">
        <f>IF(ISERROR(VLOOKUP($E42,$E$215:$H$290,2,FALSE)),"",VLOOKUP($E42,$E$215:$H$290,2,FALSE))</f>
        <v>02020132</v>
      </c>
      <c r="E42" s="196" t="s">
        <v>369</v>
      </c>
      <c r="F42" s="545"/>
      <c r="G42" s="1038" t="str">
        <f t="shared" si="1"/>
        <v/>
      </c>
      <c r="H42" s="1039" t="str">
        <f t="shared" si="3"/>
        <v/>
      </c>
      <c r="I42" s="527"/>
      <c r="V42" s="899">
        <v>0</v>
      </c>
      <c r="W42" s="898" t="str">
        <f t="shared" si="4"/>
        <v/>
      </c>
    </row>
    <row r="43" spans="2:23">
      <c r="B43" s="577"/>
      <c r="C43" s="548" t="str">
        <f t="shared" si="2"/>
        <v/>
      </c>
      <c r="D43" s="580"/>
      <c r="E43" s="581"/>
      <c r="F43" s="582"/>
      <c r="G43" s="583"/>
      <c r="H43" s="547"/>
      <c r="I43" s="527"/>
      <c r="V43" s="899"/>
      <c r="W43" s="898"/>
    </row>
    <row r="44" spans="2:23" ht="13.5" thickBot="1">
      <c r="B44" s="577"/>
      <c r="C44" s="555" t="str">
        <f t="shared" si="2"/>
        <v/>
      </c>
      <c r="D44" s="584" t="str">
        <f>IF(ISERROR(VLOOKUP($E44,$E$215:$H$290,2,FALSE)),"",VLOOKUP($E44,$E$215:$H$290,2,FALSE))</f>
        <v/>
      </c>
      <c r="E44" s="585"/>
      <c r="F44" s="558"/>
      <c r="G44" s="616" t="str">
        <f>IF(F44&gt;=1,VLOOKUP(E44,E$214:H$290,4,FALSE),"")</f>
        <v/>
      </c>
      <c r="H44" s="586" t="str">
        <f t="shared" si="3"/>
        <v/>
      </c>
      <c r="I44" s="527"/>
      <c r="V44" s="899">
        <v>0</v>
      </c>
      <c r="W44" s="898" t="str">
        <f t="shared" si="4"/>
        <v/>
      </c>
    </row>
    <row r="45" spans="2:23" ht="13.5" thickBot="1">
      <c r="B45" s="577"/>
      <c r="C45" s="537"/>
      <c r="D45" s="537"/>
      <c r="E45" s="537"/>
      <c r="F45" s="537"/>
      <c r="G45" s="587" t="s">
        <v>42</v>
      </c>
      <c r="H45" s="588">
        <f>SUM(H36:H44)</f>
        <v>0</v>
      </c>
      <c r="I45" s="527"/>
    </row>
    <row r="46" spans="2:23" ht="13.5" thickBot="1">
      <c r="B46" s="577"/>
      <c r="C46" s="537"/>
      <c r="D46" s="537"/>
      <c r="E46" s="537"/>
      <c r="F46" s="537"/>
      <c r="G46" s="537"/>
      <c r="H46" s="537"/>
      <c r="I46" s="527"/>
    </row>
    <row r="47" spans="2:23" ht="16.5" thickBot="1">
      <c r="B47" s="577"/>
      <c r="C47" s="531" t="s">
        <v>109</v>
      </c>
      <c r="D47" s="532"/>
      <c r="E47" s="533"/>
      <c r="F47" s="534"/>
      <c r="G47" s="535"/>
      <c r="H47" s="536"/>
      <c r="I47" s="527"/>
    </row>
    <row r="48" spans="2:23" ht="4.5" customHeight="1" thickBot="1">
      <c r="B48" s="520"/>
      <c r="C48" s="520"/>
      <c r="D48" s="520"/>
      <c r="E48" s="520"/>
      <c r="F48" s="520"/>
      <c r="G48" s="520"/>
      <c r="H48" s="520"/>
      <c r="I48" s="527"/>
    </row>
    <row r="49" spans="2:63">
      <c r="B49" s="537"/>
      <c r="C49" s="869" t="s">
        <v>682</v>
      </c>
      <c r="D49" s="589"/>
      <c r="E49" s="590"/>
      <c r="F49" s="591"/>
      <c r="G49" s="592"/>
      <c r="H49" s="593"/>
      <c r="I49" s="527"/>
    </row>
    <row r="50" spans="2:63" ht="51">
      <c r="B50" s="537"/>
      <c r="C50" s="548">
        <f>IF(ISERROR(VLOOKUP($E50,$E$215:$H$290,3,FALSE)),"",VLOOKUP($E50,$E$215:$H$290,3,FALSE))</f>
        <v>0</v>
      </c>
      <c r="D50" s="544" t="str">
        <f>IF(ISERROR(VLOOKUP($E50,$E$215:$H$290,2,FALSE)),"",VLOOKUP($E50,$E$215:$H$290,2,FALSE))</f>
        <v xml:space="preserve">11060095, 11060039, 13120085, 13120086 </v>
      </c>
      <c r="E50" s="550" t="s">
        <v>399</v>
      </c>
      <c r="F50" s="545"/>
      <c r="G50" s="878" t="str">
        <f>IF(F50&gt;=1,VLOOKUP(E50,E$214:H$290,4,FALSE),"")</f>
        <v/>
      </c>
      <c r="H50" s="547" t="str">
        <f>IF(ISERROR(G50*F50),"",G50*F50)</f>
        <v/>
      </c>
      <c r="I50" s="527"/>
      <c r="V50" s="899">
        <v>0.35</v>
      </c>
      <c r="W50" s="898" t="str">
        <f>IF(ISERROR(H50*(1-V50)),"",H50*(1-V50))</f>
        <v/>
      </c>
      <c r="BJ50" s="1037" t="str">
        <f>IF(ISERROR(IF(G37&gt;=1,VLOOKUP(F37,F$223:I$439,4,FALSE),"")),"",IF(G37&gt;=1,VLOOKUP(F37,F$223:I$439,4,FALSE),""))</f>
        <v/>
      </c>
    </row>
    <row r="51" spans="2:63">
      <c r="B51" s="537"/>
      <c r="C51" s="165" t="str">
        <f>VLOOKUP(E50&amp;$E51,'5900'!$D$224:$I$427,5,FALSE)</f>
        <v xml:space="preserve">MU02037 </v>
      </c>
      <c r="D51" s="390">
        <f>VLOOKUP(E50&amp;$E51,'5900'!$D$224:$I$426,4,FALSE)</f>
        <v>11020007</v>
      </c>
      <c r="E51" s="187" t="s">
        <v>71</v>
      </c>
      <c r="F51" s="146">
        <f>F50</f>
        <v>0</v>
      </c>
      <c r="G51" s="159" t="str">
        <f>IF(ISERROR(IF(F51&gt;=1,VLOOKUP(E51,E$223:I$423,4,FALSE),"")),"",IF(F51&gt;=1,VLOOKUP(E51,E$223:I$423,4,FALSE),""))</f>
        <v/>
      </c>
      <c r="H51" s="160" t="str">
        <f t="shared" ref="H51" si="5">IF(ISERROR(G51*F51),"",G51*F51)</f>
        <v/>
      </c>
      <c r="I51" s="527"/>
      <c r="V51" s="899"/>
      <c r="W51" s="898"/>
    </row>
    <row r="52" spans="2:63">
      <c r="B52" s="537"/>
      <c r="C52" s="548" t="str">
        <f>IF(ISERROR(VLOOKUP($E52,$E$215:$H$290,3,FALSE)),"",VLOOKUP($E52,$E$215:$H$290,3,FALSE))</f>
        <v/>
      </c>
      <c r="D52" s="544" t="str">
        <f>IF(ISERROR(VLOOKUP($E52,$E$215:$H$290,2,FALSE)),"",VLOOKUP($E52,$E$215:$H$290,2,FALSE))</f>
        <v/>
      </c>
      <c r="E52" s="594"/>
      <c r="F52" s="545"/>
      <c r="G52" s="878" t="str">
        <f>IF(F52&gt;=1,VLOOKUP(E52,E$214:H$290,4,FALSE),"")</f>
        <v/>
      </c>
      <c r="H52" s="547" t="str">
        <f>IF(ISERROR(G52*F52),"",G52*F52)</f>
        <v/>
      </c>
      <c r="I52" s="527"/>
      <c r="V52" s="899">
        <v>0.35</v>
      </c>
      <c r="W52" s="898" t="str">
        <f>IF(ISERROR(H52*(1-V52)),"",H52*(1-V52))</f>
        <v/>
      </c>
    </row>
    <row r="53" spans="2:63">
      <c r="B53" s="537"/>
      <c r="C53" s="595"/>
      <c r="D53" s="596"/>
      <c r="E53" s="597"/>
      <c r="F53" s="597"/>
      <c r="G53" s="914"/>
      <c r="H53" s="599"/>
      <c r="I53" s="527"/>
    </row>
    <row r="54" spans="2:63">
      <c r="B54" s="537"/>
      <c r="C54" s="870" t="s">
        <v>554</v>
      </c>
      <c r="D54" s="600"/>
      <c r="E54" s="601"/>
      <c r="F54" s="601"/>
      <c r="G54" s="915"/>
      <c r="H54" s="603"/>
      <c r="I54" s="527"/>
    </row>
    <row r="55" spans="2:63" s="612" customFormat="1">
      <c r="B55" s="604"/>
      <c r="C55" s="543">
        <f t="shared" ref="C55:C60" si="6">IF(ISERROR(VLOOKUP($E55,$E$215:$H$290,3,FALSE)),"",VLOOKUP($E55,$E$215:$H$290,3,FALSE))</f>
        <v>0</v>
      </c>
      <c r="D55" s="605" t="str">
        <f t="shared" ref="D55:D60" si="7">IF(ISERROR(VLOOKUP($E55,$E$215:$H$290,2,FALSE)),"",VLOOKUP($E55,$E$215:$H$290,2,FALSE))</f>
        <v>11050023</v>
      </c>
      <c r="E55" s="606" t="s">
        <v>683</v>
      </c>
      <c r="F55" s="607"/>
      <c r="G55" s="608" t="str">
        <f t="shared" ref="G55:G60" si="8">IF(F55&gt;=1,VLOOKUP(E55,E$214:H$290,4,FALSE),"")</f>
        <v/>
      </c>
      <c r="H55" s="609" t="str">
        <f t="shared" ref="H55:H78" si="9">IF(ISERROR(G55*F55),"",G55*F55)</f>
        <v/>
      </c>
      <c r="I55" s="610"/>
      <c r="J55" s="611"/>
      <c r="K55" s="611"/>
      <c r="L55" s="611"/>
      <c r="M55" s="611"/>
      <c r="N55" s="611"/>
      <c r="O55" s="611"/>
      <c r="P55" s="611"/>
      <c r="Q55" s="611"/>
      <c r="R55" s="611"/>
      <c r="S55" s="611"/>
      <c r="T55" s="611"/>
      <c r="U55" s="611"/>
      <c r="V55" s="901">
        <v>0.35</v>
      </c>
      <c r="W55" s="902" t="str">
        <f>IF(ISERROR(H55*(1-V55)),"",H55*(1-V55))</f>
        <v/>
      </c>
      <c r="X55" s="611"/>
      <c r="Y55" s="611"/>
      <c r="Z55" s="611"/>
      <c r="AA55" s="611"/>
      <c r="AB55" s="611"/>
      <c r="AC55" s="611"/>
      <c r="AD55" s="611"/>
      <c r="AE55" s="611"/>
      <c r="AF55" s="611"/>
      <c r="AG55" s="611"/>
      <c r="AH55" s="611"/>
      <c r="AI55" s="611"/>
      <c r="AJ55" s="611"/>
      <c r="AK55" s="611"/>
      <c r="AL55" s="611"/>
      <c r="AM55" s="611"/>
      <c r="AN55" s="611"/>
      <c r="AO55" s="611"/>
      <c r="AP55" s="611"/>
      <c r="AQ55" s="611"/>
      <c r="AR55" s="611"/>
      <c r="AS55" s="611"/>
      <c r="AT55" s="611"/>
      <c r="AU55" s="611"/>
      <c r="AV55" s="611"/>
      <c r="AW55" s="611"/>
      <c r="AX55" s="611"/>
      <c r="AY55" s="611"/>
      <c r="AZ55" s="611"/>
      <c r="BA55" s="611"/>
      <c r="BB55" s="611"/>
      <c r="BC55" s="611"/>
      <c r="BD55" s="611"/>
      <c r="BE55" s="611"/>
      <c r="BF55" s="611"/>
      <c r="BG55" s="611"/>
      <c r="BH55" s="611"/>
      <c r="BI55" s="522"/>
      <c r="BJ55" s="767"/>
      <c r="BK55" s="579"/>
    </row>
    <row r="56" spans="2:63">
      <c r="B56" s="537"/>
      <c r="C56" s="548">
        <f t="shared" si="6"/>
        <v>0</v>
      </c>
      <c r="D56" s="605" t="str">
        <f t="shared" si="7"/>
        <v>11050024</v>
      </c>
      <c r="E56" s="606" t="s">
        <v>684</v>
      </c>
      <c r="F56" s="545">
        <f>F55</f>
        <v>0</v>
      </c>
      <c r="G56" s="878" t="str">
        <f t="shared" si="8"/>
        <v/>
      </c>
      <c r="H56" s="547" t="str">
        <f t="shared" si="9"/>
        <v/>
      </c>
      <c r="I56" s="527"/>
      <c r="V56" s="899">
        <v>0</v>
      </c>
      <c r="W56" s="898" t="str">
        <f>IF(ISERROR(H56*(1-V56)),"",H56*(1-V56))</f>
        <v/>
      </c>
    </row>
    <row r="57" spans="2:63">
      <c r="B57" s="537"/>
      <c r="C57" s="548">
        <f t="shared" si="6"/>
        <v>0</v>
      </c>
      <c r="D57" s="605" t="str">
        <f t="shared" si="7"/>
        <v>11990007</v>
      </c>
      <c r="E57" s="606" t="s">
        <v>685</v>
      </c>
      <c r="F57" s="545">
        <f>F55</f>
        <v>0</v>
      </c>
      <c r="G57" s="878" t="str">
        <f t="shared" si="8"/>
        <v/>
      </c>
      <c r="H57" s="547" t="str">
        <f t="shared" si="9"/>
        <v/>
      </c>
      <c r="I57" s="527"/>
      <c r="V57" s="899"/>
      <c r="W57" s="898"/>
    </row>
    <row r="58" spans="2:63">
      <c r="B58" s="537"/>
      <c r="C58" s="548">
        <f t="shared" si="6"/>
        <v>0</v>
      </c>
      <c r="D58" s="605" t="str">
        <f t="shared" si="7"/>
        <v>13120007</v>
      </c>
      <c r="E58" s="606" t="s">
        <v>686</v>
      </c>
      <c r="F58" s="545"/>
      <c r="G58" s="878" t="str">
        <f t="shared" si="8"/>
        <v/>
      </c>
      <c r="H58" s="547" t="str">
        <f t="shared" si="9"/>
        <v/>
      </c>
      <c r="I58" s="527"/>
      <c r="V58" s="899"/>
      <c r="W58" s="898"/>
    </row>
    <row r="59" spans="2:63">
      <c r="B59" s="537"/>
      <c r="C59" s="548">
        <f t="shared" si="6"/>
        <v>0</v>
      </c>
      <c r="D59" s="605" t="str">
        <f t="shared" si="7"/>
        <v>11050009</v>
      </c>
      <c r="E59" s="606" t="s">
        <v>687</v>
      </c>
      <c r="F59" s="545"/>
      <c r="G59" s="878" t="str">
        <f t="shared" si="8"/>
        <v/>
      </c>
      <c r="H59" s="547" t="str">
        <f t="shared" si="9"/>
        <v/>
      </c>
      <c r="I59" s="527"/>
      <c r="V59" s="899">
        <v>0</v>
      </c>
      <c r="W59" s="898" t="str">
        <f>IF(ISERROR(H59*(1-V59)),"",H59*(1-V59))</f>
        <v/>
      </c>
    </row>
    <row r="60" spans="2:63">
      <c r="B60" s="537"/>
      <c r="C60" s="548">
        <f t="shared" si="6"/>
        <v>0</v>
      </c>
      <c r="D60" s="605" t="str">
        <f t="shared" si="7"/>
        <v>13120016</v>
      </c>
      <c r="E60" s="606" t="s">
        <v>688</v>
      </c>
      <c r="F60" s="545"/>
      <c r="G60" s="878" t="str">
        <f t="shared" si="8"/>
        <v/>
      </c>
      <c r="H60" s="613" t="str">
        <f t="shared" si="9"/>
        <v/>
      </c>
      <c r="I60" s="527"/>
    </row>
    <row r="61" spans="2:63">
      <c r="B61" s="537"/>
      <c r="C61" s="595"/>
      <c r="D61" s="596"/>
      <c r="E61" s="597"/>
      <c r="F61" s="597"/>
      <c r="G61" s="598"/>
      <c r="H61" s="599"/>
      <c r="I61" s="527"/>
    </row>
    <row r="62" spans="2:63">
      <c r="B62" s="537"/>
      <c r="C62" s="870" t="s">
        <v>1017</v>
      </c>
      <c r="D62" s="600"/>
      <c r="E62" s="601"/>
      <c r="F62" s="601"/>
      <c r="G62" s="602"/>
      <c r="H62" s="603"/>
      <c r="I62" s="527"/>
    </row>
    <row r="63" spans="2:63">
      <c r="B63" s="537"/>
      <c r="C63" s="548" t="str">
        <f>IF(ISERROR(VLOOKUP($E63,$E$215:$H$290,3,FALSE)),"",VLOOKUP($E63,$E$215:$H$290,3,FALSE))</f>
        <v/>
      </c>
      <c r="D63" s="605" t="str">
        <f>IF(ISERROR(VLOOKUP($E63,$E$215:$H$290,2,FALSE)),"",VLOOKUP($E63,$E$215:$H$290,2,FALSE))</f>
        <v/>
      </c>
      <c r="E63" s="881" t="s">
        <v>663</v>
      </c>
      <c r="F63" s="582"/>
      <c r="G63" s="880">
        <v>750</v>
      </c>
      <c r="H63" s="613">
        <f t="shared" ref="H63" si="10">IF(ISERROR(G63*F63),"",G63*F63)</f>
        <v>0</v>
      </c>
      <c r="I63" s="527"/>
    </row>
    <row r="64" spans="2:63">
      <c r="B64" s="537"/>
      <c r="C64" s="548">
        <f>IF(ISERROR(VLOOKUP($E64,$E$215:$H$290,3,FALSE)),"",VLOOKUP($E64,$E$215:$H$290,3,FALSE))</f>
        <v>16304</v>
      </c>
      <c r="D64" s="605">
        <f>IF(ISERROR(VLOOKUP($E64,$E$215:$H$290,2,FALSE)),"",VLOOKUP($E64,$E$215:$H$290,2,FALSE))</f>
        <v>13110001</v>
      </c>
      <c r="E64" s="879" t="s">
        <v>364</v>
      </c>
      <c r="F64" s="582"/>
      <c r="G64" s="880" t="str">
        <f>IF(F64&gt;=1,VLOOKUP(E64,E$214:H$290,4,FALSE),"")</f>
        <v/>
      </c>
      <c r="H64" s="613" t="str">
        <f t="shared" si="9"/>
        <v/>
      </c>
      <c r="I64" s="527"/>
    </row>
    <row r="65" spans="2:23">
      <c r="B65" s="537"/>
      <c r="C65" s="548" t="str">
        <f>IF(ISERROR(VLOOKUP($E65,$E$215:$H$290,3,FALSE)),"",VLOOKUP($E65,$E$215:$H$290,3,FALSE))</f>
        <v>TSTAWBP30431.75-1.6A</v>
      </c>
      <c r="D65" s="605" t="str">
        <f>IF(ISERROR(VLOOKUP($E65,$E$215:$H$290,2,FALSE)),"",VLOOKUP($E65,$E$215:$H$290,2,FALSE))</f>
        <v>02020036</v>
      </c>
      <c r="E65" s="879" t="s">
        <v>366</v>
      </c>
      <c r="F65" s="582"/>
      <c r="G65" s="880" t="str">
        <f>IF(F65&gt;=1,VLOOKUP(E65,E$214:H$290,4,FALSE),"")</f>
        <v/>
      </c>
      <c r="H65" s="613" t="str">
        <f t="shared" si="9"/>
        <v/>
      </c>
      <c r="I65" s="527"/>
    </row>
    <row r="66" spans="2:23">
      <c r="B66" s="537"/>
      <c r="C66" s="548" t="str">
        <f>IF(ISERROR(VLOOKUP($E66,$E$215:$H$290,3,FALSE)),"",VLOOKUP($E66,$E$215:$H$290,3,FALSE))</f>
        <v>TSTAWBP30431.75-1.6A</v>
      </c>
      <c r="D66" s="605" t="str">
        <f>IF(ISERROR(VLOOKUP($E66,$E$215:$H$290,2,FALSE)),"",VLOOKUP($E66,$E$215:$H$290,2,FALSE))</f>
        <v>02020035</v>
      </c>
      <c r="E66" s="879" t="s">
        <v>365</v>
      </c>
      <c r="F66" s="582"/>
      <c r="G66" s="880" t="str">
        <f>IF(F66&gt;=1,VLOOKUP(E66,E$214:H$290,4,FALSE),"")</f>
        <v/>
      </c>
      <c r="H66" s="613" t="str">
        <f t="shared" si="9"/>
        <v/>
      </c>
      <c r="I66" s="527"/>
    </row>
    <row r="67" spans="2:23">
      <c r="B67" s="537"/>
      <c r="C67" s="548" t="str">
        <f>IF(ISERROR(VLOOKUP($E67,$E$215:$H$290,3,FALSE)),"",VLOOKUP($E67,$E$215:$H$290,3,FALSE))</f>
        <v>FA62048</v>
      </c>
      <c r="D67" s="605" t="str">
        <f>IF(ISERROR(VLOOKUP($E67,$E$215:$H$290,2,FALSE)),"",VLOOKUP($E67,$E$215:$H$290,2,FALSE))</f>
        <v>02020124</v>
      </c>
      <c r="E67" s="879" t="s">
        <v>503</v>
      </c>
      <c r="F67" s="582"/>
      <c r="G67" s="880" t="str">
        <f>IF(F67&gt;=1,VLOOKUP(E67,E$214:H$290,4,FALSE),"")</f>
        <v/>
      </c>
      <c r="H67" s="613" t="str">
        <f t="shared" si="9"/>
        <v/>
      </c>
      <c r="I67" s="527"/>
    </row>
    <row r="68" spans="2:23">
      <c r="B68" s="537"/>
      <c r="C68" s="548"/>
      <c r="D68" s="605"/>
      <c r="E68" s="879"/>
      <c r="F68" s="582"/>
      <c r="G68" s="880"/>
      <c r="H68" s="613"/>
      <c r="I68" s="527"/>
    </row>
    <row r="69" spans="2:23">
      <c r="B69" s="537"/>
      <c r="C69" s="548" t="str">
        <f>IF(ISERROR(VLOOKUP($E69,$E$215:$H$290,3,FALSE)),"",VLOOKUP($E69,$E$215:$H$290,3,FALSE))</f>
        <v>FA62047</v>
      </c>
      <c r="D69" s="605" t="str">
        <f>IF(ISERROR(VLOOKUP($E69,$E$215:$H$290,2,FALSE)),"",VLOOKUP($E69,$E$215:$H$290,2,FALSE))</f>
        <v>02020123</v>
      </c>
      <c r="E69" s="879" t="s">
        <v>504</v>
      </c>
      <c r="F69" s="582"/>
      <c r="G69" s="880" t="str">
        <f>IF(F69&gt;=1,VLOOKUP(E69,E$214:H$290,4,FALSE),"")</f>
        <v/>
      </c>
      <c r="H69" s="613" t="str">
        <f t="shared" si="9"/>
        <v/>
      </c>
      <c r="I69" s="527"/>
    </row>
    <row r="70" spans="2:23">
      <c r="B70" s="537"/>
      <c r="C70" s="548" t="str">
        <f>IF(ISERROR(VLOOKUP($E70,$E$215:$H$290,3,FALSE)),"",VLOOKUP($E70,$E$215:$H$290,3,FALSE))</f>
        <v>FA62044</v>
      </c>
      <c r="D70" s="605" t="str">
        <f>IF(ISERROR(VLOOKUP($E70,$E$215:$H$290,2,FALSE)),"",VLOOKUP($E70,$E$215:$H$290,2,FALSE))</f>
        <v>02020121</v>
      </c>
      <c r="E70" s="879" t="s">
        <v>505</v>
      </c>
      <c r="F70" s="582"/>
      <c r="G70" s="880" t="str">
        <f>IF(F70&gt;=1,VLOOKUP(E70,E$214:H$290,4,FALSE),"")</f>
        <v/>
      </c>
      <c r="H70" s="613" t="str">
        <f t="shared" si="9"/>
        <v/>
      </c>
      <c r="I70" s="527"/>
    </row>
    <row r="71" spans="2:23">
      <c r="B71" s="537"/>
      <c r="C71" s="548" t="str">
        <f>IF(ISERROR(VLOOKUP($E71,$E$215:$H$290,3,FALSE)),"",VLOOKUP($E71,$E$215:$H$290,3,FALSE))</f>
        <v>FA62046</v>
      </c>
      <c r="D71" s="605" t="str">
        <f>IF(ISERROR(VLOOKUP($E71,$E$215:$H$290,2,FALSE)),"",VLOOKUP($E71,$E$215:$H$290,2,FALSE))</f>
        <v>02020122</v>
      </c>
      <c r="E71" s="879" t="s">
        <v>506</v>
      </c>
      <c r="F71" s="582"/>
      <c r="G71" s="880" t="str">
        <f>IF(F71&gt;=1,VLOOKUP(E71,E$214:H$290,4,FALSE),"")</f>
        <v/>
      </c>
      <c r="H71" s="613" t="str">
        <f t="shared" si="9"/>
        <v/>
      </c>
      <c r="I71" s="527"/>
    </row>
    <row r="72" spans="2:23">
      <c r="B72" s="537"/>
      <c r="C72" s="548"/>
      <c r="D72" s="605"/>
      <c r="E72" s="879"/>
      <c r="F72" s="582"/>
      <c r="G72" s="880"/>
      <c r="H72" s="613"/>
      <c r="I72" s="527"/>
    </row>
    <row r="73" spans="2:23">
      <c r="B73" s="537"/>
      <c r="C73" s="548" t="str">
        <f t="shared" ref="C73:C78" si="11">IF(ISERROR(VLOOKUP($E73,$E$215:$H$290,3,FALSE)),"",VLOOKUP($E73,$E$215:$H$290,3,FALSE))</f>
        <v>FA62050</v>
      </c>
      <c r="D73" s="605" t="str">
        <f t="shared" ref="D73:D78" si="12">IF(ISERROR(VLOOKUP($E73,$E$215:$H$290,2,FALSE)),"",VLOOKUP($E73,$E$215:$H$290,2,FALSE))</f>
        <v>02020126</v>
      </c>
      <c r="E73" s="879" t="s">
        <v>499</v>
      </c>
      <c r="F73" s="582"/>
      <c r="G73" s="880" t="str">
        <f t="shared" ref="G73:G78" si="13">IF(F73&gt;=1,VLOOKUP(E73,E$214:H$290,4,FALSE),"")</f>
        <v/>
      </c>
      <c r="H73" s="613" t="str">
        <f t="shared" si="9"/>
        <v/>
      </c>
      <c r="I73" s="527"/>
    </row>
    <row r="74" spans="2:23">
      <c r="B74" s="537"/>
      <c r="C74" s="548" t="str">
        <f t="shared" si="11"/>
        <v>FA62049</v>
      </c>
      <c r="D74" s="605" t="str">
        <f t="shared" si="12"/>
        <v>02020125</v>
      </c>
      <c r="E74" s="879" t="s">
        <v>500</v>
      </c>
      <c r="F74" s="582"/>
      <c r="G74" s="880" t="str">
        <f t="shared" si="13"/>
        <v/>
      </c>
      <c r="H74" s="613" t="str">
        <f t="shared" si="9"/>
        <v/>
      </c>
      <c r="I74" s="527"/>
    </row>
    <row r="75" spans="2:23">
      <c r="B75" s="537"/>
      <c r="C75" s="548" t="str">
        <f t="shared" si="11"/>
        <v>FA62051</v>
      </c>
      <c r="D75" s="605" t="str">
        <f t="shared" si="12"/>
        <v>02020127</v>
      </c>
      <c r="E75" s="879" t="s">
        <v>501</v>
      </c>
      <c r="F75" s="582"/>
      <c r="G75" s="880" t="str">
        <f t="shared" si="13"/>
        <v/>
      </c>
      <c r="H75" s="613" t="str">
        <f t="shared" si="9"/>
        <v/>
      </c>
      <c r="I75" s="527"/>
    </row>
    <row r="76" spans="2:23">
      <c r="B76" s="537"/>
      <c r="C76" s="548" t="str">
        <f t="shared" si="11"/>
        <v>FA62052</v>
      </c>
      <c r="D76" s="605" t="str">
        <f t="shared" si="12"/>
        <v>02020128</v>
      </c>
      <c r="E76" s="879" t="s">
        <v>502</v>
      </c>
      <c r="F76" s="582"/>
      <c r="G76" s="880" t="str">
        <f t="shared" si="13"/>
        <v/>
      </c>
      <c r="H76" s="613" t="str">
        <f t="shared" si="9"/>
        <v/>
      </c>
      <c r="I76" s="527"/>
    </row>
    <row r="77" spans="2:23">
      <c r="B77" s="537"/>
      <c r="C77" s="548" t="str">
        <f t="shared" si="11"/>
        <v>SK-MECH-602</v>
      </c>
      <c r="D77" s="605">
        <f t="shared" si="12"/>
        <v>13080029</v>
      </c>
      <c r="E77" s="879" t="s">
        <v>367</v>
      </c>
      <c r="F77" s="582"/>
      <c r="G77" s="880" t="str">
        <f t="shared" si="13"/>
        <v/>
      </c>
      <c r="H77" s="613" t="str">
        <f t="shared" si="9"/>
        <v/>
      </c>
      <c r="I77" s="527"/>
    </row>
    <row r="78" spans="2:23" ht="13.5" thickBot="1">
      <c r="B78" s="537"/>
      <c r="C78" s="614" t="str">
        <f t="shared" si="11"/>
        <v/>
      </c>
      <c r="D78" s="615" t="str">
        <f t="shared" si="12"/>
        <v/>
      </c>
      <c r="E78" s="557"/>
      <c r="F78" s="558"/>
      <c r="G78" s="616" t="str">
        <f t="shared" si="13"/>
        <v/>
      </c>
      <c r="H78" s="617" t="str">
        <f t="shared" si="9"/>
        <v/>
      </c>
      <c r="I78" s="527"/>
      <c r="J78" s="618"/>
      <c r="V78" s="899">
        <v>0</v>
      </c>
      <c r="W78" s="898" t="str">
        <f>IF(ISERROR(H78*(1-V78)),"",H78*(1-V78))</f>
        <v/>
      </c>
    </row>
    <row r="79" spans="2:23" ht="13.5" thickBot="1">
      <c r="B79" s="520"/>
      <c r="C79" s="562"/>
      <c r="D79" s="562"/>
      <c r="E79" s="619"/>
      <c r="F79" s="526"/>
      <c r="G79" s="620" t="s">
        <v>42</v>
      </c>
      <c r="H79" s="588">
        <f>SUM(H50:H78)</f>
        <v>0</v>
      </c>
      <c r="I79" s="527"/>
      <c r="J79" s="621"/>
    </row>
    <row r="80" spans="2:23" ht="13.5" thickBot="1">
      <c r="B80" s="520"/>
      <c r="C80" s="562"/>
      <c r="D80" s="562"/>
      <c r="E80" s="622"/>
      <c r="F80" s="526"/>
      <c r="G80" s="623"/>
      <c r="H80" s="623"/>
      <c r="I80" s="527"/>
    </row>
    <row r="81" spans="2:23" ht="16.5" thickBot="1">
      <c r="B81" s="520"/>
      <c r="C81" s="531" t="s">
        <v>40</v>
      </c>
      <c r="D81" s="532"/>
      <c r="E81" s="533"/>
      <c r="F81" s="534"/>
      <c r="G81" s="535"/>
      <c r="H81" s="536"/>
      <c r="I81" s="527"/>
      <c r="J81" s="621"/>
    </row>
    <row r="82" spans="2:23" ht="4.5" customHeight="1" thickBot="1">
      <c r="B82" s="520"/>
      <c r="C82" s="520"/>
      <c r="D82" s="520"/>
      <c r="E82" s="520"/>
      <c r="F82" s="520"/>
      <c r="G82" s="520"/>
      <c r="H82" s="520"/>
      <c r="I82" s="527"/>
    </row>
    <row r="83" spans="2:23">
      <c r="B83" s="571"/>
      <c r="C83" s="869" t="s">
        <v>639</v>
      </c>
      <c r="D83" s="589"/>
      <c r="E83" s="590"/>
      <c r="F83" s="591"/>
      <c r="G83" s="592"/>
      <c r="H83" s="593"/>
      <c r="I83" s="527"/>
      <c r="J83" s="621"/>
      <c r="V83" s="899"/>
      <c r="W83" s="898"/>
    </row>
    <row r="84" spans="2:23">
      <c r="B84" s="571"/>
      <c r="C84" s="972"/>
      <c r="D84" s="973"/>
      <c r="E84" s="974" t="s">
        <v>1105</v>
      </c>
      <c r="F84" s="632"/>
      <c r="G84" s="633">
        <v>951</v>
      </c>
      <c r="H84" s="634">
        <f>IF(ISERROR(G84*F84),"",G84*F84)</f>
        <v>0</v>
      </c>
      <c r="I84" s="527"/>
      <c r="J84" s="621"/>
      <c r="K84" s="522" t="e">
        <f>VLOOKUP(E84,$E$261:$N$262,10,FALSE)</f>
        <v>#N/A</v>
      </c>
      <c r="L84" s="522" t="e">
        <f>IF(#REF!&gt;=1,"Y",IF(F42=1,"Y","N"))</f>
        <v>#REF!</v>
      </c>
      <c r="V84" s="899">
        <v>0</v>
      </c>
      <c r="W84" s="898">
        <f>IF(ISERROR(H84*(1-V84)),"",H84*(1-V84))</f>
        <v>0</v>
      </c>
    </row>
    <row r="85" spans="2:23">
      <c r="B85" s="571"/>
      <c r="C85" s="972" t="s">
        <v>762</v>
      </c>
      <c r="D85" s="973" t="s">
        <v>761</v>
      </c>
      <c r="E85" s="974" t="s">
        <v>1106</v>
      </c>
      <c r="F85" s="632"/>
      <c r="G85" s="633">
        <v>142</v>
      </c>
      <c r="H85" s="634">
        <f>IF(ISERROR(G85*F85),"",G85*F85)</f>
        <v>0</v>
      </c>
      <c r="I85" s="527"/>
      <c r="J85" s="621"/>
      <c r="V85" s="899"/>
      <c r="W85" s="898"/>
    </row>
    <row r="86" spans="2:23">
      <c r="B86" s="520"/>
      <c r="C86" s="972" t="str">
        <f>IF(ISERROR(VLOOKUP($E86,$E$215:$H$290,3,FALSE)),"",VLOOKUP($E86,$E$215:$H$290,3,FALSE))</f>
        <v>FA9M121/5L</v>
      </c>
      <c r="D86" s="973" t="str">
        <f>IF(ISERROR(VLOOKUP($E86,$E$215:$H$290,2,FALSE)),"",VLOOKUP($E86,$E$215:$H$290,2,FALSE))</f>
        <v>16140053</v>
      </c>
      <c r="E86" s="974" t="s">
        <v>690</v>
      </c>
      <c r="F86" s="632"/>
      <c r="G86" s="633">
        <f>IF(F86&gt;=0,VLOOKUP(E86,E$214:H$290,4,FALSE),"")</f>
        <v>316</v>
      </c>
      <c r="H86" s="634">
        <f>IF(ISERROR(G86*F86),"",G86*F86)</f>
        <v>0</v>
      </c>
      <c r="I86" s="527"/>
      <c r="V86" s="899">
        <v>0</v>
      </c>
      <c r="W86" s="898">
        <f>IF(ISERROR(H86*(1-V86)),"",H86*(1-V86))</f>
        <v>0</v>
      </c>
    </row>
    <row r="87" spans="2:23">
      <c r="B87" s="520"/>
      <c r="C87" s="932" t="s">
        <v>1199</v>
      </c>
      <c r="D87" s="1075" t="s">
        <v>1198</v>
      </c>
      <c r="E87" s="631" t="s">
        <v>1068</v>
      </c>
      <c r="F87" s="632"/>
      <c r="G87" s="633">
        <f>1096</f>
        <v>1096</v>
      </c>
      <c r="H87" s="634">
        <f>IF(ISERROR(G87*F87),"",G87*F87)</f>
        <v>0</v>
      </c>
      <c r="I87" s="527"/>
      <c r="V87" s="899"/>
      <c r="W87" s="898"/>
    </row>
    <row r="88" spans="2:23">
      <c r="B88" s="520"/>
      <c r="C88" s="932"/>
      <c r="D88" s="630"/>
      <c r="E88" s="631"/>
      <c r="F88" s="632"/>
      <c r="G88" s="633"/>
      <c r="H88" s="634"/>
      <c r="I88" s="527"/>
      <c r="V88" s="899"/>
      <c r="W88" s="898"/>
    </row>
    <row r="89" spans="2:23" ht="25.5">
      <c r="B89" s="520"/>
      <c r="C89" s="629"/>
      <c r="D89" s="1034" t="s">
        <v>672</v>
      </c>
      <c r="E89" s="881" t="s">
        <v>1139</v>
      </c>
      <c r="F89" s="1035">
        <f>SUM(F28:F29)</f>
        <v>0</v>
      </c>
      <c r="G89" s="1036">
        <v>300</v>
      </c>
      <c r="H89" s="634">
        <f>IF(ISERROR(G89*F89),"",G89*F89)</f>
        <v>0</v>
      </c>
      <c r="I89" s="527"/>
      <c r="V89" s="899"/>
      <c r="W89" s="898"/>
    </row>
    <row r="90" spans="2:23">
      <c r="B90" s="520"/>
      <c r="C90" s="629"/>
      <c r="D90" s="1034"/>
      <c r="E90" s="881"/>
      <c r="F90" s="632"/>
      <c r="G90" s="633"/>
      <c r="H90" s="634"/>
      <c r="I90" s="527"/>
      <c r="V90" s="899"/>
      <c r="W90" s="898"/>
    </row>
    <row r="91" spans="2:23" ht="13.5" thickBot="1">
      <c r="B91" s="520"/>
      <c r="C91" s="635"/>
      <c r="D91" s="636"/>
      <c r="E91" s="637"/>
      <c r="F91" s="638"/>
      <c r="G91" s="639"/>
      <c r="H91" s="640"/>
      <c r="I91" s="527"/>
      <c r="V91" s="899">
        <v>0</v>
      </c>
      <c r="W91" s="898">
        <f>IF(ISERROR(H91*(1-V91)),"",H91*(1-V91))</f>
        <v>0</v>
      </c>
    </row>
    <row r="92" spans="2:23" ht="13.5" thickBot="1">
      <c r="B92" s="520"/>
      <c r="C92" s="528"/>
      <c r="D92" s="528"/>
      <c r="E92" s="520"/>
      <c r="F92" s="529"/>
      <c r="G92" s="587" t="s">
        <v>42</v>
      </c>
      <c r="H92" s="641">
        <f>SUM(H84:H91)</f>
        <v>0</v>
      </c>
      <c r="I92" s="527"/>
    </row>
    <row r="93" spans="2:23">
      <c r="B93" s="520"/>
      <c r="C93" s="528"/>
      <c r="D93" s="528"/>
      <c r="E93" s="520"/>
      <c r="F93" s="529"/>
      <c r="G93" s="642"/>
      <c r="H93" s="643"/>
      <c r="I93" s="527"/>
    </row>
    <row r="94" spans="2:23" ht="4.5" customHeight="1" thickBot="1">
      <c r="B94" s="520"/>
      <c r="C94" s="528"/>
      <c r="D94" s="528"/>
      <c r="E94" s="520"/>
      <c r="F94" s="529"/>
      <c r="G94" s="642"/>
      <c r="H94" s="643"/>
      <c r="I94" s="527"/>
    </row>
    <row r="95" spans="2:23" ht="16.5" thickBot="1">
      <c r="B95" s="520"/>
      <c r="C95" s="531" t="s">
        <v>141</v>
      </c>
      <c r="D95" s="532"/>
      <c r="E95" s="533" t="str">
        <f>IF(H106&gt;0, "NOTE: Please Ensure you submitt the CPM online","")</f>
        <v/>
      </c>
      <c r="F95" s="534"/>
      <c r="G95" s="535"/>
      <c r="H95" s="536"/>
      <c r="I95" s="527"/>
    </row>
    <row r="96" spans="2:23" ht="4.5" customHeight="1" thickBot="1">
      <c r="B96" s="520"/>
      <c r="C96" s="520"/>
      <c r="D96" s="520"/>
      <c r="E96" s="520"/>
      <c r="F96" s="520"/>
      <c r="G96" s="520"/>
      <c r="H96" s="520"/>
      <c r="I96" s="527"/>
    </row>
    <row r="97" spans="2:23">
      <c r="B97" s="520"/>
      <c r="C97" s="644"/>
      <c r="D97" s="573"/>
      <c r="E97" s="625"/>
      <c r="F97" s="626">
        <v>1</v>
      </c>
      <c r="G97" s="645"/>
      <c r="H97" s="646">
        <f>IF(ISERROR(G97*F97),"",G97*F97)</f>
        <v>0</v>
      </c>
      <c r="I97" s="527"/>
      <c r="V97" s="899">
        <v>0</v>
      </c>
      <c r="W97" s="898">
        <f>IF(ISERROR(H97*(1-V97)),"",H97*(1-V97))</f>
        <v>0</v>
      </c>
    </row>
    <row r="98" spans="2:23">
      <c r="B98" s="520"/>
      <c r="C98" s="647"/>
      <c r="D98" s="648"/>
      <c r="E98" s="649"/>
      <c r="F98" s="650">
        <v>1</v>
      </c>
      <c r="G98" s="651"/>
      <c r="H98" s="652">
        <f t="shared" ref="H98:H101" si="14">IF(ISERROR(G98*F98),"",G98*F98)</f>
        <v>0</v>
      </c>
      <c r="I98" s="527"/>
      <c r="V98" s="899"/>
      <c r="W98" s="898"/>
    </row>
    <row r="99" spans="2:23">
      <c r="B99" s="520"/>
      <c r="C99" s="647"/>
      <c r="D99" s="648"/>
      <c r="E99" s="649"/>
      <c r="F99" s="650">
        <v>1</v>
      </c>
      <c r="G99" s="651"/>
      <c r="H99" s="652">
        <f t="shared" si="14"/>
        <v>0</v>
      </c>
      <c r="I99" s="527"/>
      <c r="V99" s="899"/>
      <c r="W99" s="898"/>
    </row>
    <row r="100" spans="2:23">
      <c r="B100" s="520"/>
      <c r="C100" s="647"/>
      <c r="D100" s="648"/>
      <c r="E100" s="649"/>
      <c r="F100" s="650">
        <v>1</v>
      </c>
      <c r="G100" s="651"/>
      <c r="H100" s="652">
        <f t="shared" si="14"/>
        <v>0</v>
      </c>
      <c r="I100" s="527"/>
      <c r="V100" s="899"/>
      <c r="W100" s="898"/>
    </row>
    <row r="101" spans="2:23">
      <c r="B101" s="520"/>
      <c r="C101" s="647"/>
      <c r="D101" s="648"/>
      <c r="E101" s="649"/>
      <c r="F101" s="650">
        <v>1</v>
      </c>
      <c r="G101" s="651"/>
      <c r="H101" s="652">
        <f t="shared" si="14"/>
        <v>0</v>
      </c>
      <c r="I101" s="527"/>
      <c r="V101" s="899"/>
      <c r="W101" s="898"/>
    </row>
    <row r="102" spans="2:23">
      <c r="B102" s="520"/>
      <c r="C102" s="647"/>
      <c r="D102" s="648"/>
      <c r="E102" s="649"/>
      <c r="F102" s="650">
        <v>1</v>
      </c>
      <c r="G102" s="651"/>
      <c r="H102" s="652">
        <f>IF(ISERROR(G102*F102),"",G102*F102)</f>
        <v>0</v>
      </c>
      <c r="I102" s="527"/>
      <c r="V102" s="899"/>
      <c r="W102" s="898"/>
    </row>
    <row r="103" spans="2:23">
      <c r="B103" s="520"/>
      <c r="C103" s="647"/>
      <c r="D103" s="648"/>
      <c r="E103" s="649"/>
      <c r="F103" s="650">
        <v>1</v>
      </c>
      <c r="G103" s="651"/>
      <c r="H103" s="652">
        <f>IF(ISERROR(G103*F103),"",G103*F103)</f>
        <v>0</v>
      </c>
      <c r="I103" s="527"/>
      <c r="V103" s="899"/>
      <c r="W103" s="898"/>
    </row>
    <row r="104" spans="2:23">
      <c r="B104" s="520"/>
      <c r="C104" s="653"/>
      <c r="D104" s="654"/>
      <c r="E104" s="631"/>
      <c r="F104" s="632">
        <v>1</v>
      </c>
      <c r="G104" s="655"/>
      <c r="H104" s="652">
        <f>IF(ISERROR(G104*F104),"",G104*F104)</f>
        <v>0</v>
      </c>
      <c r="I104" s="527"/>
      <c r="V104" s="899">
        <v>0</v>
      </c>
      <c r="W104" s="898">
        <f>IF(ISERROR(H104*(1-V104)),"",H104*(1-V104))</f>
        <v>0</v>
      </c>
    </row>
    <row r="105" spans="2:23" ht="13.5" thickBot="1">
      <c r="B105" s="520"/>
      <c r="C105" s="656"/>
      <c r="D105" s="657"/>
      <c r="E105" s="637"/>
      <c r="F105" s="658">
        <v>1</v>
      </c>
      <c r="G105" s="659"/>
      <c r="H105" s="660">
        <f>IF(ISERROR(G105*F105),"",G105*F105)</f>
        <v>0</v>
      </c>
      <c r="I105" s="527"/>
      <c r="V105" s="899">
        <v>0</v>
      </c>
      <c r="W105" s="898">
        <f>IF(ISERROR(H105*(1-V105)),"",H105*(1-V105))</f>
        <v>0</v>
      </c>
    </row>
    <row r="106" spans="2:23" ht="13.5" thickBot="1">
      <c r="B106" s="520"/>
      <c r="C106" s="528"/>
      <c r="D106" s="528"/>
      <c r="E106" s="520"/>
      <c r="F106" s="529"/>
      <c r="G106" s="587" t="s">
        <v>42</v>
      </c>
      <c r="H106" s="641">
        <f>SUM(H97:H105)</f>
        <v>0</v>
      </c>
      <c r="I106" s="527"/>
      <c r="J106" s="618"/>
    </row>
    <row r="107" spans="2:23">
      <c r="B107" s="520"/>
      <c r="C107" s="528"/>
      <c r="D107" s="528"/>
      <c r="E107" s="520"/>
      <c r="F107" s="529"/>
      <c r="G107" s="642"/>
      <c r="H107" s="643"/>
      <c r="I107" s="527"/>
      <c r="J107" s="621"/>
    </row>
    <row r="108" spans="2:23" ht="3.75" customHeight="1" thickBot="1">
      <c r="B108" s="520"/>
      <c r="C108" s="562"/>
      <c r="D108" s="562"/>
      <c r="E108" s="619"/>
      <c r="F108" s="526"/>
      <c r="G108" s="623"/>
      <c r="H108" s="623"/>
      <c r="I108" s="527"/>
    </row>
    <row r="109" spans="2:23" ht="16.5" thickBot="1">
      <c r="B109" s="520"/>
      <c r="C109" s="531" t="s">
        <v>44</v>
      </c>
      <c r="D109" s="532"/>
      <c r="E109" s="533"/>
      <c r="F109" s="534"/>
      <c r="G109" s="535"/>
      <c r="H109" s="536"/>
      <c r="I109" s="527"/>
      <c r="J109" s="621"/>
    </row>
    <row r="110" spans="2:23" ht="4.5" customHeight="1" thickBot="1">
      <c r="B110" s="520"/>
      <c r="C110" s="520"/>
      <c r="D110" s="520"/>
      <c r="E110" s="520"/>
      <c r="F110" s="520"/>
      <c r="G110" s="520"/>
      <c r="H110" s="520"/>
      <c r="I110" s="527"/>
    </row>
    <row r="111" spans="2:23">
      <c r="B111" s="520"/>
      <c r="C111" s="624"/>
      <c r="D111" s="661"/>
      <c r="E111" s="190" t="s">
        <v>1131</v>
      </c>
      <c r="F111" s="662">
        <f>SUM(F28:F29)</f>
        <v>0</v>
      </c>
      <c r="G111" s="627">
        <v>570</v>
      </c>
      <c r="H111" s="628">
        <f t="shared" ref="H111:H119" si="15">IF(ISERROR(G111*F111),"",G111*F111)</f>
        <v>0</v>
      </c>
      <c r="I111" s="527"/>
      <c r="J111" s="621"/>
      <c r="V111" s="899">
        <v>0</v>
      </c>
      <c r="W111" s="898">
        <f>IF(ISERROR(H111*(1-V111)),"",H111*(1-V111))</f>
        <v>0</v>
      </c>
    </row>
    <row r="112" spans="2:23" ht="17.25" customHeight="1">
      <c r="B112" s="520"/>
      <c r="C112" s="629"/>
      <c r="D112" s="663"/>
      <c r="E112" s="664" t="s">
        <v>105</v>
      </c>
      <c r="F112" s="665"/>
      <c r="G112" s="666" t="str">
        <f>IF(F112="","",H302)</f>
        <v/>
      </c>
      <c r="H112" s="667" t="str">
        <f t="shared" si="15"/>
        <v/>
      </c>
      <c r="I112" s="527"/>
      <c r="J112" s="621"/>
      <c r="V112" s="899">
        <v>0</v>
      </c>
      <c r="W112" s="898" t="str">
        <f>IF(ISERROR(H112*(1-V112)),"",H112*(1-V112))</f>
        <v/>
      </c>
    </row>
    <row r="113" spans="2:28" ht="17.25" customHeight="1">
      <c r="B113" s="520"/>
      <c r="C113" s="668"/>
      <c r="D113" s="669"/>
      <c r="E113" s="670" t="s">
        <v>1144</v>
      </c>
      <c r="F113" s="671">
        <f>SUM(F17,F28:F29)</f>
        <v>0</v>
      </c>
      <c r="G113" s="666">
        <f>F113*135</f>
        <v>0</v>
      </c>
      <c r="H113" s="667"/>
      <c r="I113" s="527"/>
      <c r="J113" s="621"/>
      <c r="V113" s="899"/>
      <c r="W113" s="898"/>
    </row>
    <row r="114" spans="2:28">
      <c r="B114" s="520"/>
      <c r="C114" s="668"/>
      <c r="D114" s="669"/>
      <c r="E114" s="670" t="s">
        <v>691</v>
      </c>
      <c r="F114" s="671"/>
      <c r="G114" s="672"/>
      <c r="H114" s="667">
        <f t="shared" si="15"/>
        <v>0</v>
      </c>
      <c r="I114" s="527"/>
      <c r="J114" s="621"/>
      <c r="V114" s="899">
        <v>0</v>
      </c>
      <c r="W114" s="898">
        <f>IF(ISERROR(H114*(1-V114)),"",H114*(1-V114))</f>
        <v>0</v>
      </c>
    </row>
    <row r="115" spans="2:28">
      <c r="B115" s="520"/>
      <c r="C115" s="668"/>
      <c r="D115" s="669"/>
      <c r="E115" s="670" t="s">
        <v>1018</v>
      </c>
      <c r="F115" s="671">
        <v>-1</v>
      </c>
      <c r="G115" s="673"/>
      <c r="H115" s="667">
        <f t="shared" si="15"/>
        <v>0</v>
      </c>
      <c r="I115" s="527"/>
      <c r="J115" s="621"/>
      <c r="V115" s="899"/>
      <c r="W115" s="898"/>
    </row>
    <row r="116" spans="2:28">
      <c r="B116" s="520"/>
      <c r="C116" s="969"/>
      <c r="D116" s="581"/>
      <c r="E116" s="670"/>
      <c r="F116" s="671"/>
      <c r="G116" s="673"/>
      <c r="H116" s="667">
        <f t="shared" si="15"/>
        <v>0</v>
      </c>
      <c r="I116" s="527"/>
      <c r="J116" s="621"/>
      <c r="V116" s="899"/>
      <c r="W116" s="898"/>
    </row>
    <row r="117" spans="2:28">
      <c r="B117" s="520"/>
      <c r="C117" s="668"/>
      <c r="D117" s="669"/>
      <c r="E117" s="670"/>
      <c r="F117" s="671"/>
      <c r="G117" s="673"/>
      <c r="H117" s="667">
        <f t="shared" si="15"/>
        <v>0</v>
      </c>
      <c r="I117" s="527"/>
      <c r="J117" s="621"/>
      <c r="V117" s="899"/>
      <c r="W117" s="898"/>
    </row>
    <row r="118" spans="2:28">
      <c r="B118" s="520"/>
      <c r="C118" s="668"/>
      <c r="D118" s="669"/>
      <c r="E118" s="670"/>
      <c r="F118" s="671"/>
      <c r="G118" s="673"/>
      <c r="H118" s="667">
        <f t="shared" si="15"/>
        <v>0</v>
      </c>
      <c r="I118" s="527"/>
      <c r="J118" s="621"/>
      <c r="V118" s="899">
        <v>0</v>
      </c>
      <c r="W118" s="898">
        <f>IF(ISERROR(H118*(1-V118)),"",H118*(1-V118))</f>
        <v>0</v>
      </c>
    </row>
    <row r="119" spans="2:28" ht="13.5" thickBot="1">
      <c r="B119" s="520"/>
      <c r="C119" s="674"/>
      <c r="D119" s="585"/>
      <c r="E119" s="675"/>
      <c r="F119" s="676"/>
      <c r="G119" s="677"/>
      <c r="H119" s="678">
        <f t="shared" si="15"/>
        <v>0</v>
      </c>
      <c r="I119" s="527"/>
      <c r="J119" s="621"/>
      <c r="V119" s="899">
        <v>0</v>
      </c>
      <c r="W119" s="898">
        <f>IF(ISERROR(H119*(1-V119)),"",H119*(1-V119))</f>
        <v>0</v>
      </c>
    </row>
    <row r="120" spans="2:28" ht="13.5" thickBot="1">
      <c r="B120" s="520"/>
      <c r="C120" s="798" t="s">
        <v>778</v>
      </c>
      <c r="D120" s="799">
        <f>H32</f>
        <v>0</v>
      </c>
      <c r="E120" s="796"/>
      <c r="F120" s="526"/>
      <c r="G120" s="587" t="s">
        <v>42</v>
      </c>
      <c r="H120" s="641">
        <f>SUM(H111:H119)</f>
        <v>0</v>
      </c>
      <c r="I120" s="527"/>
    </row>
    <row r="121" spans="2:28">
      <c r="B121" s="520"/>
      <c r="C121" s="798" t="s">
        <v>584</v>
      </c>
      <c r="D121" s="800">
        <f>SUM(H120,H106,H92,H79,H45)</f>
        <v>0</v>
      </c>
      <c r="E121" s="520"/>
      <c r="F121" s="529"/>
      <c r="G121" s="529"/>
      <c r="H121" s="529"/>
      <c r="I121" s="527"/>
    </row>
    <row r="122" spans="2:28" ht="13.5" thickBot="1">
      <c r="B122" s="520"/>
      <c r="C122" s="434" t="s">
        <v>585</v>
      </c>
      <c r="D122" s="801">
        <f>H160-D121</f>
        <v>0</v>
      </c>
      <c r="E122" s="520"/>
      <c r="F122" s="529"/>
      <c r="G122" s="520"/>
      <c r="H122" s="520"/>
      <c r="I122" s="527"/>
    </row>
    <row r="123" spans="2:28" ht="13.5" hidden="1" thickBot="1">
      <c r="B123" s="520"/>
      <c r="C123" s="571"/>
      <c r="D123" s="802"/>
      <c r="E123" s="520"/>
      <c r="F123" s="529"/>
      <c r="G123" s="520"/>
      <c r="H123" s="520"/>
      <c r="I123" s="527"/>
    </row>
    <row r="124" spans="2:28" ht="13.5" hidden="1" thickBot="1">
      <c r="B124" s="520"/>
      <c r="C124" s="803"/>
      <c r="D124" s="802"/>
      <c r="E124" s="679" t="s">
        <v>102</v>
      </c>
      <c r="F124" s="529"/>
      <c r="G124" s="680" t="s">
        <v>101</v>
      </c>
      <c r="H124" s="681"/>
      <c r="I124" s="527"/>
    </row>
    <row r="125" spans="2:28" ht="13.5" hidden="1" thickBot="1">
      <c r="B125" s="520"/>
      <c r="C125" s="804"/>
      <c r="D125" s="802"/>
      <c r="E125" s="520"/>
      <c r="F125" s="529"/>
      <c r="G125" s="683"/>
      <c r="H125" s="684"/>
      <c r="I125" s="527"/>
    </row>
    <row r="126" spans="2:28" ht="13.5" thickBot="1">
      <c r="B126" s="520"/>
      <c r="C126" s="434" t="s">
        <v>586</v>
      </c>
      <c r="D126" s="805" t="e">
        <f>ROUND((D122/D120)-1,4)</f>
        <v>#DIV/0!</v>
      </c>
      <c r="E126" s="528"/>
      <c r="F126" s="529"/>
      <c r="G126" s="680" t="s">
        <v>41</v>
      </c>
      <c r="H126" s="685">
        <f>SUM(H79,H120,H92,H124,H45,H106,H32)</f>
        <v>0</v>
      </c>
      <c r="I126" s="527"/>
      <c r="W126" s="898">
        <f>SUM(W17:W119)</f>
        <v>0</v>
      </c>
    </row>
    <row r="127" spans="2:28" ht="13.5" thickBot="1">
      <c r="B127" s="520"/>
      <c r="C127" s="434" t="s">
        <v>586</v>
      </c>
      <c r="D127" s="806"/>
      <c r="E127" s="686"/>
      <c r="F127" s="529"/>
      <c r="G127" s="529"/>
      <c r="H127" s="529"/>
      <c r="I127" s="687"/>
      <c r="W127" s="522" t="s">
        <v>692</v>
      </c>
      <c r="Y127" s="897" t="e">
        <f>(W126/H126)-1</f>
        <v>#DIV/0!</v>
      </c>
    </row>
    <row r="128" spans="2:28" ht="16.5" thickBot="1">
      <c r="B128" s="520"/>
      <c r="C128" s="528"/>
      <c r="D128" s="682"/>
      <c r="E128" s="688" t="str">
        <f>IF(D144="Y","",IF(H128&gt;18.4%,"Warning this is above the maximum allowable discount!",""))</f>
        <v/>
      </c>
      <c r="F128" s="529"/>
      <c r="G128" s="689" t="s">
        <v>73</v>
      </c>
      <c r="H128" s="690"/>
      <c r="I128" s="687"/>
      <c r="W128" s="522" t="s">
        <v>693</v>
      </c>
      <c r="Y128" s="897" t="e">
        <f>(AB128/AA128)-1</f>
        <v>#DIV/0!</v>
      </c>
      <c r="AA128" s="898">
        <f>SUM(H17:H44,H50:H59)</f>
        <v>0</v>
      </c>
      <c r="AB128" s="898">
        <f>SUM(W17:W44,W50:W59)</f>
        <v>0</v>
      </c>
    </row>
    <row r="129" spans="2:9" ht="16.5" thickBot="1">
      <c r="B129" s="520"/>
      <c r="C129" s="528"/>
      <c r="D129" s="682"/>
      <c r="E129" s="688" t="str">
        <f>IF(AND(D144="Y",H128&gt;18.4%),"Special Discount Approved by Sales Manager",IF(H128&gt;18.4%,"Pending Approval",""))</f>
        <v/>
      </c>
      <c r="F129" s="520"/>
      <c r="G129" s="520"/>
      <c r="H129" s="520"/>
      <c r="I129" s="687"/>
    </row>
    <row r="130" spans="2:9" ht="13.5" thickBot="1">
      <c r="B130" s="520"/>
      <c r="C130" s="528"/>
      <c r="D130" s="528"/>
      <c r="E130" s="520"/>
      <c r="F130" s="520"/>
      <c r="G130" s="691" t="s">
        <v>41</v>
      </c>
      <c r="H130" s="685">
        <f>SUM(H32,H79)*(1-H128)+SUM(H124,H92,H120,H106,H45)</f>
        <v>0</v>
      </c>
      <c r="I130" s="687"/>
    </row>
    <row r="131" spans="2:9">
      <c r="B131" s="520"/>
      <c r="C131" s="528"/>
      <c r="D131" s="528"/>
      <c r="E131" s="520"/>
      <c r="F131" s="529"/>
      <c r="G131" s="520"/>
      <c r="H131" s="520"/>
      <c r="I131" s="527"/>
    </row>
    <row r="132" spans="2:9" ht="16.5" hidden="1" thickBot="1">
      <c r="B132" s="520"/>
      <c r="C132" s="531" t="s">
        <v>10</v>
      </c>
      <c r="D132" s="532"/>
      <c r="E132" s="535"/>
      <c r="F132" s="534"/>
      <c r="G132" s="535"/>
      <c r="H132" s="536"/>
      <c r="I132" s="527"/>
    </row>
    <row r="133" spans="2:9" ht="4.5" hidden="1" customHeight="1" thickBot="1">
      <c r="B133" s="520"/>
      <c r="C133" s="520"/>
      <c r="D133" s="520"/>
      <c r="E133" s="520"/>
      <c r="F133" s="520"/>
      <c r="G133" s="520"/>
      <c r="H133" s="520"/>
      <c r="I133" s="527"/>
    </row>
    <row r="134" spans="2:9" ht="92.25" hidden="1" customHeight="1" thickBot="1">
      <c r="B134" s="520"/>
      <c r="C134" s="1632" t="s">
        <v>64</v>
      </c>
      <c r="D134" s="1633"/>
      <c r="E134" s="1633"/>
      <c r="F134" s="1633"/>
      <c r="G134" s="1633"/>
      <c r="H134" s="1634"/>
      <c r="I134" s="527"/>
    </row>
    <row r="135" spans="2:9" ht="13.5" hidden="1" thickBot="1">
      <c r="B135" s="520"/>
      <c r="C135" s="692"/>
      <c r="D135" s="693"/>
      <c r="E135" s="693"/>
      <c r="F135" s="693"/>
      <c r="G135" s="693"/>
      <c r="H135" s="693"/>
      <c r="I135" s="527"/>
    </row>
    <row r="136" spans="2:9" ht="13.5" hidden="1" thickBot="1">
      <c r="B136" s="520"/>
      <c r="C136" s="695"/>
      <c r="D136" s="695"/>
      <c r="E136" s="693"/>
      <c r="F136" s="693"/>
      <c r="G136" s="693"/>
      <c r="H136" s="693"/>
      <c r="I136" s="527"/>
    </row>
    <row r="137" spans="2:9" ht="13.5" hidden="1" thickBot="1">
      <c r="B137" s="520"/>
      <c r="C137" s="695"/>
      <c r="D137" s="695"/>
      <c r="E137" s="693"/>
      <c r="F137" s="693"/>
      <c r="G137" s="693"/>
      <c r="H137" s="693"/>
      <c r="I137" s="527"/>
    </row>
    <row r="138" spans="2:9" ht="13.5" hidden="1" thickBot="1">
      <c r="B138" s="520"/>
      <c r="C138" s="528"/>
      <c r="D138" s="528"/>
      <c r="E138" s="520"/>
      <c r="F138" s="529"/>
      <c r="G138" s="520"/>
      <c r="H138" s="520"/>
      <c r="I138" s="527"/>
    </row>
    <row r="139" spans="2:9" ht="6.75" hidden="1" customHeight="1">
      <c r="B139" s="520"/>
      <c r="C139" s="528"/>
      <c r="D139" s="528"/>
      <c r="E139" s="520"/>
      <c r="F139" s="529"/>
      <c r="G139" s="520"/>
      <c r="H139" s="520"/>
      <c r="I139" s="527"/>
    </row>
    <row r="140" spans="2:9" ht="16.5" hidden="1" thickBot="1">
      <c r="B140" s="520"/>
      <c r="C140" s="696" t="s">
        <v>51</v>
      </c>
      <c r="D140" s="697"/>
      <c r="E140" s="697"/>
      <c r="F140" s="697"/>
      <c r="G140" s="697"/>
      <c r="H140" s="698"/>
      <c r="I140" s="527"/>
    </row>
    <row r="141" spans="2:9" ht="4.5" hidden="1" customHeight="1" thickBot="1">
      <c r="B141" s="520"/>
      <c r="C141" s="520"/>
      <c r="D141" s="520"/>
      <c r="E141" s="520"/>
      <c r="F141" s="520"/>
      <c r="G141" s="520"/>
      <c r="H141" s="520"/>
      <c r="I141" s="527"/>
    </row>
    <row r="142" spans="2:9" ht="13.5" hidden="1" thickBot="1">
      <c r="B142" s="520"/>
      <c r="C142" s="699" t="s">
        <v>48</v>
      </c>
      <c r="D142" s="700" t="s">
        <v>50</v>
      </c>
      <c r="E142" s="1635" t="s">
        <v>49</v>
      </c>
      <c r="F142" s="1635"/>
      <c r="G142" s="1635"/>
      <c r="H142" s="1636"/>
      <c r="I142" s="527"/>
    </row>
    <row r="143" spans="2:9" ht="13.5" hidden="1" thickBot="1">
      <c r="B143" s="520"/>
      <c r="C143" s="701" t="s">
        <v>46</v>
      </c>
      <c r="D143" s="702"/>
      <c r="E143" s="1637"/>
      <c r="F143" s="1637"/>
      <c r="G143" s="1637"/>
      <c r="H143" s="1638"/>
      <c r="I143" s="527"/>
    </row>
    <row r="144" spans="2:9" ht="13.5" hidden="1" thickBot="1">
      <c r="B144" s="520"/>
      <c r="C144" s="703" t="s">
        <v>45</v>
      </c>
      <c r="D144" s="704"/>
      <c r="E144" s="1639"/>
      <c r="F144" s="1639"/>
      <c r="G144" s="1639"/>
      <c r="H144" s="1640"/>
      <c r="I144" s="527"/>
    </row>
    <row r="145" spans="2:9" ht="13.5" hidden="1" thickBot="1">
      <c r="B145" s="520"/>
      <c r="C145" s="705" t="s">
        <v>47</v>
      </c>
      <c r="D145" s="706"/>
      <c r="E145" s="1620"/>
      <c r="F145" s="1620"/>
      <c r="G145" s="1620"/>
      <c r="H145" s="1621"/>
      <c r="I145" s="527"/>
    </row>
    <row r="146" spans="2:9" ht="13.5" hidden="1" thickBot="1">
      <c r="B146" s="520"/>
      <c r="C146" s="525"/>
      <c r="D146" s="525"/>
      <c r="E146" s="707"/>
      <c r="F146" s="707"/>
      <c r="G146" s="707"/>
      <c r="H146" s="707"/>
      <c r="I146" s="527"/>
    </row>
    <row r="147" spans="2:9" ht="13.5" hidden="1" thickBot="1">
      <c r="B147" s="520"/>
      <c r="C147" s="525"/>
      <c r="D147" s="525"/>
      <c r="E147" s="707"/>
      <c r="F147" s="707"/>
      <c r="G147" s="707"/>
      <c r="H147" s="707"/>
      <c r="I147" s="527"/>
    </row>
    <row r="148" spans="2:9" ht="16.5" hidden="1" thickBot="1">
      <c r="B148" s="520"/>
      <c r="C148" s="696" t="s">
        <v>117</v>
      </c>
      <c r="D148" s="697"/>
      <c r="E148" s="697"/>
      <c r="F148" s="697"/>
      <c r="G148" s="697"/>
      <c r="H148" s="698"/>
      <c r="I148" s="527"/>
    </row>
    <row r="149" spans="2:9" ht="4.5" hidden="1" customHeight="1" thickBot="1">
      <c r="B149" s="520"/>
      <c r="C149" s="520"/>
      <c r="D149" s="520"/>
      <c r="E149" s="520"/>
      <c r="F149" s="520"/>
      <c r="G149" s="520"/>
      <c r="H149" s="520"/>
      <c r="I149" s="527"/>
    </row>
    <row r="150" spans="2:9" hidden="1">
      <c r="B150" s="520"/>
      <c r="C150" s="1622" t="s">
        <v>119</v>
      </c>
      <c r="D150" s="1623"/>
      <c r="E150" s="1623"/>
      <c r="F150" s="1623"/>
      <c r="G150" s="1623"/>
      <c r="H150" s="1624"/>
      <c r="I150" s="527"/>
    </row>
    <row r="151" spans="2:9" hidden="1">
      <c r="B151" s="520"/>
      <c r="C151" s="1625" t="s">
        <v>64</v>
      </c>
      <c r="D151" s="1626"/>
      <c r="E151" s="1626"/>
      <c r="F151" s="1626"/>
      <c r="G151" s="1626"/>
      <c r="H151" s="1627"/>
      <c r="I151" s="527"/>
    </row>
    <row r="152" spans="2:9" hidden="1">
      <c r="B152" s="520"/>
      <c r="C152" s="1625"/>
      <c r="D152" s="1626"/>
      <c r="E152" s="1626"/>
      <c r="F152" s="1626"/>
      <c r="G152" s="1626"/>
      <c r="H152" s="1627"/>
      <c r="I152" s="527"/>
    </row>
    <row r="153" spans="2:9" hidden="1">
      <c r="B153" s="520"/>
      <c r="C153" s="1625"/>
      <c r="D153" s="1626"/>
      <c r="E153" s="1626"/>
      <c r="F153" s="1626"/>
      <c r="G153" s="1626"/>
      <c r="H153" s="1627"/>
      <c r="I153" s="527"/>
    </row>
    <row r="154" spans="2:9" hidden="1">
      <c r="B154" s="520"/>
      <c r="C154" s="1625"/>
      <c r="D154" s="1626"/>
      <c r="E154" s="1626"/>
      <c r="F154" s="1626"/>
      <c r="G154" s="1626"/>
      <c r="H154" s="1627"/>
      <c r="I154" s="527"/>
    </row>
    <row r="155" spans="2:9" hidden="1">
      <c r="B155" s="520"/>
      <c r="C155" s="1625"/>
      <c r="D155" s="1626"/>
      <c r="E155" s="1626"/>
      <c r="F155" s="1626"/>
      <c r="G155" s="1626"/>
      <c r="H155" s="1627"/>
      <c r="I155" s="527"/>
    </row>
    <row r="156" spans="2:9" hidden="1">
      <c r="B156" s="520"/>
      <c r="C156" s="1625"/>
      <c r="D156" s="1626"/>
      <c r="E156" s="1626"/>
      <c r="F156" s="1626"/>
      <c r="G156" s="1626"/>
      <c r="H156" s="1627"/>
      <c r="I156" s="527"/>
    </row>
    <row r="157" spans="2:9" hidden="1">
      <c r="B157" s="520"/>
      <c r="C157" s="1625"/>
      <c r="D157" s="1626"/>
      <c r="E157" s="1626"/>
      <c r="F157" s="1626"/>
      <c r="G157" s="1626"/>
      <c r="H157" s="1627"/>
      <c r="I157" s="527"/>
    </row>
    <row r="158" spans="2:9" ht="13.5" hidden="1" thickBot="1">
      <c r="B158" s="520"/>
      <c r="C158" s="1628"/>
      <c r="D158" s="1629"/>
      <c r="E158" s="1629"/>
      <c r="F158" s="1629"/>
      <c r="G158" s="1629"/>
      <c r="H158" s="1630"/>
      <c r="I158" s="527"/>
    </row>
    <row r="159" spans="2:9" ht="13.5" thickBot="1">
      <c r="B159" s="520"/>
      <c r="C159" s="708"/>
      <c r="D159" s="708"/>
      <c r="E159" s="708"/>
      <c r="F159" s="707"/>
      <c r="G159" s="707"/>
      <c r="H159" s="707"/>
      <c r="I159" s="527"/>
    </row>
    <row r="160" spans="2:9" ht="13.5" thickBot="1">
      <c r="B160" s="520"/>
      <c r="C160" s="967" t="s">
        <v>1129</v>
      </c>
      <c r="D160" s="1006" t="str">
        <f>IF(D9="","", D9)</f>
        <v/>
      </c>
      <c r="E160" s="708"/>
      <c r="F160" s="707"/>
      <c r="G160" s="709" t="s">
        <v>118</v>
      </c>
      <c r="H160" s="710"/>
      <c r="I160" s="527"/>
    </row>
    <row r="161" spans="2:9">
      <c r="B161" s="520"/>
      <c r="C161" s="967" t="s">
        <v>693</v>
      </c>
      <c r="D161" s="1007" t="e">
        <f>D126</f>
        <v>#DIV/0!</v>
      </c>
      <c r="E161" s="708"/>
      <c r="F161" s="707"/>
      <c r="G161" s="707"/>
      <c r="H161" s="707"/>
      <c r="I161" s="527"/>
    </row>
    <row r="162" spans="2:9">
      <c r="B162" s="520"/>
      <c r="C162" s="967" t="s">
        <v>692</v>
      </c>
      <c r="D162" s="971" t="str">
        <f>IF(H160="","",IF(H160=0,"",ROUND(E162,4)))</f>
        <v/>
      </c>
      <c r="E162" s="797" t="e">
        <f>(H160/H126)-1</f>
        <v>#DIV/0!</v>
      </c>
      <c r="F162" s="707"/>
      <c r="G162" s="707"/>
      <c r="H162" s="707"/>
      <c r="I162" s="527"/>
    </row>
    <row r="163" spans="2:9">
      <c r="B163" s="520"/>
      <c r="C163" s="967" t="str">
        <f>IFERROR(((IF(H160="","", IF(D160="CTO", "Tier 2", IF(D161&gt;0%,"Extra Charged", IF(ABS(D161)&lt;=D11,"Tier 1",IF(ABS(D161)&lt;=D10,"Tier 2","No qualification"))))))),"No Price Entered")</f>
        <v/>
      </c>
      <c r="D163" s="1008" t="str">
        <f>IF(C163="Extra Charged", H160-H126, "")</f>
        <v/>
      </c>
      <c r="E163" s="707"/>
      <c r="F163" s="707"/>
      <c r="G163" s="707"/>
      <c r="H163" s="707"/>
      <c r="I163" s="527"/>
    </row>
    <row r="164" spans="2:9">
      <c r="B164" s="520"/>
      <c r="C164" s="694"/>
      <c r="D164" s="872"/>
      <c r="E164" s="707"/>
      <c r="F164" s="707"/>
      <c r="G164" s="707"/>
      <c r="H164" s="707"/>
      <c r="I164" s="527"/>
    </row>
    <row r="165" spans="2:9">
      <c r="B165" s="520"/>
      <c r="C165" s="694"/>
      <c r="D165" s="872"/>
      <c r="E165" s="707"/>
      <c r="F165" s="707"/>
      <c r="G165" s="707"/>
      <c r="H165" s="707"/>
      <c r="I165" s="527"/>
    </row>
    <row r="166" spans="2:9">
      <c r="B166" s="520"/>
      <c r="C166" s="1011"/>
      <c r="D166" s="1012"/>
      <c r="E166" s="1013"/>
      <c r="F166" s="1013"/>
      <c r="G166" s="1013"/>
      <c r="H166" s="1013"/>
      <c r="I166" s="527"/>
    </row>
    <row r="167" spans="2:9" ht="6.75" customHeight="1">
      <c r="B167" s="520"/>
      <c r="C167" s="694"/>
      <c r="D167" s="872"/>
      <c r="E167" s="707"/>
      <c r="F167" s="707"/>
      <c r="G167" s="707"/>
      <c r="H167" s="707"/>
      <c r="I167" s="527"/>
    </row>
    <row r="168" spans="2:9">
      <c r="B168" s="520"/>
      <c r="C168" s="970"/>
      <c r="D168" s="1002"/>
      <c r="E168" s="1003"/>
      <c r="F168" s="707"/>
      <c r="G168" s="707"/>
      <c r="H168" s="707"/>
      <c r="I168" s="527"/>
    </row>
    <row r="169" spans="2:9">
      <c r="B169" s="520"/>
      <c r="C169" s="967"/>
      <c r="D169" s="968"/>
      <c r="E169" s="1014"/>
      <c r="F169" s="707"/>
      <c r="G169" s="707"/>
      <c r="H169" s="707"/>
      <c r="I169" s="527"/>
    </row>
    <row r="170" spans="2:9">
      <c r="B170" s="520"/>
      <c r="C170" s="967"/>
      <c r="D170" s="968"/>
      <c r="E170" s="1014"/>
      <c r="F170" s="707"/>
      <c r="G170" s="707"/>
      <c r="H170" s="707"/>
      <c r="I170" s="527"/>
    </row>
    <row r="171" spans="2:9">
      <c r="B171" s="520"/>
      <c r="C171" s="525"/>
      <c r="D171" s="525"/>
      <c r="E171" s="707"/>
      <c r="F171" s="707"/>
      <c r="G171" s="707"/>
      <c r="H171" s="711"/>
      <c r="I171" s="527"/>
    </row>
    <row r="172" spans="2:9">
      <c r="B172" s="520"/>
      <c r="C172" s="528"/>
      <c r="D172" s="528"/>
      <c r="E172" s="520"/>
      <c r="F172" s="529"/>
      <c r="G172" s="520"/>
      <c r="H172" s="520"/>
      <c r="I172" s="527"/>
    </row>
    <row r="173" spans="2:9">
      <c r="C173" s="579"/>
      <c r="D173" s="579"/>
      <c r="F173" s="579"/>
    </row>
    <row r="174" spans="2:9" hidden="1">
      <c r="C174" s="579"/>
      <c r="D174" s="579"/>
      <c r="F174" s="579"/>
    </row>
    <row r="175" spans="2:9" hidden="1">
      <c r="C175" s="579"/>
      <c r="D175" s="579"/>
      <c r="F175" s="579"/>
    </row>
    <row r="176" spans="2:9" hidden="1">
      <c r="C176" s="579"/>
      <c r="D176" s="579"/>
      <c r="F176" s="579"/>
    </row>
    <row r="177" spans="3:6" hidden="1">
      <c r="C177" s="579"/>
      <c r="D177" s="579"/>
      <c r="F177" s="579"/>
    </row>
    <row r="178" spans="3:6" hidden="1">
      <c r="C178" s="579"/>
      <c r="D178" s="579"/>
      <c r="F178" s="579"/>
    </row>
    <row r="179" spans="3:6" hidden="1">
      <c r="C179" s="579"/>
      <c r="D179" s="579"/>
      <c r="F179" s="579"/>
    </row>
    <row r="180" spans="3:6" hidden="1">
      <c r="C180" s="579"/>
      <c r="D180" s="579"/>
      <c r="F180" s="579"/>
    </row>
    <row r="181" spans="3:6" hidden="1">
      <c r="C181" s="579"/>
      <c r="D181" s="579"/>
      <c r="F181" s="579"/>
    </row>
    <row r="182" spans="3:6" hidden="1">
      <c r="C182" s="579"/>
      <c r="D182" s="579"/>
      <c r="F182" s="579"/>
    </row>
    <row r="183" spans="3:6" hidden="1">
      <c r="C183" s="579"/>
      <c r="D183" s="579"/>
      <c r="F183" s="579"/>
    </row>
    <row r="184" spans="3:6" hidden="1">
      <c r="C184" s="579"/>
      <c r="D184" s="579"/>
      <c r="F184" s="579"/>
    </row>
    <row r="185" spans="3:6" hidden="1">
      <c r="C185" s="579"/>
      <c r="D185" s="579"/>
      <c r="F185" s="579"/>
    </row>
    <row r="186" spans="3:6" hidden="1">
      <c r="C186" s="579"/>
      <c r="D186" s="579"/>
      <c r="F186" s="579"/>
    </row>
    <row r="187" spans="3:6" hidden="1">
      <c r="C187" s="579"/>
      <c r="D187" s="579"/>
      <c r="F187" s="579"/>
    </row>
    <row r="188" spans="3:6" hidden="1">
      <c r="C188" s="579"/>
      <c r="D188" s="579"/>
      <c r="F188" s="579"/>
    </row>
    <row r="189" spans="3:6" hidden="1">
      <c r="C189" s="579"/>
      <c r="D189" s="579"/>
      <c r="F189" s="579"/>
    </row>
    <row r="190" spans="3:6" hidden="1">
      <c r="C190" s="579"/>
      <c r="D190" s="579"/>
      <c r="F190" s="579"/>
    </row>
    <row r="191" spans="3:6" hidden="1">
      <c r="C191" s="579"/>
      <c r="D191" s="579"/>
      <c r="F191" s="579"/>
    </row>
    <row r="192" spans="3:6" hidden="1">
      <c r="C192" s="579"/>
      <c r="D192" s="579"/>
      <c r="F192" s="579"/>
    </row>
    <row r="193" spans="3:6" hidden="1">
      <c r="C193" s="579"/>
      <c r="D193" s="579"/>
      <c r="F193" s="579"/>
    </row>
    <row r="194" spans="3:6" hidden="1">
      <c r="C194" s="579"/>
      <c r="D194" s="579"/>
      <c r="F194" s="579"/>
    </row>
    <row r="195" spans="3:6" hidden="1">
      <c r="C195" s="579"/>
      <c r="D195" s="579"/>
      <c r="F195" s="579"/>
    </row>
    <row r="196" spans="3:6" hidden="1">
      <c r="C196" s="579"/>
      <c r="D196" s="579"/>
      <c r="F196" s="579"/>
    </row>
    <row r="197" spans="3:6" hidden="1">
      <c r="C197" s="579"/>
      <c r="D197" s="579"/>
      <c r="F197" s="579"/>
    </row>
    <row r="198" spans="3:6" hidden="1">
      <c r="C198" s="579"/>
      <c r="D198" s="579"/>
      <c r="F198" s="579"/>
    </row>
    <row r="199" spans="3:6" hidden="1">
      <c r="C199" s="579"/>
      <c r="D199" s="579"/>
      <c r="F199" s="579"/>
    </row>
    <row r="200" spans="3:6" hidden="1">
      <c r="C200" s="579"/>
      <c r="D200" s="579"/>
      <c r="F200" s="579"/>
    </row>
    <row r="201" spans="3:6" hidden="1">
      <c r="C201" s="579"/>
      <c r="D201" s="579"/>
      <c r="F201" s="579"/>
    </row>
    <row r="202" spans="3:6" hidden="1">
      <c r="C202" s="579"/>
      <c r="D202" s="579"/>
      <c r="F202" s="579"/>
    </row>
    <row r="203" spans="3:6" hidden="1">
      <c r="C203" s="579"/>
      <c r="D203" s="579"/>
      <c r="F203" s="579"/>
    </row>
    <row r="204" spans="3:6" hidden="1">
      <c r="C204" s="579"/>
      <c r="D204" s="579"/>
      <c r="F204" s="579"/>
    </row>
    <row r="205" spans="3:6" hidden="1">
      <c r="C205" s="579"/>
      <c r="D205" s="579"/>
      <c r="F205" s="579"/>
    </row>
    <row r="206" spans="3:6" hidden="1">
      <c r="C206" s="579"/>
      <c r="D206" s="579"/>
      <c r="F206" s="579"/>
    </row>
    <row r="207" spans="3:6" hidden="1">
      <c r="C207" s="579"/>
      <c r="D207" s="579"/>
      <c r="F207" s="579"/>
    </row>
    <row r="208" spans="3:6" ht="13.5" hidden="1" customHeight="1">
      <c r="C208" s="579"/>
      <c r="D208" s="579"/>
      <c r="F208" s="579"/>
    </row>
    <row r="209" spans="2:62" hidden="1">
      <c r="C209" s="579"/>
      <c r="D209" s="579"/>
      <c r="F209" s="579"/>
    </row>
    <row r="210" spans="2:62" hidden="1">
      <c r="C210" s="579"/>
      <c r="D210" s="579"/>
      <c r="F210" s="579"/>
    </row>
    <row r="211" spans="2:62" ht="13.5" hidden="1" thickBot="1">
      <c r="C211" s="579"/>
      <c r="D211" s="579"/>
      <c r="F211" s="579"/>
    </row>
    <row r="212" spans="2:62" hidden="1">
      <c r="B212" s="712"/>
      <c r="C212" s="713"/>
      <c r="D212" s="713"/>
      <c r="E212" s="714"/>
      <c r="F212" s="715"/>
      <c r="G212" s="714"/>
      <c r="H212" s="714"/>
      <c r="I212" s="716"/>
    </row>
    <row r="213" spans="2:62" hidden="1">
      <c r="B213" s="717"/>
      <c r="C213" s="718" t="s">
        <v>13</v>
      </c>
      <c r="D213" s="718"/>
      <c r="E213" s="719" t="s">
        <v>0</v>
      </c>
      <c r="F213" s="719" t="s">
        <v>9</v>
      </c>
      <c r="G213" s="720" t="s">
        <v>34</v>
      </c>
      <c r="H213" s="720" t="s">
        <v>35</v>
      </c>
      <c r="I213" s="721"/>
    </row>
    <row r="214" spans="2:62" hidden="1">
      <c r="B214" s="717"/>
      <c r="C214" s="722"/>
      <c r="D214" s="722"/>
      <c r="E214" s="723" t="s">
        <v>66</v>
      </c>
      <c r="F214" s="724"/>
      <c r="G214" s="725"/>
      <c r="H214" s="725"/>
      <c r="I214" s="721"/>
      <c r="BH214" s="1000" t="s">
        <v>1128</v>
      </c>
    </row>
    <row r="215" spans="2:62" hidden="1">
      <c r="B215" s="717"/>
      <c r="C215" s="722" t="s">
        <v>694</v>
      </c>
      <c r="D215" s="524"/>
      <c r="E215" s="726" t="s">
        <v>658</v>
      </c>
      <c r="F215" s="727" t="s">
        <v>695</v>
      </c>
      <c r="G215" s="728" t="s">
        <v>696</v>
      </c>
      <c r="H215" s="155">
        <v>14800</v>
      </c>
      <c r="I215" s="721"/>
      <c r="BH215" s="998">
        <v>10980</v>
      </c>
      <c r="BI215" s="743"/>
      <c r="BJ215" s="999"/>
    </row>
    <row r="216" spans="2:62" hidden="1">
      <c r="B216" s="717"/>
      <c r="C216" s="723"/>
      <c r="D216" s="524"/>
      <c r="E216" s="726" t="s">
        <v>697</v>
      </c>
      <c r="F216" s="729" t="s">
        <v>698</v>
      </c>
      <c r="G216" s="728" t="s">
        <v>699</v>
      </c>
      <c r="H216" s="155">
        <f>H215+1000</f>
        <v>15800</v>
      </c>
      <c r="I216" s="721"/>
      <c r="BH216" s="998">
        <f>BH215+1000</f>
        <v>11980</v>
      </c>
    </row>
    <row r="217" spans="2:62" hidden="1">
      <c r="B217" s="717"/>
      <c r="C217" s="723"/>
      <c r="D217" s="524"/>
      <c r="E217" s="726"/>
      <c r="F217" s="730"/>
      <c r="G217" s="728"/>
      <c r="H217" s="198"/>
      <c r="I217" s="721"/>
    </row>
    <row r="218" spans="2:62" hidden="1">
      <c r="B218" s="717"/>
      <c r="C218" s="524"/>
      <c r="D218" s="524"/>
      <c r="E218" s="525"/>
      <c r="F218" s="731"/>
      <c r="G218" s="732"/>
      <c r="H218" s="200"/>
      <c r="I218" s="721"/>
      <c r="K218" s="522" t="s">
        <v>700</v>
      </c>
      <c r="O218" s="726" t="s">
        <v>701</v>
      </c>
      <c r="P218" s="726" t="s">
        <v>702</v>
      </c>
      <c r="Q218" s="726" t="s">
        <v>703</v>
      </c>
      <c r="R218" s="726" t="s">
        <v>704</v>
      </c>
      <c r="S218" s="726" t="s">
        <v>705</v>
      </c>
      <c r="T218" s="726" t="s">
        <v>706</v>
      </c>
      <c r="U218" s="733" t="s">
        <v>707</v>
      </c>
      <c r="V218" s="733" t="s">
        <v>708</v>
      </c>
      <c r="W218" s="733" t="s">
        <v>709</v>
      </c>
      <c r="X218" s="733" t="s">
        <v>710</v>
      </c>
      <c r="Y218" s="733" t="s">
        <v>711</v>
      </c>
      <c r="Z218" s="733" t="s">
        <v>712</v>
      </c>
      <c r="AA218" s="733" t="s">
        <v>713</v>
      </c>
      <c r="AB218" s="733" t="s">
        <v>714</v>
      </c>
      <c r="AC218" s="733" t="s">
        <v>715</v>
      </c>
      <c r="AD218" s="733" t="s">
        <v>716</v>
      </c>
      <c r="AE218" s="733" t="s">
        <v>717</v>
      </c>
      <c r="AF218" s="733" t="s">
        <v>718</v>
      </c>
      <c r="AG218" s="733" t="s">
        <v>719</v>
      </c>
      <c r="AH218" s="733" t="s">
        <v>720</v>
      </c>
      <c r="AI218" s="733" t="s">
        <v>721</v>
      </c>
      <c r="AJ218" s="733" t="s">
        <v>722</v>
      </c>
      <c r="AK218" s="733" t="s">
        <v>723</v>
      </c>
      <c r="AL218" s="733" t="s">
        <v>724</v>
      </c>
      <c r="AM218" s="733" t="s">
        <v>725</v>
      </c>
      <c r="AN218" s="733" t="s">
        <v>726</v>
      </c>
      <c r="AO218" s="733" t="s">
        <v>727</v>
      </c>
      <c r="AP218" s="733" t="s">
        <v>728</v>
      </c>
      <c r="AQ218" s="733" t="s">
        <v>729</v>
      </c>
      <c r="AR218" s="733" t="s">
        <v>730</v>
      </c>
      <c r="AS218" s="733" t="s">
        <v>731</v>
      </c>
      <c r="AT218" s="733" t="s">
        <v>732</v>
      </c>
      <c r="AU218" s="733" t="s">
        <v>733</v>
      </c>
      <c r="AV218" s="733" t="s">
        <v>734</v>
      </c>
      <c r="AW218" s="733" t="s">
        <v>735</v>
      </c>
      <c r="AX218" s="733" t="s">
        <v>736</v>
      </c>
      <c r="AY218" s="733" t="s">
        <v>737</v>
      </c>
      <c r="AZ218" s="733" t="s">
        <v>738</v>
      </c>
      <c r="BA218" s="733" t="s">
        <v>739</v>
      </c>
      <c r="BB218" s="733" t="s">
        <v>740</v>
      </c>
      <c r="BC218" s="733" t="s">
        <v>741</v>
      </c>
    </row>
    <row r="219" spans="2:62" hidden="1">
      <c r="B219" s="717"/>
      <c r="C219" s="723"/>
      <c r="D219" s="524"/>
      <c r="E219" s="525"/>
      <c r="F219" s="734"/>
      <c r="G219" s="735"/>
      <c r="H219" s="156"/>
      <c r="I219" s="721"/>
      <c r="BI219" s="906">
        <v>41456</v>
      </c>
    </row>
    <row r="220" spans="2:62" hidden="1">
      <c r="B220" s="717"/>
      <c r="C220" s="722" t="s">
        <v>742</v>
      </c>
      <c r="D220" s="524"/>
      <c r="E220" s="525"/>
      <c r="F220" s="736"/>
      <c r="G220" s="737"/>
      <c r="H220" s="156"/>
      <c r="I220" s="721"/>
      <c r="BH220" s="522" t="s">
        <v>1044</v>
      </c>
      <c r="BI220" s="522" t="s">
        <v>1043</v>
      </c>
    </row>
    <row r="221" spans="2:62" hidden="1">
      <c r="B221" s="717"/>
      <c r="C221" s="723"/>
      <c r="D221" s="723" t="s">
        <v>743</v>
      </c>
      <c r="E221" s="726" t="s">
        <v>399</v>
      </c>
      <c r="F221" s="738" t="s">
        <v>1231</v>
      </c>
      <c r="G221" s="739"/>
      <c r="H221" s="331">
        <v>275</v>
      </c>
      <c r="I221" s="721"/>
      <c r="BH221" s="522">
        <v>243</v>
      </c>
      <c r="BI221" s="899">
        <v>0.05</v>
      </c>
      <c r="BJ221" s="905">
        <f>BH221*(1+BI221)</f>
        <v>255.15</v>
      </c>
    </row>
    <row r="222" spans="2:62" hidden="1">
      <c r="B222" s="717"/>
      <c r="C222" s="723"/>
      <c r="D222" s="723"/>
      <c r="E222" s="726" t="s">
        <v>744</v>
      </c>
      <c r="F222" s="738" t="s">
        <v>745</v>
      </c>
      <c r="G222" s="739"/>
      <c r="H222" s="331">
        <v>199</v>
      </c>
      <c r="I222" s="721"/>
      <c r="BH222" s="522">
        <v>190</v>
      </c>
      <c r="BI222" s="899">
        <v>0.05</v>
      </c>
      <c r="BJ222" s="905">
        <f t="shared" ref="BJ222:BJ254" si="16">BH222*(1+BI222)</f>
        <v>199.5</v>
      </c>
    </row>
    <row r="223" spans="2:62" hidden="1">
      <c r="B223" s="717"/>
      <c r="C223" s="723"/>
      <c r="D223" s="723"/>
      <c r="E223" s="726" t="s">
        <v>401</v>
      </c>
      <c r="F223" s="738" t="s">
        <v>746</v>
      </c>
      <c r="G223" s="739"/>
      <c r="H223" s="331">
        <v>280</v>
      </c>
      <c r="I223" s="721"/>
      <c r="BH223" s="522">
        <v>267</v>
      </c>
      <c r="BI223" s="899">
        <v>0.05</v>
      </c>
      <c r="BJ223" s="905">
        <f t="shared" si="16"/>
        <v>280.35000000000002</v>
      </c>
    </row>
    <row r="224" spans="2:62" hidden="1">
      <c r="B224" s="717"/>
      <c r="C224" s="723"/>
      <c r="D224" s="524"/>
      <c r="E224" s="726"/>
      <c r="F224" s="740"/>
      <c r="G224" s="739"/>
      <c r="H224" s="331"/>
      <c r="I224" s="721"/>
      <c r="K224" s="900" t="s">
        <v>747</v>
      </c>
      <c r="L224" s="900" t="s">
        <v>748</v>
      </c>
      <c r="M224" s="522" t="s">
        <v>749</v>
      </c>
      <c r="BI224" s="899">
        <v>0.05</v>
      </c>
      <c r="BJ224" s="905">
        <f t="shared" si="16"/>
        <v>0</v>
      </c>
    </row>
    <row r="225" spans="2:62" hidden="1">
      <c r="B225" s="717"/>
      <c r="C225" s="723"/>
      <c r="D225" s="723" t="s">
        <v>750</v>
      </c>
      <c r="E225" s="726" t="s">
        <v>683</v>
      </c>
      <c r="F225" s="740" t="s">
        <v>751</v>
      </c>
      <c r="G225" s="739"/>
      <c r="H225" s="331">
        <v>455</v>
      </c>
      <c r="I225" s="721"/>
      <c r="K225" s="900">
        <v>5</v>
      </c>
      <c r="L225" s="900">
        <f>K225*2</f>
        <v>10</v>
      </c>
      <c r="M225" s="522">
        <v>4</v>
      </c>
      <c r="BH225" s="522">
        <v>434</v>
      </c>
      <c r="BI225" s="899">
        <v>0.05</v>
      </c>
      <c r="BJ225" s="905">
        <f t="shared" si="16"/>
        <v>455.70000000000005</v>
      </c>
    </row>
    <row r="226" spans="2:62" hidden="1">
      <c r="B226" s="717"/>
      <c r="C226" s="723"/>
      <c r="D226" s="723"/>
      <c r="E226" s="726" t="s">
        <v>684</v>
      </c>
      <c r="F226" s="740" t="s">
        <v>91</v>
      </c>
      <c r="G226" s="739"/>
      <c r="H226" s="331">
        <v>69</v>
      </c>
      <c r="I226" s="721"/>
      <c r="K226" s="900">
        <v>10</v>
      </c>
      <c r="L226" s="900">
        <f>K226*2</f>
        <v>20</v>
      </c>
      <c r="M226" s="522">
        <v>4</v>
      </c>
      <c r="BH226" s="522">
        <v>66</v>
      </c>
      <c r="BI226" s="899">
        <v>0.05</v>
      </c>
      <c r="BJ226" s="905">
        <f t="shared" si="16"/>
        <v>69.3</v>
      </c>
    </row>
    <row r="227" spans="2:62" hidden="1">
      <c r="B227" s="717"/>
      <c r="C227" s="723"/>
      <c r="D227" s="723"/>
      <c r="E227" s="726" t="s">
        <v>685</v>
      </c>
      <c r="F227" s="740" t="s">
        <v>752</v>
      </c>
      <c r="G227" s="739"/>
      <c r="H227" s="331">
        <v>92</v>
      </c>
      <c r="I227" s="721"/>
      <c r="K227" s="900">
        <v>15</v>
      </c>
      <c r="L227" s="900">
        <f>K227*2</f>
        <v>30</v>
      </c>
      <c r="M227" s="522">
        <v>4</v>
      </c>
      <c r="BH227" s="522">
        <v>88</v>
      </c>
      <c r="BI227" s="899">
        <v>0.05</v>
      </c>
      <c r="BJ227" s="905">
        <f t="shared" si="16"/>
        <v>92.4</v>
      </c>
    </row>
    <row r="228" spans="2:62" hidden="1">
      <c r="B228" s="717"/>
      <c r="C228" s="723"/>
      <c r="D228" s="524"/>
      <c r="E228" s="726" t="s">
        <v>686</v>
      </c>
      <c r="F228" s="730" t="s">
        <v>753</v>
      </c>
      <c r="G228" s="739"/>
      <c r="H228" s="331">
        <v>638</v>
      </c>
      <c r="I228" s="721"/>
      <c r="BH228" s="522">
        <v>608</v>
      </c>
      <c r="BI228" s="899">
        <v>0.05</v>
      </c>
      <c r="BJ228" s="905">
        <f t="shared" si="16"/>
        <v>638.4</v>
      </c>
    </row>
    <row r="229" spans="2:62" hidden="1">
      <c r="B229" s="717"/>
      <c r="C229" s="723"/>
      <c r="D229" s="524"/>
      <c r="E229" s="741" t="s">
        <v>687</v>
      </c>
      <c r="F229" s="742" t="s">
        <v>754</v>
      </c>
      <c r="G229" s="739"/>
      <c r="H229" s="331">
        <v>525</v>
      </c>
      <c r="I229" s="721"/>
      <c r="J229" s="743"/>
      <c r="BH229" s="522">
        <v>500</v>
      </c>
      <c r="BI229" s="899">
        <v>0.05</v>
      </c>
      <c r="BJ229" s="905">
        <f t="shared" si="16"/>
        <v>525</v>
      </c>
    </row>
    <row r="230" spans="2:62" hidden="1">
      <c r="B230" s="717"/>
      <c r="C230" s="723"/>
      <c r="D230" s="524"/>
      <c r="E230" s="741" t="s">
        <v>688</v>
      </c>
      <c r="F230" s="742" t="s">
        <v>755</v>
      </c>
      <c r="G230" s="744"/>
      <c r="H230" s="1040">
        <v>189</v>
      </c>
      <c r="I230" s="721"/>
      <c r="J230" s="743"/>
      <c r="BH230" s="522">
        <v>180</v>
      </c>
      <c r="BI230" s="899">
        <v>0.05</v>
      </c>
      <c r="BJ230" s="905">
        <f t="shared" si="16"/>
        <v>189</v>
      </c>
    </row>
    <row r="231" spans="2:62" hidden="1">
      <c r="B231" s="717"/>
      <c r="C231" s="723"/>
      <c r="D231" s="524"/>
      <c r="E231" s="741"/>
      <c r="F231" s="742"/>
      <c r="G231" s="739"/>
      <c r="H231" s="331"/>
      <c r="I231" s="721"/>
      <c r="BI231" s="899">
        <v>0.05</v>
      </c>
      <c r="BJ231" s="905">
        <f t="shared" si="16"/>
        <v>0</v>
      </c>
    </row>
    <row r="232" spans="2:62" hidden="1">
      <c r="B232" s="717"/>
      <c r="C232" s="723"/>
      <c r="D232" s="524"/>
      <c r="E232" s="524"/>
      <c r="F232" s="745"/>
      <c r="G232" s="524"/>
      <c r="H232" s="1041"/>
      <c r="I232" s="721"/>
      <c r="BJ232" s="905">
        <f t="shared" si="16"/>
        <v>0</v>
      </c>
    </row>
    <row r="233" spans="2:62" hidden="1">
      <c r="B233" s="717"/>
      <c r="C233" s="722" t="s">
        <v>756</v>
      </c>
      <c r="D233" s="524"/>
      <c r="E233" s="723"/>
      <c r="F233" s="731"/>
      <c r="G233" s="732"/>
      <c r="H233" s="333"/>
      <c r="I233" s="721"/>
      <c r="BJ233" s="905">
        <f t="shared" si="16"/>
        <v>0</v>
      </c>
    </row>
    <row r="234" spans="2:62" hidden="1">
      <c r="B234" s="717"/>
      <c r="C234" s="723"/>
      <c r="D234" s="524"/>
      <c r="E234" s="550"/>
      <c r="F234" s="576"/>
      <c r="G234" s="739"/>
      <c r="H234" s="331"/>
      <c r="I234" s="721"/>
      <c r="BH234" s="522">
        <v>83</v>
      </c>
      <c r="BI234" s="899">
        <v>0.05</v>
      </c>
      <c r="BJ234" s="905">
        <f t="shared" si="16"/>
        <v>87.15</v>
      </c>
    </row>
    <row r="235" spans="2:62" ht="38.25" hidden="1">
      <c r="B235" s="717"/>
      <c r="C235" s="723"/>
      <c r="D235" s="524"/>
      <c r="E235" s="550" t="s">
        <v>371</v>
      </c>
      <c r="F235" s="576" t="s">
        <v>677</v>
      </c>
      <c r="G235" s="739"/>
      <c r="H235" s="331">
        <v>145</v>
      </c>
      <c r="I235" s="721"/>
      <c r="BH235" s="522">
        <v>138</v>
      </c>
      <c r="BI235" s="899">
        <v>0.05</v>
      </c>
      <c r="BJ235" s="905">
        <f t="shared" si="16"/>
        <v>144.9</v>
      </c>
    </row>
    <row r="236" spans="2:62" ht="38.25" hidden="1">
      <c r="B236" s="717"/>
      <c r="C236" s="723"/>
      <c r="D236" s="524"/>
      <c r="E236" s="550" t="s">
        <v>372</v>
      </c>
      <c r="F236" s="576" t="s">
        <v>678</v>
      </c>
      <c r="G236" s="739"/>
      <c r="H236" s="331">
        <v>911</v>
      </c>
      <c r="I236" s="721"/>
      <c r="BH236" s="522">
        <v>868</v>
      </c>
      <c r="BI236" s="899">
        <v>0.05</v>
      </c>
      <c r="BJ236" s="905">
        <f t="shared" si="16"/>
        <v>911.40000000000009</v>
      </c>
    </row>
    <row r="237" spans="2:62" hidden="1">
      <c r="B237" s="717"/>
      <c r="C237" s="723"/>
      <c r="D237" s="524"/>
      <c r="E237" s="550" t="s">
        <v>680</v>
      </c>
      <c r="F237" s="576" t="s">
        <v>580</v>
      </c>
      <c r="G237" s="739"/>
      <c r="H237" s="331">
        <v>13</v>
      </c>
      <c r="I237" s="721"/>
      <c r="BH237" s="522">
        <v>12</v>
      </c>
      <c r="BI237" s="899">
        <v>0.05</v>
      </c>
      <c r="BJ237" s="905">
        <f t="shared" si="16"/>
        <v>12.600000000000001</v>
      </c>
    </row>
    <row r="238" spans="2:62" hidden="1">
      <c r="B238" s="717"/>
      <c r="C238" s="723"/>
      <c r="D238" s="524"/>
      <c r="E238" s="550" t="s">
        <v>681</v>
      </c>
      <c r="F238" s="739" t="s">
        <v>582</v>
      </c>
      <c r="G238" s="730" t="s">
        <v>583</v>
      </c>
      <c r="H238" s="1042">
        <v>677</v>
      </c>
      <c r="I238" s="721"/>
      <c r="BH238" s="522">
        <v>645</v>
      </c>
      <c r="BI238" s="899">
        <v>0.05</v>
      </c>
      <c r="BJ238" s="905">
        <f t="shared" si="16"/>
        <v>677.25</v>
      </c>
    </row>
    <row r="239" spans="2:62" hidden="1">
      <c r="B239" s="717"/>
      <c r="C239" s="723"/>
      <c r="D239" s="524"/>
      <c r="E239" s="550" t="s">
        <v>369</v>
      </c>
      <c r="F239" s="739" t="s">
        <v>545</v>
      </c>
      <c r="G239" s="730" t="s">
        <v>546</v>
      </c>
      <c r="H239" s="1042">
        <v>97</v>
      </c>
      <c r="I239" s="721"/>
      <c r="BI239" s="899"/>
      <c r="BJ239" s="905"/>
    </row>
    <row r="240" spans="2:62" hidden="1">
      <c r="B240" s="717"/>
      <c r="C240" s="723"/>
      <c r="D240" s="524"/>
      <c r="E240" s="550"/>
      <c r="F240" s="730"/>
      <c r="G240" s="739"/>
      <c r="H240" s="1042"/>
      <c r="I240" s="721"/>
      <c r="BI240" s="899">
        <v>0.05</v>
      </c>
      <c r="BJ240" s="905">
        <f t="shared" si="16"/>
        <v>0</v>
      </c>
    </row>
    <row r="241" spans="2:62" hidden="1">
      <c r="B241" s="717"/>
      <c r="C241" s="723"/>
      <c r="D241" s="524"/>
      <c r="E241" s="550"/>
      <c r="F241" s="730"/>
      <c r="G241" s="739"/>
      <c r="H241" s="1042"/>
      <c r="I241" s="721"/>
      <c r="BI241" s="899">
        <v>0.05</v>
      </c>
      <c r="BJ241" s="905">
        <f t="shared" si="16"/>
        <v>0</v>
      </c>
    </row>
    <row r="242" spans="2:62" hidden="1">
      <c r="B242" s="717"/>
      <c r="C242" s="723"/>
      <c r="D242" s="524"/>
      <c r="E242" s="879" t="s">
        <v>364</v>
      </c>
      <c r="F242" s="739">
        <v>13110001</v>
      </c>
      <c r="G242" s="739">
        <v>16304</v>
      </c>
      <c r="H242" s="1042">
        <v>1083</v>
      </c>
      <c r="I242" s="721"/>
      <c r="BH242" s="522">
        <v>1031</v>
      </c>
      <c r="BI242" s="899">
        <v>0.05</v>
      </c>
      <c r="BJ242" s="905">
        <f t="shared" si="16"/>
        <v>1082.55</v>
      </c>
    </row>
    <row r="243" spans="2:62" hidden="1">
      <c r="B243" s="717"/>
      <c r="C243" s="723"/>
      <c r="D243" s="524"/>
      <c r="E243" s="879" t="s">
        <v>366</v>
      </c>
      <c r="F243" s="730" t="s">
        <v>533</v>
      </c>
      <c r="G243" s="739" t="s">
        <v>534</v>
      </c>
      <c r="H243" s="1042">
        <v>50</v>
      </c>
      <c r="I243" s="721"/>
      <c r="BH243" s="522">
        <v>48</v>
      </c>
      <c r="BI243" s="899">
        <v>0.05</v>
      </c>
      <c r="BJ243" s="905">
        <f t="shared" si="16"/>
        <v>50.400000000000006</v>
      </c>
    </row>
    <row r="244" spans="2:62" hidden="1">
      <c r="B244" s="717"/>
      <c r="C244" s="723"/>
      <c r="D244" s="524"/>
      <c r="E244" s="879" t="s">
        <v>365</v>
      </c>
      <c r="F244" s="730" t="s">
        <v>535</v>
      </c>
      <c r="G244" s="739" t="s">
        <v>534</v>
      </c>
      <c r="H244" s="1042">
        <v>16</v>
      </c>
      <c r="I244" s="721"/>
      <c r="BH244" s="522">
        <v>15</v>
      </c>
      <c r="BI244" s="899">
        <v>0.05</v>
      </c>
      <c r="BJ244" s="905">
        <f t="shared" si="16"/>
        <v>15.75</v>
      </c>
    </row>
    <row r="245" spans="2:62" hidden="1">
      <c r="B245" s="717"/>
      <c r="C245" s="723"/>
      <c r="D245" s="524"/>
      <c r="E245" s="879" t="s">
        <v>503</v>
      </c>
      <c r="F245" s="892" t="s">
        <v>668</v>
      </c>
      <c r="G245" s="739" t="s">
        <v>495</v>
      </c>
      <c r="H245" s="1042">
        <v>91</v>
      </c>
      <c r="I245" s="721"/>
      <c r="BH245" s="522">
        <v>87</v>
      </c>
      <c r="BI245" s="899">
        <v>0.05</v>
      </c>
      <c r="BJ245" s="905">
        <f t="shared" si="16"/>
        <v>91.350000000000009</v>
      </c>
    </row>
    <row r="246" spans="2:62" hidden="1">
      <c r="B246" s="717"/>
      <c r="C246" s="723"/>
      <c r="D246" s="524"/>
      <c r="E246" s="879" t="s">
        <v>504</v>
      </c>
      <c r="F246" s="730" t="s">
        <v>530</v>
      </c>
      <c r="G246" s="739" t="s">
        <v>496</v>
      </c>
      <c r="H246" s="1042">
        <v>347</v>
      </c>
      <c r="I246" s="721"/>
      <c r="BH246" s="522">
        <v>330</v>
      </c>
      <c r="BI246" s="899">
        <v>0.05</v>
      </c>
      <c r="BJ246" s="905">
        <f t="shared" si="16"/>
        <v>346.5</v>
      </c>
    </row>
    <row r="247" spans="2:62" hidden="1">
      <c r="B247" s="717"/>
      <c r="C247" s="723"/>
      <c r="D247" s="524"/>
      <c r="E247" s="879" t="s">
        <v>505</v>
      </c>
      <c r="F247" s="730" t="s">
        <v>531</v>
      </c>
      <c r="G247" s="739" t="s">
        <v>497</v>
      </c>
      <c r="H247" s="1042">
        <v>254</v>
      </c>
      <c r="I247" s="721"/>
      <c r="BH247" s="522">
        <v>242</v>
      </c>
      <c r="BI247" s="899">
        <v>0.05</v>
      </c>
      <c r="BJ247" s="905">
        <f t="shared" si="16"/>
        <v>254.10000000000002</v>
      </c>
    </row>
    <row r="248" spans="2:62" hidden="1">
      <c r="B248" s="717"/>
      <c r="C248" s="723"/>
      <c r="D248" s="524"/>
      <c r="E248" s="879" t="s">
        <v>506</v>
      </c>
      <c r="F248" s="730" t="s">
        <v>532</v>
      </c>
      <c r="G248" s="739" t="s">
        <v>498</v>
      </c>
      <c r="H248" s="1042">
        <v>198</v>
      </c>
      <c r="I248" s="721"/>
      <c r="BH248" s="522">
        <v>189</v>
      </c>
      <c r="BI248" s="899">
        <v>0.05</v>
      </c>
      <c r="BJ248" s="905">
        <f t="shared" si="16"/>
        <v>198.45000000000002</v>
      </c>
    </row>
    <row r="249" spans="2:62" hidden="1">
      <c r="B249" s="717"/>
      <c r="C249" s="723"/>
      <c r="D249" s="524"/>
      <c r="E249" s="879" t="s">
        <v>499</v>
      </c>
      <c r="F249" s="892" t="s">
        <v>1033</v>
      </c>
      <c r="G249" s="739" t="s">
        <v>491</v>
      </c>
      <c r="H249" s="1042">
        <v>78</v>
      </c>
      <c r="I249" s="721"/>
      <c r="BH249" s="522">
        <v>74</v>
      </c>
      <c r="BI249" s="899">
        <v>0.05</v>
      </c>
      <c r="BJ249" s="905">
        <f t="shared" si="16"/>
        <v>77.7</v>
      </c>
    </row>
    <row r="250" spans="2:62" hidden="1">
      <c r="B250" s="717"/>
      <c r="C250" s="723"/>
      <c r="D250" s="524"/>
      <c r="E250" s="879" t="s">
        <v>500</v>
      </c>
      <c r="F250" s="892" t="s">
        <v>1034</v>
      </c>
      <c r="G250" s="739" t="s">
        <v>492</v>
      </c>
      <c r="H250" s="1042">
        <v>72</v>
      </c>
      <c r="I250" s="721"/>
      <c r="BH250" s="522">
        <v>69</v>
      </c>
      <c r="BI250" s="899">
        <v>0.05</v>
      </c>
      <c r="BJ250" s="905">
        <f t="shared" si="16"/>
        <v>72.45</v>
      </c>
    </row>
    <row r="251" spans="2:62" hidden="1">
      <c r="B251" s="717"/>
      <c r="C251" s="723"/>
      <c r="D251" s="524"/>
      <c r="E251" s="879" t="s">
        <v>501</v>
      </c>
      <c r="F251" s="892" t="s">
        <v>1035</v>
      </c>
      <c r="G251" s="739" t="s">
        <v>493</v>
      </c>
      <c r="H251" s="1042">
        <v>102</v>
      </c>
      <c r="I251" s="721"/>
      <c r="BH251" s="522">
        <v>97</v>
      </c>
      <c r="BI251" s="899">
        <v>0.05</v>
      </c>
      <c r="BJ251" s="905">
        <f t="shared" si="16"/>
        <v>101.85000000000001</v>
      </c>
    </row>
    <row r="252" spans="2:62" hidden="1">
      <c r="B252" s="717"/>
      <c r="C252" s="723"/>
      <c r="D252" s="524"/>
      <c r="E252" s="879" t="s">
        <v>502</v>
      </c>
      <c r="F252" s="893" t="s">
        <v>1036</v>
      </c>
      <c r="G252" s="747" t="s">
        <v>494</v>
      </c>
      <c r="H252" s="1042">
        <v>134</v>
      </c>
      <c r="I252" s="721"/>
      <c r="BH252" s="522">
        <v>128</v>
      </c>
      <c r="BI252" s="899">
        <v>0.05</v>
      </c>
      <c r="BJ252" s="905">
        <f t="shared" si="16"/>
        <v>134.4</v>
      </c>
    </row>
    <row r="253" spans="2:62" hidden="1">
      <c r="B253" s="717"/>
      <c r="C253" s="723"/>
      <c r="D253" s="524"/>
      <c r="E253" s="879" t="s">
        <v>367</v>
      </c>
      <c r="F253" s="730">
        <v>13080029</v>
      </c>
      <c r="G253" s="739" t="s">
        <v>529</v>
      </c>
      <c r="H253" s="331">
        <v>66</v>
      </c>
      <c r="I253" s="721"/>
      <c r="K253" s="522" t="s">
        <v>757</v>
      </c>
      <c r="L253" s="903" t="s">
        <v>758</v>
      </c>
      <c r="M253" s="522" t="s">
        <v>759</v>
      </c>
      <c r="N253" s="522">
        <v>3590</v>
      </c>
      <c r="BH253" s="522">
        <v>63</v>
      </c>
      <c r="BI253" s="899">
        <v>0.05</v>
      </c>
      <c r="BJ253" s="905">
        <f t="shared" si="16"/>
        <v>66.150000000000006</v>
      </c>
    </row>
    <row r="254" spans="2:62" hidden="1">
      <c r="B254" s="717"/>
      <c r="C254" s="723"/>
      <c r="D254" s="723"/>
      <c r="E254" s="726"/>
      <c r="F254" s="730"/>
      <c r="G254" s="747"/>
      <c r="H254" s="331"/>
      <c r="I254" s="721"/>
      <c r="BI254" s="899">
        <v>0.05</v>
      </c>
      <c r="BJ254" s="905">
        <f t="shared" si="16"/>
        <v>0</v>
      </c>
    </row>
    <row r="255" spans="2:62" hidden="1">
      <c r="B255" s="717"/>
      <c r="C255" s="723"/>
      <c r="D255" s="723"/>
      <c r="E255" s="726" t="s">
        <v>676</v>
      </c>
      <c r="F255" s="730" t="s">
        <v>1065</v>
      </c>
      <c r="G255" s="747" t="s">
        <v>675</v>
      </c>
      <c r="H255" s="331">
        <v>1000</v>
      </c>
      <c r="I255" s="721"/>
      <c r="BH255" s="522">
        <v>1000</v>
      </c>
      <c r="BI255" s="899">
        <v>0.05</v>
      </c>
      <c r="BJ255" s="905">
        <v>1000</v>
      </c>
    </row>
    <row r="256" spans="2:62" hidden="1">
      <c r="B256" s="717"/>
      <c r="C256" s="723"/>
      <c r="D256" s="723"/>
      <c r="E256" s="550" t="s">
        <v>1020</v>
      </c>
      <c r="F256" s="730" t="s">
        <v>1098</v>
      </c>
      <c r="G256" s="747" t="s">
        <v>1099</v>
      </c>
      <c r="H256" s="331">
        <v>510</v>
      </c>
      <c r="I256" s="721"/>
      <c r="BI256" s="899"/>
      <c r="BJ256" s="905"/>
    </row>
    <row r="257" spans="2:63" hidden="1">
      <c r="B257" s="717"/>
      <c r="C257" s="723"/>
      <c r="D257" s="723"/>
      <c r="E257" s="550" t="s">
        <v>1019</v>
      </c>
      <c r="F257" s="730"/>
      <c r="G257" s="747"/>
      <c r="H257" s="331"/>
      <c r="I257" s="721"/>
      <c r="BI257" s="899"/>
      <c r="BJ257" s="905"/>
    </row>
    <row r="258" spans="2:63" hidden="1">
      <c r="B258" s="717"/>
      <c r="C258" s="723"/>
      <c r="D258" s="524"/>
      <c r="E258" s="525"/>
      <c r="F258" s="525"/>
      <c r="G258" s="525"/>
      <c r="H258" s="1043"/>
      <c r="I258" s="721"/>
      <c r="BI258" s="899"/>
      <c r="BJ258" s="905"/>
    </row>
    <row r="259" spans="2:63" hidden="1">
      <c r="B259" s="717"/>
      <c r="C259" s="723"/>
      <c r="D259" s="524"/>
      <c r="E259" s="525"/>
      <c r="F259" s="736"/>
      <c r="G259" s="525"/>
      <c r="H259" s="1044"/>
      <c r="I259" s="721"/>
      <c r="K259" s="903"/>
      <c r="L259" s="903"/>
      <c r="BI259" s="899"/>
      <c r="BJ259" s="905"/>
    </row>
    <row r="260" spans="2:63" hidden="1">
      <c r="B260" s="717"/>
      <c r="C260" s="722" t="s">
        <v>40</v>
      </c>
      <c r="D260" s="524"/>
      <c r="E260" s="525"/>
      <c r="F260" s="736"/>
      <c r="G260" s="525"/>
      <c r="H260" s="335"/>
      <c r="I260" s="721"/>
      <c r="K260" s="522" t="s">
        <v>760</v>
      </c>
      <c r="L260" s="903"/>
      <c r="BI260" s="899"/>
      <c r="BJ260" s="905"/>
    </row>
    <row r="261" spans="2:63" hidden="1">
      <c r="B261" s="717"/>
      <c r="C261" s="723"/>
      <c r="D261" s="723" t="s">
        <v>619</v>
      </c>
      <c r="E261" s="748" t="s">
        <v>689</v>
      </c>
      <c r="F261" s="749" t="s">
        <v>761</v>
      </c>
      <c r="G261" s="750" t="s">
        <v>762</v>
      </c>
      <c r="H261" s="1045">
        <v>951.6</v>
      </c>
      <c r="I261" s="721"/>
      <c r="K261" s="903" t="s">
        <v>763</v>
      </c>
      <c r="L261" s="903"/>
      <c r="N261" s="522" t="s">
        <v>382</v>
      </c>
      <c r="BI261" s="899"/>
      <c r="BJ261" s="905"/>
      <c r="BK261" s="578"/>
    </row>
    <row r="262" spans="2:63" hidden="1">
      <c r="B262" s="717"/>
      <c r="C262" s="524"/>
      <c r="D262" s="524"/>
      <c r="E262" s="748"/>
      <c r="F262" s="751"/>
      <c r="G262" s="752"/>
      <c r="H262" s="1045"/>
      <c r="I262" s="721"/>
      <c r="K262" s="903" t="s">
        <v>764</v>
      </c>
      <c r="N262" s="522" t="s">
        <v>765</v>
      </c>
      <c r="BI262" s="899"/>
      <c r="BJ262" s="905"/>
      <c r="BK262" s="578"/>
    </row>
    <row r="263" spans="2:63" hidden="1">
      <c r="B263" s="717"/>
      <c r="C263" s="524"/>
      <c r="D263" s="524"/>
      <c r="E263" s="525" t="s">
        <v>766</v>
      </c>
      <c r="F263" s="736"/>
      <c r="G263" s="525"/>
      <c r="H263" s="335"/>
      <c r="I263" s="721"/>
      <c r="BI263" s="899"/>
      <c r="BJ263" s="905"/>
      <c r="BK263" s="578"/>
    </row>
    <row r="264" spans="2:63" hidden="1">
      <c r="B264" s="717"/>
      <c r="C264" s="524"/>
      <c r="D264" s="723" t="s">
        <v>562</v>
      </c>
      <c r="E264" s="748" t="s">
        <v>690</v>
      </c>
      <c r="F264" s="751" t="s">
        <v>767</v>
      </c>
      <c r="G264" s="752" t="s">
        <v>768</v>
      </c>
      <c r="H264" s="1045">
        <v>316</v>
      </c>
      <c r="I264" s="721"/>
      <c r="BI264" s="899"/>
      <c r="BJ264" s="905"/>
      <c r="BK264" s="578"/>
    </row>
    <row r="265" spans="2:63" hidden="1">
      <c r="B265" s="717"/>
      <c r="C265" s="524"/>
      <c r="D265" s="524"/>
      <c r="E265" s="748"/>
      <c r="F265" s="729"/>
      <c r="G265" s="752"/>
      <c r="H265" s="1045"/>
      <c r="I265" s="721"/>
      <c r="BJ265" s="895"/>
      <c r="BK265" s="578"/>
    </row>
    <row r="266" spans="2:63" hidden="1">
      <c r="B266" s="717"/>
      <c r="C266" s="524"/>
      <c r="D266" s="524"/>
      <c r="E266" s="525"/>
      <c r="F266" s="736"/>
      <c r="G266" s="525"/>
      <c r="H266" s="335"/>
      <c r="I266" s="721"/>
      <c r="BJ266" s="896"/>
      <c r="BK266" s="578"/>
    </row>
    <row r="267" spans="2:63" hidden="1">
      <c r="B267" s="717"/>
      <c r="C267" s="524"/>
      <c r="D267" s="524"/>
      <c r="E267" s="525"/>
      <c r="F267" s="736"/>
      <c r="G267" s="525"/>
      <c r="H267" s="335"/>
      <c r="I267" s="721"/>
      <c r="BJ267" s="896"/>
      <c r="BK267" s="578"/>
    </row>
    <row r="268" spans="2:63" hidden="1">
      <c r="B268" s="717"/>
      <c r="C268" s="524"/>
      <c r="D268" s="524"/>
      <c r="E268" s="382" t="s">
        <v>543</v>
      </c>
      <c r="F268" s="28"/>
      <c r="G268" s="109"/>
      <c r="H268" s="335"/>
      <c r="I268" s="721"/>
      <c r="BJ268" s="896"/>
      <c r="BK268" s="578"/>
    </row>
    <row r="269" spans="2:63" hidden="1">
      <c r="B269" s="717"/>
      <c r="C269" s="204" t="str">
        <f t="shared" ref="C269:C280" si="17">D269&amp;E269</f>
        <v>Reflective Sensor -WL8G-N2131 (inc bracket &amp; refector)PE Cable - 3m</v>
      </c>
      <c r="D269" s="428" t="s">
        <v>399</v>
      </c>
      <c r="E269" s="100" t="s">
        <v>70</v>
      </c>
      <c r="F269" s="377">
        <v>11060096</v>
      </c>
      <c r="G269" s="377" t="s">
        <v>540</v>
      </c>
      <c r="H269" s="402">
        <v>20</v>
      </c>
      <c r="I269" s="721"/>
      <c r="BJ269" s="896"/>
      <c r="BK269" s="578"/>
    </row>
    <row r="270" spans="2:63" hidden="1">
      <c r="B270" s="717"/>
      <c r="C270" s="204" t="str">
        <f t="shared" si="17"/>
        <v>Reflective Sensor -WL8G-N2131 (inc bracket &amp; refector)PE Cable - 5m</v>
      </c>
      <c r="D270" s="428" t="s">
        <v>399</v>
      </c>
      <c r="E270" s="100" t="s">
        <v>71</v>
      </c>
      <c r="F270" s="377">
        <v>11020007</v>
      </c>
      <c r="G270" s="377" t="s">
        <v>1009</v>
      </c>
      <c r="H270" s="402">
        <v>18</v>
      </c>
      <c r="I270" s="721"/>
      <c r="BJ270" s="896"/>
      <c r="BK270" s="578"/>
    </row>
    <row r="271" spans="2:63" hidden="1">
      <c r="B271" s="717"/>
      <c r="C271" s="934" t="str">
        <f t="shared" si="17"/>
        <v>Reflective Sensor -WL8G-N2131 (inc bracket &amp; refector)PE Cable - Custom</v>
      </c>
      <c r="D271" s="428" t="s">
        <v>399</v>
      </c>
      <c r="E271" s="100" t="s">
        <v>72</v>
      </c>
      <c r="F271" s="377" t="s">
        <v>576</v>
      </c>
      <c r="G271" s="377" t="s">
        <v>576</v>
      </c>
      <c r="H271" s="402" t="s">
        <v>69</v>
      </c>
      <c r="I271" s="721"/>
      <c r="BJ271" s="896"/>
      <c r="BK271" s="578"/>
    </row>
    <row r="272" spans="2:63" hidden="1">
      <c r="B272" s="717"/>
      <c r="C272" s="204" t="str">
        <f t="shared" si="17"/>
        <v>Proximity Sensor - WTB8-N2131 (incl bracket)PE Cable - 3m</v>
      </c>
      <c r="D272" s="428" t="s">
        <v>400</v>
      </c>
      <c r="E272" s="100" t="s">
        <v>70</v>
      </c>
      <c r="F272" s="377">
        <v>11060096</v>
      </c>
      <c r="G272" s="377" t="s">
        <v>540</v>
      </c>
      <c r="H272" s="402">
        <v>20</v>
      </c>
      <c r="I272" s="721"/>
      <c r="BJ272" s="896"/>
      <c r="BK272" s="578"/>
    </row>
    <row r="273" spans="2:63" hidden="1">
      <c r="B273" s="717"/>
      <c r="C273" s="204" t="str">
        <f t="shared" si="17"/>
        <v>Proximity Sensor - WTB8-N2131 (incl bracket)PE Cable - 5m</v>
      </c>
      <c r="D273" s="428" t="s">
        <v>400</v>
      </c>
      <c r="E273" s="100" t="s">
        <v>71</v>
      </c>
      <c r="F273" s="377">
        <v>11020007</v>
      </c>
      <c r="G273" s="377" t="s">
        <v>1009</v>
      </c>
      <c r="H273" s="402">
        <v>18</v>
      </c>
      <c r="I273" s="721"/>
      <c r="BJ273" s="896"/>
      <c r="BK273" s="578"/>
    </row>
    <row r="274" spans="2:63" hidden="1">
      <c r="B274" s="717"/>
      <c r="C274" s="934" t="str">
        <f t="shared" si="17"/>
        <v>Proximity Sensor - WTB8-N2131 (incl bracket)PE Cable - Custom</v>
      </c>
      <c r="D274" s="428" t="s">
        <v>400</v>
      </c>
      <c r="E274" s="100" t="s">
        <v>72</v>
      </c>
      <c r="F274" s="377" t="s">
        <v>577</v>
      </c>
      <c r="G274" s="377" t="s">
        <v>577</v>
      </c>
      <c r="H274" s="402" t="s">
        <v>69</v>
      </c>
      <c r="I274" s="721"/>
      <c r="BJ274" s="896"/>
      <c r="BK274" s="578"/>
    </row>
    <row r="275" spans="2:63" hidden="1">
      <c r="B275" s="717"/>
      <c r="C275" s="204" t="str">
        <f t="shared" si="17"/>
        <v>Fibre Optic Amplifier - WLL170-2N330PE Cable - 3m</v>
      </c>
      <c r="D275" s="428" t="s">
        <v>401</v>
      </c>
      <c r="E275" s="100" t="s">
        <v>70</v>
      </c>
      <c r="F275" s="377">
        <v>11060096</v>
      </c>
      <c r="G275" s="377" t="s">
        <v>776</v>
      </c>
      <c r="H275" s="402">
        <v>20</v>
      </c>
      <c r="I275" s="721"/>
      <c r="BJ275" s="896"/>
      <c r="BK275" s="578"/>
    </row>
    <row r="276" spans="2:63" hidden="1">
      <c r="B276" s="717"/>
      <c r="C276" s="204" t="str">
        <f t="shared" si="17"/>
        <v>Fibre Optic Amplifier - WLL170-2N330PE Cable - 5m</v>
      </c>
      <c r="D276" s="428" t="s">
        <v>401</v>
      </c>
      <c r="E276" s="100" t="s">
        <v>71</v>
      </c>
      <c r="F276" s="377">
        <v>11020007</v>
      </c>
      <c r="G276" s="377" t="s">
        <v>1009</v>
      </c>
      <c r="H276" s="402">
        <v>18</v>
      </c>
      <c r="I276" s="721"/>
      <c r="BJ276" s="896"/>
      <c r="BK276" s="578"/>
    </row>
    <row r="277" spans="2:63" hidden="1">
      <c r="B277" s="717"/>
      <c r="C277" s="934" t="str">
        <f t="shared" si="17"/>
        <v>Fibre Optic Amplifier - WLL170-2N330PE Cable - Custom</v>
      </c>
      <c r="D277" s="428" t="s">
        <v>401</v>
      </c>
      <c r="E277" s="100" t="s">
        <v>72</v>
      </c>
      <c r="F277" s="377" t="s">
        <v>578</v>
      </c>
      <c r="G277" s="377" t="s">
        <v>578</v>
      </c>
      <c r="H277" s="402" t="s">
        <v>69</v>
      </c>
      <c r="I277" s="721"/>
      <c r="BJ277" s="896"/>
      <c r="BK277" s="578"/>
    </row>
    <row r="278" spans="2:63" hidden="1">
      <c r="B278" s="717"/>
      <c r="C278" s="204" t="str">
        <f t="shared" si="17"/>
        <v>P/E Proximity Energetic - VTE18-4N4240 (Barrel 18mm)PE Cable - 3m</v>
      </c>
      <c r="D278" s="428" t="s">
        <v>402</v>
      </c>
      <c r="E278" s="100" t="s">
        <v>70</v>
      </c>
      <c r="F278" s="377">
        <v>11060039</v>
      </c>
      <c r="G278" s="377" t="s">
        <v>1075</v>
      </c>
      <c r="H278" s="402">
        <v>23</v>
      </c>
      <c r="I278" s="721"/>
      <c r="BJ278" s="896"/>
      <c r="BK278" s="578"/>
    </row>
    <row r="279" spans="2:63" hidden="1">
      <c r="B279" s="717"/>
      <c r="C279" s="204" t="str">
        <f t="shared" si="17"/>
        <v>P/E Proximity Energetic - VTE18-4N4240 (Barrel 18mm)PE Cable - 5m</v>
      </c>
      <c r="D279" s="428" t="s">
        <v>402</v>
      </c>
      <c r="E279" s="100" t="s">
        <v>71</v>
      </c>
      <c r="F279" s="377" t="s">
        <v>541</v>
      </c>
      <c r="G279" s="377" t="s">
        <v>542</v>
      </c>
      <c r="H279" s="402">
        <v>28</v>
      </c>
      <c r="I279" s="721"/>
      <c r="BJ279" s="896"/>
      <c r="BK279" s="578"/>
    </row>
    <row r="280" spans="2:63" hidden="1">
      <c r="B280" s="717"/>
      <c r="C280" s="934" t="str">
        <f t="shared" si="17"/>
        <v>P/E Proximity Energetic - VTE18-4N4240 (Barrel 18mm)PE Cable - Custom</v>
      </c>
      <c r="D280" s="428" t="s">
        <v>402</v>
      </c>
      <c r="E280" s="100" t="s">
        <v>72</v>
      </c>
      <c r="F280" s="377" t="s">
        <v>579</v>
      </c>
      <c r="G280" s="377" t="s">
        <v>579</v>
      </c>
      <c r="H280" s="402" t="s">
        <v>69</v>
      </c>
      <c r="I280" s="721"/>
      <c r="BJ280" s="896"/>
      <c r="BK280" s="578"/>
    </row>
    <row r="281" spans="2:63" hidden="1">
      <c r="B281" s="717"/>
      <c r="C281" s="524"/>
      <c r="D281" s="524"/>
      <c r="E281" s="879"/>
      <c r="F281" s="893"/>
      <c r="G281" s="747"/>
      <c r="H281" s="746"/>
      <c r="I281" s="721"/>
      <c r="BJ281" s="896"/>
      <c r="BK281" s="578"/>
    </row>
    <row r="282" spans="2:63" hidden="1">
      <c r="B282" s="717"/>
      <c r="C282" s="524"/>
      <c r="D282" s="524"/>
      <c r="E282" s="879"/>
      <c r="F282" s="893"/>
      <c r="G282" s="747"/>
      <c r="H282" s="746"/>
      <c r="I282" s="721"/>
      <c r="BJ282" s="896"/>
      <c r="BK282" s="578"/>
    </row>
    <row r="283" spans="2:63" hidden="1">
      <c r="B283" s="717"/>
      <c r="C283" s="524"/>
      <c r="D283" s="524"/>
      <c r="E283" s="879"/>
      <c r="F283" s="893"/>
      <c r="G283" s="747"/>
      <c r="H283" s="746"/>
      <c r="I283" s="721"/>
    </row>
    <row r="284" spans="2:63" ht="12" hidden="1" customHeight="1">
      <c r="B284" s="717"/>
      <c r="C284" s="524"/>
      <c r="D284" s="524"/>
      <c r="E284" s="879"/>
      <c r="F284" s="893"/>
      <c r="G284" s="747"/>
      <c r="H284" s="746"/>
      <c r="I284" s="721"/>
    </row>
    <row r="285" spans="2:63" hidden="1">
      <c r="B285" s="717"/>
      <c r="C285" s="524"/>
      <c r="D285" s="524"/>
      <c r="E285" s="879"/>
      <c r="F285" s="893"/>
      <c r="G285" s="747"/>
      <c r="H285" s="746"/>
      <c r="I285" s="721"/>
    </row>
    <row r="286" spans="2:63" hidden="1">
      <c r="B286" s="753"/>
      <c r="C286" s="723"/>
      <c r="D286" s="723"/>
      <c r="E286" s="879"/>
      <c r="F286" s="893"/>
      <c r="G286" s="747"/>
      <c r="H286" s="746"/>
      <c r="I286" s="721"/>
    </row>
    <row r="287" spans="2:63" s="754" customFormat="1" hidden="1">
      <c r="B287" s="753"/>
      <c r="C287" s="524"/>
      <c r="D287" s="524"/>
      <c r="E287" s="525"/>
      <c r="F287" s="526"/>
      <c r="G287" s="525"/>
      <c r="H287" s="110"/>
      <c r="I287" s="721"/>
      <c r="J287" s="522"/>
      <c r="K287" s="904"/>
      <c r="L287" s="904"/>
      <c r="M287" s="904"/>
      <c r="N287" s="904"/>
      <c r="O287" s="904"/>
      <c r="P287" s="904"/>
      <c r="Q287" s="904"/>
      <c r="R287" s="904"/>
      <c r="S287" s="904"/>
      <c r="T287" s="904"/>
      <c r="U287" s="904"/>
      <c r="V287" s="904"/>
      <c r="W287" s="904"/>
      <c r="X287" s="904"/>
      <c r="Y287" s="904"/>
      <c r="Z287" s="904"/>
      <c r="AA287" s="904"/>
      <c r="AB287" s="904"/>
      <c r="AC287" s="904"/>
      <c r="AD287" s="904"/>
      <c r="AE287" s="904"/>
      <c r="AF287" s="904"/>
      <c r="AG287" s="904"/>
      <c r="AH287" s="904"/>
      <c r="AI287" s="904"/>
      <c r="AJ287" s="904"/>
      <c r="AK287" s="904"/>
      <c r="AL287" s="904"/>
      <c r="AM287" s="904"/>
      <c r="AN287" s="904"/>
      <c r="AO287" s="904"/>
      <c r="AP287" s="904"/>
      <c r="AQ287" s="904"/>
      <c r="AR287" s="904"/>
      <c r="AS287" s="904"/>
      <c r="AT287" s="904"/>
      <c r="AU287" s="904"/>
      <c r="AV287" s="904"/>
      <c r="AW287" s="904"/>
      <c r="AX287" s="904"/>
      <c r="AY287" s="904"/>
      <c r="AZ287" s="904"/>
      <c r="BA287" s="904"/>
      <c r="BB287" s="904"/>
      <c r="BC287" s="904"/>
      <c r="BD287" s="904"/>
      <c r="BE287" s="904"/>
      <c r="BF287" s="904"/>
      <c r="BG287" s="904"/>
      <c r="BH287" s="904"/>
      <c r="BI287" s="904"/>
      <c r="BJ287" s="767"/>
    </row>
    <row r="288" spans="2:63" s="754" customFormat="1" hidden="1">
      <c r="B288" s="753"/>
      <c r="C288" s="524"/>
      <c r="D288" s="524"/>
      <c r="E288" s="525"/>
      <c r="F288" s="526"/>
      <c r="G288" s="525"/>
      <c r="H288" s="110"/>
      <c r="I288" s="721"/>
      <c r="J288" s="522"/>
      <c r="K288" s="904"/>
      <c r="L288" s="904"/>
      <c r="M288" s="904"/>
      <c r="N288" s="904"/>
      <c r="O288" s="904"/>
      <c r="P288" s="904"/>
      <c r="Q288" s="904"/>
      <c r="R288" s="904"/>
      <c r="S288" s="904"/>
      <c r="T288" s="904"/>
      <c r="U288" s="904"/>
      <c r="V288" s="904"/>
      <c r="W288" s="904"/>
      <c r="X288" s="904"/>
      <c r="Y288" s="904"/>
      <c r="Z288" s="904"/>
      <c r="AA288" s="904"/>
      <c r="AB288" s="904"/>
      <c r="AC288" s="904"/>
      <c r="AD288" s="904"/>
      <c r="AE288" s="904"/>
      <c r="AF288" s="904"/>
      <c r="AG288" s="904"/>
      <c r="AH288" s="904"/>
      <c r="AI288" s="904"/>
      <c r="AJ288" s="904"/>
      <c r="AK288" s="904"/>
      <c r="AL288" s="904"/>
      <c r="AM288" s="904"/>
      <c r="AN288" s="904"/>
      <c r="AO288" s="904"/>
      <c r="AP288" s="904"/>
      <c r="AQ288" s="904"/>
      <c r="AR288" s="904"/>
      <c r="AS288" s="904"/>
      <c r="AT288" s="904"/>
      <c r="AU288" s="904"/>
      <c r="AV288" s="904"/>
      <c r="AW288" s="904"/>
      <c r="AX288" s="904"/>
      <c r="AY288" s="904"/>
      <c r="AZ288" s="904"/>
      <c r="BA288" s="904"/>
      <c r="BB288" s="904"/>
      <c r="BC288" s="904"/>
      <c r="BD288" s="904"/>
      <c r="BE288" s="904"/>
      <c r="BF288" s="904"/>
      <c r="BG288" s="904"/>
      <c r="BH288" s="904"/>
      <c r="BI288" s="904"/>
      <c r="BJ288" s="767"/>
    </row>
    <row r="289" spans="2:62" s="754" customFormat="1" hidden="1">
      <c r="B289" s="753"/>
      <c r="C289" s="722" t="s">
        <v>44</v>
      </c>
      <c r="D289" s="524"/>
      <c r="E289" s="525"/>
      <c r="F289" s="526"/>
      <c r="G289" s="525"/>
      <c r="H289" s="110"/>
      <c r="I289" s="721"/>
      <c r="J289" s="522"/>
      <c r="K289" s="904"/>
      <c r="L289" s="904"/>
      <c r="M289" s="904"/>
      <c r="N289" s="904"/>
      <c r="O289" s="904"/>
      <c r="P289" s="904"/>
      <c r="Q289" s="904"/>
      <c r="R289" s="904"/>
      <c r="S289" s="904"/>
      <c r="T289" s="904"/>
      <c r="U289" s="904"/>
      <c r="V289" s="904"/>
      <c r="W289" s="904"/>
      <c r="X289" s="904"/>
      <c r="Y289" s="904"/>
      <c r="Z289" s="904"/>
      <c r="AA289" s="904"/>
      <c r="AB289" s="904"/>
      <c r="AC289" s="904"/>
      <c r="AD289" s="904"/>
      <c r="AE289" s="904"/>
      <c r="AF289" s="904"/>
      <c r="AG289" s="904"/>
      <c r="AH289" s="904"/>
      <c r="AI289" s="904"/>
      <c r="AJ289" s="904"/>
      <c r="AK289" s="904"/>
      <c r="AL289" s="904"/>
      <c r="AM289" s="904"/>
      <c r="AN289" s="904"/>
      <c r="AO289" s="904"/>
      <c r="AP289" s="904"/>
      <c r="AQ289" s="904"/>
      <c r="AR289" s="904"/>
      <c r="AS289" s="904"/>
      <c r="AT289" s="904"/>
      <c r="AU289" s="904"/>
      <c r="AV289" s="904"/>
      <c r="AW289" s="904"/>
      <c r="AX289" s="904"/>
      <c r="AY289" s="904"/>
      <c r="AZ289" s="904"/>
      <c r="BA289" s="904"/>
      <c r="BB289" s="904"/>
      <c r="BC289" s="904"/>
      <c r="BD289" s="904"/>
      <c r="BE289" s="904"/>
      <c r="BF289" s="904"/>
      <c r="BG289" s="904"/>
      <c r="BH289" s="904"/>
      <c r="BI289" s="904"/>
      <c r="BJ289" s="767"/>
    </row>
    <row r="290" spans="2:62" s="754" customFormat="1" hidden="1">
      <c r="B290" s="753"/>
      <c r="C290" s="524"/>
      <c r="D290" s="723" t="s">
        <v>62</v>
      </c>
      <c r="E290" s="726" t="s">
        <v>37</v>
      </c>
      <c r="F290" s="752"/>
      <c r="G290" s="755"/>
      <c r="H290" s="97"/>
      <c r="I290" s="721"/>
      <c r="J290" s="522"/>
      <c r="K290" s="904"/>
      <c r="L290" s="904"/>
      <c r="M290" s="904"/>
      <c r="N290" s="904"/>
      <c r="O290" s="904"/>
      <c r="P290" s="904"/>
      <c r="Q290" s="904"/>
      <c r="R290" s="904"/>
      <c r="S290" s="904"/>
      <c r="T290" s="904"/>
      <c r="U290" s="904"/>
      <c r="V290" s="904"/>
      <c r="W290" s="904"/>
      <c r="X290" s="904"/>
      <c r="Y290" s="904"/>
      <c r="Z290" s="904"/>
      <c r="AA290" s="904"/>
      <c r="AB290" s="904"/>
      <c r="AC290" s="904"/>
      <c r="AD290" s="904"/>
      <c r="AE290" s="904"/>
      <c r="AF290" s="904"/>
      <c r="AG290" s="904"/>
      <c r="AH290" s="904"/>
      <c r="AI290" s="904"/>
      <c r="AJ290" s="904"/>
      <c r="AK290" s="904"/>
      <c r="AL290" s="904"/>
      <c r="AM290" s="904"/>
      <c r="AN290" s="904"/>
      <c r="AO290" s="904"/>
      <c r="AP290" s="904"/>
      <c r="AQ290" s="904"/>
      <c r="AR290" s="904"/>
      <c r="AS290" s="904"/>
      <c r="AT290" s="904"/>
      <c r="AU290" s="904"/>
      <c r="AV290" s="904"/>
      <c r="AW290" s="904"/>
      <c r="AX290" s="904"/>
      <c r="AY290" s="904"/>
      <c r="AZ290" s="904"/>
      <c r="BA290" s="904"/>
      <c r="BB290" s="904"/>
      <c r="BC290" s="904"/>
      <c r="BD290" s="904"/>
      <c r="BE290" s="904"/>
      <c r="BF290" s="904"/>
      <c r="BG290" s="904"/>
      <c r="BH290" s="904"/>
      <c r="BI290" s="904"/>
      <c r="BJ290" s="767"/>
    </row>
    <row r="291" spans="2:62" s="754" customFormat="1" hidden="1">
      <c r="B291" s="753"/>
      <c r="C291" s="524"/>
      <c r="D291" s="723"/>
      <c r="E291" s="723"/>
      <c r="F291" s="752">
        <v>1</v>
      </c>
      <c r="G291" s="728">
        <v>2</v>
      </c>
      <c r="H291" s="97">
        <v>950</v>
      </c>
      <c r="I291" s="721">
        <v>1.7142857142857142</v>
      </c>
      <c r="J291" s="522"/>
      <c r="K291" s="904"/>
      <c r="L291" s="904"/>
      <c r="M291" s="904"/>
      <c r="N291" s="904"/>
      <c r="O291" s="904"/>
      <c r="P291" s="904"/>
      <c r="Q291" s="904"/>
      <c r="R291" s="904"/>
      <c r="S291" s="904"/>
      <c r="T291" s="904"/>
      <c r="U291" s="904"/>
      <c r="V291" s="904"/>
      <c r="W291" s="904"/>
      <c r="X291" s="904"/>
      <c r="Y291" s="904"/>
      <c r="Z291" s="904"/>
      <c r="AA291" s="904"/>
      <c r="AB291" s="904"/>
      <c r="AC291" s="904"/>
      <c r="AD291" s="904"/>
      <c r="AE291" s="904"/>
      <c r="AF291" s="904"/>
      <c r="AG291" s="904"/>
      <c r="AH291" s="904"/>
      <c r="AI291" s="904"/>
      <c r="AJ291" s="904"/>
      <c r="AK291" s="904"/>
      <c r="AL291" s="904"/>
      <c r="AM291" s="904"/>
      <c r="AN291" s="904"/>
      <c r="AO291" s="904"/>
      <c r="AP291" s="904"/>
      <c r="AQ291" s="904"/>
      <c r="AR291" s="904"/>
      <c r="AS291" s="904"/>
      <c r="AT291" s="904"/>
      <c r="AU291" s="904"/>
      <c r="AV291" s="904"/>
      <c r="AW291" s="904"/>
      <c r="AX291" s="904"/>
      <c r="AY291" s="904"/>
      <c r="AZ291" s="904"/>
      <c r="BA291" s="904"/>
      <c r="BB291" s="904"/>
      <c r="BC291" s="904"/>
      <c r="BD291" s="904"/>
      <c r="BE291" s="904"/>
      <c r="BF291" s="904"/>
      <c r="BG291" s="904"/>
      <c r="BH291" s="904"/>
      <c r="BI291" s="904"/>
      <c r="BJ291" s="767"/>
    </row>
    <row r="292" spans="2:62" s="754" customFormat="1" hidden="1">
      <c r="B292" s="753"/>
      <c r="C292" s="524"/>
      <c r="D292" s="723"/>
      <c r="E292" s="723"/>
      <c r="F292" s="752">
        <v>2</v>
      </c>
      <c r="G292" s="728">
        <v>4</v>
      </c>
      <c r="H292" s="97">
        <f>I291*H291</f>
        <v>1628.5714285714284</v>
      </c>
      <c r="I292" s="721">
        <v>1.4166666666666665</v>
      </c>
      <c r="J292" s="522"/>
      <c r="K292" s="904"/>
      <c r="L292" s="904"/>
      <c r="M292" s="904"/>
      <c r="N292" s="904"/>
      <c r="O292" s="904"/>
      <c r="P292" s="904"/>
      <c r="Q292" s="904"/>
      <c r="R292" s="904"/>
      <c r="S292" s="904"/>
      <c r="T292" s="904"/>
      <c r="U292" s="904"/>
      <c r="V292" s="904"/>
      <c r="W292" s="904"/>
      <c r="X292" s="904"/>
      <c r="Y292" s="904"/>
      <c r="Z292" s="904"/>
      <c r="AA292" s="904"/>
      <c r="AB292" s="904"/>
      <c r="AC292" s="904"/>
      <c r="AD292" s="904"/>
      <c r="AE292" s="904"/>
      <c r="AF292" s="904"/>
      <c r="AG292" s="904"/>
      <c r="AH292" s="904"/>
      <c r="AI292" s="904"/>
      <c r="AJ292" s="904"/>
      <c r="AK292" s="904"/>
      <c r="AL292" s="904"/>
      <c r="AM292" s="904"/>
      <c r="AN292" s="904"/>
      <c r="AO292" s="904"/>
      <c r="AP292" s="904"/>
      <c r="AQ292" s="904"/>
      <c r="AR292" s="904"/>
      <c r="AS292" s="904"/>
      <c r="AT292" s="904"/>
      <c r="AU292" s="904"/>
      <c r="AV292" s="904"/>
      <c r="AW292" s="904"/>
      <c r="AX292" s="904"/>
      <c r="AY292" s="904"/>
      <c r="AZ292" s="904"/>
      <c r="BA292" s="904"/>
      <c r="BB292" s="904"/>
      <c r="BC292" s="904"/>
      <c r="BD292" s="904"/>
      <c r="BE292" s="904"/>
      <c r="BF292" s="904"/>
      <c r="BG292" s="904"/>
      <c r="BH292" s="904"/>
      <c r="BI292" s="904"/>
      <c r="BJ292" s="767"/>
    </row>
    <row r="293" spans="2:62" s="754" customFormat="1" hidden="1">
      <c r="B293" s="753"/>
      <c r="C293" s="524"/>
      <c r="D293" s="723"/>
      <c r="E293" s="723"/>
      <c r="F293" s="752">
        <v>3</v>
      </c>
      <c r="G293" s="728">
        <v>6</v>
      </c>
      <c r="H293" s="97">
        <f>H292*I292</f>
        <v>2307.1428571428569</v>
      </c>
      <c r="I293" s="721"/>
      <c r="J293" s="522"/>
      <c r="K293" s="904"/>
      <c r="L293" s="904"/>
      <c r="M293" s="904"/>
      <c r="N293" s="904"/>
      <c r="O293" s="904"/>
      <c r="P293" s="904"/>
      <c r="Q293" s="904"/>
      <c r="R293" s="904"/>
      <c r="S293" s="904"/>
      <c r="T293" s="904"/>
      <c r="U293" s="904"/>
      <c r="V293" s="904"/>
      <c r="W293" s="904"/>
      <c r="X293" s="904"/>
      <c r="Y293" s="904"/>
      <c r="Z293" s="904"/>
      <c r="AA293" s="904"/>
      <c r="AB293" s="904"/>
      <c r="AC293" s="904"/>
      <c r="AD293" s="904"/>
      <c r="AE293" s="904"/>
      <c r="AF293" s="904"/>
      <c r="AG293" s="904"/>
      <c r="AH293" s="904"/>
      <c r="AI293" s="904"/>
      <c r="AJ293" s="904"/>
      <c r="AK293" s="904"/>
      <c r="AL293" s="904"/>
      <c r="AM293" s="904"/>
      <c r="AN293" s="904"/>
      <c r="AO293" s="904"/>
      <c r="AP293" s="904"/>
      <c r="AQ293" s="904"/>
      <c r="AR293" s="904"/>
      <c r="AS293" s="904"/>
      <c r="AT293" s="904"/>
      <c r="AU293" s="904"/>
      <c r="AV293" s="904"/>
      <c r="AW293" s="904"/>
      <c r="AX293" s="904"/>
      <c r="AY293" s="904"/>
      <c r="AZ293" s="904"/>
      <c r="BA293" s="904"/>
      <c r="BB293" s="904"/>
      <c r="BC293" s="904"/>
      <c r="BD293" s="904"/>
      <c r="BE293" s="904"/>
      <c r="BF293" s="904"/>
      <c r="BG293" s="904"/>
      <c r="BH293" s="904"/>
      <c r="BI293" s="904"/>
      <c r="BJ293" s="767"/>
    </row>
    <row r="294" spans="2:62" s="754" customFormat="1" hidden="1">
      <c r="B294" s="753"/>
      <c r="C294" s="524"/>
      <c r="D294" s="723"/>
      <c r="E294" s="723"/>
      <c r="F294" s="756">
        <v>4</v>
      </c>
      <c r="G294" s="757">
        <v>8</v>
      </c>
      <c r="H294" s="758">
        <f t="shared" ref="H294:H301" si="18">H293+$H$291</f>
        <v>3257.1428571428569</v>
      </c>
      <c r="I294" s="721"/>
      <c r="J294" s="522"/>
      <c r="K294" s="904"/>
      <c r="L294" s="904"/>
      <c r="M294" s="904"/>
      <c r="N294" s="904"/>
      <c r="O294" s="904"/>
      <c r="P294" s="904"/>
      <c r="Q294" s="904"/>
      <c r="R294" s="904"/>
      <c r="S294" s="904"/>
      <c r="T294" s="904"/>
      <c r="U294" s="904"/>
      <c r="V294" s="904"/>
      <c r="W294" s="904"/>
      <c r="X294" s="904"/>
      <c r="Y294" s="904"/>
      <c r="Z294" s="904"/>
      <c r="AA294" s="904"/>
      <c r="AB294" s="904"/>
      <c r="AC294" s="904"/>
      <c r="AD294" s="904"/>
      <c r="AE294" s="904"/>
      <c r="AF294" s="904"/>
      <c r="AG294" s="904"/>
      <c r="AH294" s="904"/>
      <c r="AI294" s="904"/>
      <c r="AJ294" s="904"/>
      <c r="AK294" s="904"/>
      <c r="AL294" s="904"/>
      <c r="AM294" s="904"/>
      <c r="AN294" s="904"/>
      <c r="AO294" s="904"/>
      <c r="AP294" s="904"/>
      <c r="AQ294" s="904"/>
      <c r="AR294" s="904"/>
      <c r="AS294" s="904"/>
      <c r="AT294" s="904"/>
      <c r="AU294" s="904"/>
      <c r="AV294" s="904"/>
      <c r="AW294" s="904"/>
      <c r="AX294" s="904"/>
      <c r="AY294" s="904"/>
      <c r="AZ294" s="904"/>
      <c r="BA294" s="904"/>
      <c r="BB294" s="904"/>
      <c r="BC294" s="904"/>
      <c r="BD294" s="904"/>
      <c r="BE294" s="904"/>
      <c r="BF294" s="904"/>
      <c r="BG294" s="904"/>
      <c r="BH294" s="904"/>
      <c r="BI294" s="904"/>
      <c r="BJ294" s="767"/>
    </row>
    <row r="295" spans="2:62" s="754" customFormat="1" hidden="1">
      <c r="B295" s="753"/>
      <c r="C295" s="524"/>
      <c r="D295" s="723"/>
      <c r="E295" s="723"/>
      <c r="F295" s="756">
        <v>5</v>
      </c>
      <c r="G295" s="757">
        <v>10</v>
      </c>
      <c r="H295" s="758">
        <f t="shared" si="18"/>
        <v>4207.1428571428569</v>
      </c>
      <c r="I295" s="721"/>
      <c r="J295" s="522"/>
      <c r="K295" s="904"/>
      <c r="L295" s="904"/>
      <c r="M295" s="904"/>
      <c r="N295" s="904"/>
      <c r="O295" s="904"/>
      <c r="P295" s="904"/>
      <c r="Q295" s="904"/>
      <c r="R295" s="904"/>
      <c r="S295" s="904"/>
      <c r="T295" s="904"/>
      <c r="U295" s="904"/>
      <c r="V295" s="904"/>
      <c r="W295" s="904"/>
      <c r="X295" s="904"/>
      <c r="Y295" s="904"/>
      <c r="Z295" s="904"/>
      <c r="AA295" s="904"/>
      <c r="AB295" s="904"/>
      <c r="AC295" s="904"/>
      <c r="AD295" s="904"/>
      <c r="AE295" s="904"/>
      <c r="AF295" s="904"/>
      <c r="AG295" s="904"/>
      <c r="AH295" s="904"/>
      <c r="AI295" s="904"/>
      <c r="AJ295" s="904"/>
      <c r="AK295" s="904"/>
      <c r="AL295" s="904"/>
      <c r="AM295" s="904"/>
      <c r="AN295" s="904"/>
      <c r="AO295" s="904"/>
      <c r="AP295" s="904"/>
      <c r="AQ295" s="904"/>
      <c r="AR295" s="904"/>
      <c r="AS295" s="904"/>
      <c r="AT295" s="904"/>
      <c r="AU295" s="904"/>
      <c r="AV295" s="904"/>
      <c r="AW295" s="904"/>
      <c r="AX295" s="904"/>
      <c r="AY295" s="904"/>
      <c r="AZ295" s="904"/>
      <c r="BA295" s="904"/>
      <c r="BB295" s="904"/>
      <c r="BC295" s="904"/>
      <c r="BD295" s="904"/>
      <c r="BE295" s="904"/>
      <c r="BF295" s="904"/>
      <c r="BG295" s="904"/>
      <c r="BH295" s="904"/>
      <c r="BI295" s="904"/>
      <c r="BJ295" s="767"/>
    </row>
    <row r="296" spans="2:62" s="754" customFormat="1" hidden="1">
      <c r="B296" s="753"/>
      <c r="C296" s="524"/>
      <c r="D296" s="723"/>
      <c r="E296" s="723"/>
      <c r="F296" s="756">
        <v>6</v>
      </c>
      <c r="G296" s="757">
        <v>12</v>
      </c>
      <c r="H296" s="758">
        <f t="shared" si="18"/>
        <v>5157.1428571428569</v>
      </c>
      <c r="I296" s="721"/>
      <c r="J296" s="522"/>
      <c r="K296" s="904"/>
      <c r="L296" s="904"/>
      <c r="M296" s="904"/>
      <c r="N296" s="904"/>
      <c r="O296" s="904"/>
      <c r="P296" s="904"/>
      <c r="Q296" s="904"/>
      <c r="R296" s="904"/>
      <c r="S296" s="904"/>
      <c r="T296" s="904"/>
      <c r="U296" s="904"/>
      <c r="V296" s="904"/>
      <c r="W296" s="904"/>
      <c r="X296" s="904"/>
      <c r="Y296" s="904"/>
      <c r="Z296" s="904"/>
      <c r="AA296" s="904"/>
      <c r="AB296" s="904"/>
      <c r="AC296" s="904"/>
      <c r="AD296" s="904"/>
      <c r="AE296" s="904"/>
      <c r="AF296" s="904"/>
      <c r="AG296" s="904"/>
      <c r="AH296" s="904"/>
      <c r="AI296" s="904"/>
      <c r="AJ296" s="904"/>
      <c r="AK296" s="904"/>
      <c r="AL296" s="904"/>
      <c r="AM296" s="904"/>
      <c r="AN296" s="904"/>
      <c r="AO296" s="904"/>
      <c r="AP296" s="904"/>
      <c r="AQ296" s="904"/>
      <c r="AR296" s="904"/>
      <c r="AS296" s="904"/>
      <c r="AT296" s="904"/>
      <c r="AU296" s="904"/>
      <c r="AV296" s="904"/>
      <c r="AW296" s="904"/>
      <c r="AX296" s="904"/>
      <c r="AY296" s="904"/>
      <c r="AZ296" s="904"/>
      <c r="BA296" s="904"/>
      <c r="BB296" s="904"/>
      <c r="BC296" s="904"/>
      <c r="BD296" s="904"/>
      <c r="BE296" s="904"/>
      <c r="BF296" s="904"/>
      <c r="BG296" s="904"/>
      <c r="BH296" s="904"/>
      <c r="BI296" s="904"/>
      <c r="BJ296" s="767"/>
    </row>
    <row r="297" spans="2:62" s="754" customFormat="1" hidden="1">
      <c r="B297" s="753"/>
      <c r="C297" s="524"/>
      <c r="D297" s="723"/>
      <c r="E297" s="723"/>
      <c r="F297" s="756">
        <v>7</v>
      </c>
      <c r="G297" s="757">
        <v>14</v>
      </c>
      <c r="H297" s="758">
        <f t="shared" si="18"/>
        <v>6107.1428571428569</v>
      </c>
      <c r="I297" s="721"/>
      <c r="J297" s="522"/>
      <c r="K297" s="904"/>
      <c r="L297" s="904"/>
      <c r="M297" s="904"/>
      <c r="N297" s="904"/>
      <c r="O297" s="904"/>
      <c r="P297" s="904"/>
      <c r="Q297" s="904"/>
      <c r="R297" s="904"/>
      <c r="S297" s="904"/>
      <c r="T297" s="904"/>
      <c r="U297" s="904"/>
      <c r="V297" s="904"/>
      <c r="W297" s="904"/>
      <c r="X297" s="904"/>
      <c r="Y297" s="904"/>
      <c r="Z297" s="904"/>
      <c r="AA297" s="904"/>
      <c r="AB297" s="904"/>
      <c r="AC297" s="904"/>
      <c r="AD297" s="904"/>
      <c r="AE297" s="904"/>
      <c r="AF297" s="904"/>
      <c r="AG297" s="904"/>
      <c r="AH297" s="904"/>
      <c r="AI297" s="904"/>
      <c r="AJ297" s="904"/>
      <c r="AK297" s="904"/>
      <c r="AL297" s="904"/>
      <c r="AM297" s="904"/>
      <c r="AN297" s="904"/>
      <c r="AO297" s="904"/>
      <c r="AP297" s="904"/>
      <c r="AQ297" s="904"/>
      <c r="AR297" s="904"/>
      <c r="AS297" s="904"/>
      <c r="AT297" s="904"/>
      <c r="AU297" s="904"/>
      <c r="AV297" s="904"/>
      <c r="AW297" s="904"/>
      <c r="AX297" s="904"/>
      <c r="AY297" s="904"/>
      <c r="AZ297" s="904"/>
      <c r="BA297" s="904"/>
      <c r="BB297" s="904"/>
      <c r="BC297" s="904"/>
      <c r="BD297" s="904"/>
      <c r="BE297" s="904"/>
      <c r="BF297" s="904"/>
      <c r="BG297" s="904"/>
      <c r="BH297" s="904"/>
      <c r="BI297" s="904"/>
      <c r="BJ297" s="767"/>
    </row>
    <row r="298" spans="2:62" s="754" customFormat="1" hidden="1">
      <c r="B298" s="753"/>
      <c r="C298" s="524"/>
      <c r="D298" s="723"/>
      <c r="E298" s="723"/>
      <c r="F298" s="756">
        <v>8</v>
      </c>
      <c r="G298" s="757">
        <v>16</v>
      </c>
      <c r="H298" s="758">
        <f t="shared" si="18"/>
        <v>7057.1428571428569</v>
      </c>
      <c r="I298" s="721"/>
      <c r="J298" s="522"/>
      <c r="K298" s="904"/>
      <c r="L298" s="904"/>
      <c r="M298" s="904"/>
      <c r="N298" s="904"/>
      <c r="O298" s="904"/>
      <c r="P298" s="904"/>
      <c r="Q298" s="904"/>
      <c r="R298" s="904"/>
      <c r="S298" s="904"/>
      <c r="T298" s="904"/>
      <c r="U298" s="904"/>
      <c r="V298" s="904"/>
      <c r="W298" s="904"/>
      <c r="X298" s="904"/>
      <c r="Y298" s="904"/>
      <c r="Z298" s="904"/>
      <c r="AA298" s="904"/>
      <c r="AB298" s="904"/>
      <c r="AC298" s="904"/>
      <c r="AD298" s="904"/>
      <c r="AE298" s="904"/>
      <c r="AF298" s="904"/>
      <c r="AG298" s="904"/>
      <c r="AH298" s="904"/>
      <c r="AI298" s="904"/>
      <c r="AJ298" s="904"/>
      <c r="AK298" s="904"/>
      <c r="AL298" s="904"/>
      <c r="AM298" s="904"/>
      <c r="AN298" s="904"/>
      <c r="AO298" s="904"/>
      <c r="AP298" s="904"/>
      <c r="AQ298" s="904"/>
      <c r="AR298" s="904"/>
      <c r="AS298" s="904"/>
      <c r="AT298" s="904"/>
      <c r="AU298" s="904"/>
      <c r="AV298" s="904"/>
      <c r="AW298" s="904"/>
      <c r="AX298" s="904"/>
      <c r="AY298" s="904"/>
      <c r="AZ298" s="904"/>
      <c r="BA298" s="904"/>
      <c r="BB298" s="904"/>
      <c r="BC298" s="904"/>
      <c r="BD298" s="904"/>
      <c r="BE298" s="904"/>
      <c r="BF298" s="904"/>
      <c r="BG298" s="904"/>
      <c r="BH298" s="904"/>
      <c r="BI298" s="904"/>
      <c r="BJ298" s="767"/>
    </row>
    <row r="299" spans="2:62" s="754" customFormat="1" hidden="1">
      <c r="B299" s="753"/>
      <c r="C299" s="524"/>
      <c r="D299" s="723"/>
      <c r="E299" s="723"/>
      <c r="F299" s="756">
        <v>9</v>
      </c>
      <c r="G299" s="757">
        <v>18</v>
      </c>
      <c r="H299" s="758">
        <f t="shared" si="18"/>
        <v>8007.1428571428569</v>
      </c>
      <c r="I299" s="721"/>
      <c r="J299" s="522"/>
      <c r="K299" s="904"/>
      <c r="L299" s="904"/>
      <c r="M299" s="904"/>
      <c r="N299" s="904"/>
      <c r="O299" s="904"/>
      <c r="P299" s="904"/>
      <c r="Q299" s="904"/>
      <c r="R299" s="904"/>
      <c r="S299" s="904"/>
      <c r="T299" s="904"/>
      <c r="U299" s="904"/>
      <c r="V299" s="904"/>
      <c r="W299" s="904"/>
      <c r="X299" s="904"/>
      <c r="Y299" s="904"/>
      <c r="Z299" s="904"/>
      <c r="AA299" s="904"/>
      <c r="AB299" s="904"/>
      <c r="AC299" s="904"/>
      <c r="AD299" s="904"/>
      <c r="AE299" s="904"/>
      <c r="AF299" s="904"/>
      <c r="AG299" s="904"/>
      <c r="AH299" s="904"/>
      <c r="AI299" s="904"/>
      <c r="AJ299" s="904"/>
      <c r="AK299" s="904"/>
      <c r="AL299" s="904"/>
      <c r="AM299" s="904"/>
      <c r="AN299" s="904"/>
      <c r="AO299" s="904"/>
      <c r="AP299" s="904"/>
      <c r="AQ299" s="904"/>
      <c r="AR299" s="904"/>
      <c r="AS299" s="904"/>
      <c r="AT299" s="904"/>
      <c r="AU299" s="904"/>
      <c r="AV299" s="904"/>
      <c r="AW299" s="904"/>
      <c r="AX299" s="904"/>
      <c r="AY299" s="904"/>
      <c r="AZ299" s="904"/>
      <c r="BA299" s="904"/>
      <c r="BB299" s="904"/>
      <c r="BC299" s="904"/>
      <c r="BD299" s="904"/>
      <c r="BE299" s="904"/>
      <c r="BF299" s="904"/>
      <c r="BG299" s="904"/>
      <c r="BH299" s="904"/>
      <c r="BI299" s="904"/>
      <c r="BJ299" s="767"/>
    </row>
    <row r="300" spans="2:62" s="754" customFormat="1" hidden="1">
      <c r="B300" s="753"/>
      <c r="C300" s="524"/>
      <c r="D300" s="723"/>
      <c r="E300" s="723"/>
      <c r="F300" s="756">
        <v>10</v>
      </c>
      <c r="G300" s="757">
        <v>20</v>
      </c>
      <c r="H300" s="758">
        <f t="shared" si="18"/>
        <v>8957.1428571428569</v>
      </c>
      <c r="I300" s="721"/>
      <c r="J300" s="522"/>
      <c r="K300" s="904"/>
      <c r="L300" s="904"/>
      <c r="M300" s="904"/>
      <c r="N300" s="904"/>
      <c r="O300" s="904"/>
      <c r="P300" s="904"/>
      <c r="Q300" s="904"/>
      <c r="R300" s="904"/>
      <c r="S300" s="904"/>
      <c r="T300" s="904"/>
      <c r="U300" s="904"/>
      <c r="V300" s="904"/>
      <c r="W300" s="904"/>
      <c r="X300" s="904"/>
      <c r="Y300" s="904"/>
      <c r="Z300" s="904"/>
      <c r="AA300" s="904"/>
      <c r="AB300" s="904"/>
      <c r="AC300" s="904"/>
      <c r="AD300" s="904"/>
      <c r="AE300" s="904"/>
      <c r="AF300" s="904"/>
      <c r="AG300" s="904"/>
      <c r="AH300" s="904"/>
      <c r="AI300" s="904"/>
      <c r="AJ300" s="904"/>
      <c r="AK300" s="904"/>
      <c r="AL300" s="904"/>
      <c r="AM300" s="904"/>
      <c r="AN300" s="904"/>
      <c r="AO300" s="904"/>
      <c r="AP300" s="904"/>
      <c r="AQ300" s="904"/>
      <c r="AR300" s="904"/>
      <c r="AS300" s="904"/>
      <c r="AT300" s="904"/>
      <c r="AU300" s="904"/>
      <c r="AV300" s="904"/>
      <c r="AW300" s="904"/>
      <c r="AX300" s="904"/>
      <c r="AY300" s="904"/>
      <c r="AZ300" s="904"/>
      <c r="BA300" s="904"/>
      <c r="BB300" s="904"/>
      <c r="BC300" s="904"/>
      <c r="BD300" s="904"/>
      <c r="BE300" s="904"/>
      <c r="BF300" s="904"/>
      <c r="BG300" s="904"/>
      <c r="BH300" s="904"/>
      <c r="BI300" s="904"/>
      <c r="BJ300" s="767"/>
    </row>
    <row r="301" spans="2:62" s="754" customFormat="1" hidden="1">
      <c r="B301" s="753"/>
      <c r="C301" s="524"/>
      <c r="D301" s="723"/>
      <c r="E301" s="723"/>
      <c r="F301" s="756">
        <v>11</v>
      </c>
      <c r="G301" s="757">
        <v>22</v>
      </c>
      <c r="H301" s="758">
        <f t="shared" si="18"/>
        <v>9907.1428571428569</v>
      </c>
      <c r="I301" s="721"/>
      <c r="J301" s="522"/>
      <c r="K301" s="904"/>
      <c r="L301" s="904"/>
      <c r="M301" s="904"/>
      <c r="N301" s="904"/>
      <c r="O301" s="904"/>
      <c r="P301" s="904"/>
      <c r="Q301" s="904"/>
      <c r="R301" s="904"/>
      <c r="S301" s="904"/>
      <c r="T301" s="904"/>
      <c r="U301" s="904"/>
      <c r="V301" s="904"/>
      <c r="W301" s="904"/>
      <c r="X301" s="904"/>
      <c r="Y301" s="904"/>
      <c r="Z301" s="904"/>
      <c r="AA301" s="904"/>
      <c r="AB301" s="904"/>
      <c r="AC301" s="904"/>
      <c r="AD301" s="904"/>
      <c r="AE301" s="904"/>
      <c r="AF301" s="904"/>
      <c r="AG301" s="904"/>
      <c r="AH301" s="904"/>
      <c r="AI301" s="904"/>
      <c r="AJ301" s="904"/>
      <c r="AK301" s="904"/>
      <c r="AL301" s="904"/>
      <c r="AM301" s="904"/>
      <c r="AN301" s="904"/>
      <c r="AO301" s="904"/>
      <c r="AP301" s="904"/>
      <c r="AQ301" s="904"/>
      <c r="AR301" s="904"/>
      <c r="AS301" s="904"/>
      <c r="AT301" s="904"/>
      <c r="AU301" s="904"/>
      <c r="AV301" s="904"/>
      <c r="AW301" s="904"/>
      <c r="AX301" s="904"/>
      <c r="AY301" s="904"/>
      <c r="AZ301" s="904"/>
      <c r="BA301" s="904"/>
      <c r="BB301" s="904"/>
      <c r="BC301" s="904"/>
      <c r="BD301" s="904"/>
      <c r="BE301" s="904"/>
      <c r="BF301" s="904"/>
      <c r="BG301" s="904"/>
      <c r="BH301" s="904"/>
      <c r="BI301" s="904"/>
      <c r="BJ301" s="767"/>
    </row>
    <row r="302" spans="2:62" s="754" customFormat="1" hidden="1">
      <c r="B302" s="753"/>
      <c r="C302" s="524"/>
      <c r="D302" s="723"/>
      <c r="E302" s="726" t="s">
        <v>105</v>
      </c>
      <c r="F302" s="752"/>
      <c r="G302" s="759"/>
      <c r="H302" s="739">
        <v>125</v>
      </c>
      <c r="I302" s="721"/>
      <c r="J302" s="522"/>
      <c r="K302" s="904"/>
      <c r="L302" s="904"/>
      <c r="M302" s="904"/>
      <c r="N302" s="904"/>
      <c r="O302" s="904"/>
      <c r="P302" s="904"/>
      <c r="Q302" s="904"/>
      <c r="R302" s="904"/>
      <c r="S302" s="904"/>
      <c r="T302" s="904"/>
      <c r="U302" s="904"/>
      <c r="V302" s="904"/>
      <c r="W302" s="904"/>
      <c r="X302" s="904"/>
      <c r="Y302" s="904"/>
      <c r="Z302" s="904"/>
      <c r="AA302" s="904"/>
      <c r="AB302" s="904"/>
      <c r="AC302" s="904"/>
      <c r="AD302" s="904"/>
      <c r="AE302" s="904"/>
      <c r="AF302" s="904"/>
      <c r="AG302" s="904"/>
      <c r="AH302" s="904"/>
      <c r="AI302" s="904"/>
      <c r="AJ302" s="904"/>
      <c r="AK302" s="904"/>
      <c r="AL302" s="904"/>
      <c r="AM302" s="904"/>
      <c r="AN302" s="904"/>
      <c r="AO302" s="904"/>
      <c r="AP302" s="904"/>
      <c r="AQ302" s="904"/>
      <c r="AR302" s="904"/>
      <c r="AS302" s="904"/>
      <c r="AT302" s="904"/>
      <c r="AU302" s="904"/>
      <c r="AV302" s="904"/>
      <c r="AW302" s="904"/>
      <c r="AX302" s="904"/>
      <c r="AY302" s="904"/>
      <c r="AZ302" s="904"/>
      <c r="BA302" s="904"/>
      <c r="BB302" s="904"/>
      <c r="BC302" s="904"/>
      <c r="BD302" s="904"/>
      <c r="BE302" s="904"/>
      <c r="BF302" s="904"/>
      <c r="BG302" s="904"/>
      <c r="BH302" s="904"/>
      <c r="BI302" s="904"/>
      <c r="BJ302" s="767"/>
    </row>
    <row r="303" spans="2:62" s="754" customFormat="1" hidden="1">
      <c r="B303" s="753"/>
      <c r="C303" s="524"/>
      <c r="D303" s="723"/>
      <c r="E303" s="726" t="s">
        <v>559</v>
      </c>
      <c r="F303" s="752">
        <v>19810039</v>
      </c>
      <c r="G303" s="759"/>
      <c r="H303" s="760">
        <v>150.30000000000001</v>
      </c>
      <c r="I303" s="721"/>
      <c r="J303" s="522"/>
      <c r="K303" s="904"/>
      <c r="L303" s="904"/>
      <c r="M303" s="904"/>
      <c r="N303" s="904"/>
      <c r="O303" s="904"/>
      <c r="P303" s="904"/>
      <c r="Q303" s="904"/>
      <c r="R303" s="904"/>
      <c r="S303" s="904"/>
      <c r="T303" s="904"/>
      <c r="U303" s="904"/>
      <c r="V303" s="904"/>
      <c r="W303" s="904"/>
      <c r="X303" s="904"/>
      <c r="Y303" s="904"/>
      <c r="Z303" s="904"/>
      <c r="AA303" s="904"/>
      <c r="AB303" s="904"/>
      <c r="AC303" s="904"/>
      <c r="AD303" s="904"/>
      <c r="AE303" s="904"/>
      <c r="AF303" s="904"/>
      <c r="AG303" s="904"/>
      <c r="AH303" s="904"/>
      <c r="AI303" s="904"/>
      <c r="AJ303" s="904"/>
      <c r="AK303" s="904"/>
      <c r="AL303" s="904"/>
      <c r="AM303" s="904"/>
      <c r="AN303" s="904"/>
      <c r="AO303" s="904"/>
      <c r="AP303" s="904"/>
      <c r="AQ303" s="904"/>
      <c r="AR303" s="904"/>
      <c r="AS303" s="904"/>
      <c r="AT303" s="904"/>
      <c r="AU303" s="904"/>
      <c r="AV303" s="904"/>
      <c r="AW303" s="904"/>
      <c r="AX303" s="904"/>
      <c r="AY303" s="904"/>
      <c r="AZ303" s="904"/>
      <c r="BA303" s="904"/>
      <c r="BB303" s="904"/>
      <c r="BC303" s="904"/>
      <c r="BD303" s="904"/>
      <c r="BE303" s="904"/>
      <c r="BF303" s="904"/>
      <c r="BG303" s="904"/>
      <c r="BH303" s="904"/>
      <c r="BI303" s="904"/>
      <c r="BJ303" s="767"/>
    </row>
    <row r="304" spans="2:62" s="754" customFormat="1" hidden="1">
      <c r="B304" s="753"/>
      <c r="C304" s="524"/>
      <c r="D304" s="723"/>
      <c r="E304" s="723"/>
      <c r="F304" s="707"/>
      <c r="G304" s="525"/>
      <c r="H304" s="110"/>
      <c r="I304" s="721"/>
      <c r="J304" s="522"/>
      <c r="K304" s="904"/>
      <c r="L304" s="904"/>
      <c r="M304" s="904"/>
      <c r="N304" s="904"/>
      <c r="O304" s="904"/>
      <c r="P304" s="904"/>
      <c r="Q304" s="904"/>
      <c r="R304" s="904"/>
      <c r="S304" s="904"/>
      <c r="T304" s="904"/>
      <c r="U304" s="904"/>
      <c r="V304" s="904"/>
      <c r="W304" s="904"/>
      <c r="X304" s="904"/>
      <c r="Y304" s="904"/>
      <c r="Z304" s="904"/>
      <c r="AA304" s="904"/>
      <c r="AB304" s="904"/>
      <c r="AC304" s="904"/>
      <c r="AD304" s="904"/>
      <c r="AE304" s="904"/>
      <c r="AF304" s="904"/>
      <c r="AG304" s="904"/>
      <c r="AH304" s="904"/>
      <c r="AI304" s="904"/>
      <c r="AJ304" s="904"/>
      <c r="AK304" s="904"/>
      <c r="AL304" s="904"/>
      <c r="AM304" s="904"/>
      <c r="AN304" s="904"/>
      <c r="AO304" s="904"/>
      <c r="AP304" s="904"/>
      <c r="AQ304" s="904"/>
      <c r="AR304" s="904"/>
      <c r="AS304" s="904"/>
      <c r="AT304" s="904"/>
      <c r="AU304" s="904"/>
      <c r="AV304" s="904"/>
      <c r="AW304" s="904"/>
      <c r="AX304" s="904"/>
      <c r="AY304" s="904"/>
      <c r="AZ304" s="904"/>
      <c r="BA304" s="904"/>
      <c r="BB304" s="904"/>
      <c r="BC304" s="904"/>
      <c r="BD304" s="904"/>
      <c r="BE304" s="904"/>
      <c r="BF304" s="904"/>
      <c r="BG304" s="904"/>
      <c r="BH304" s="904"/>
      <c r="BI304" s="904"/>
      <c r="BJ304" s="767"/>
    </row>
    <row r="305" spans="2:62" s="754" customFormat="1" hidden="1">
      <c r="B305" s="753"/>
      <c r="C305" s="524"/>
      <c r="D305" s="723"/>
      <c r="E305" s="723"/>
      <c r="F305" s="707"/>
      <c r="G305" s="525"/>
      <c r="H305" s="110"/>
      <c r="I305" s="721"/>
      <c r="J305" s="522"/>
      <c r="K305" s="904"/>
      <c r="L305" s="904"/>
      <c r="M305" s="904"/>
      <c r="N305" s="904"/>
      <c r="O305" s="904"/>
      <c r="P305" s="904"/>
      <c r="Q305" s="904"/>
      <c r="R305" s="904"/>
      <c r="S305" s="904"/>
      <c r="T305" s="904"/>
      <c r="U305" s="904"/>
      <c r="V305" s="904"/>
      <c r="W305" s="904"/>
      <c r="X305" s="904"/>
      <c r="Y305" s="904"/>
      <c r="Z305" s="904"/>
      <c r="AA305" s="904"/>
      <c r="AB305" s="904"/>
      <c r="AC305" s="904"/>
      <c r="AD305" s="904"/>
      <c r="AE305" s="904"/>
      <c r="AF305" s="904"/>
      <c r="AG305" s="904"/>
      <c r="AH305" s="904"/>
      <c r="AI305" s="904"/>
      <c r="AJ305" s="904"/>
      <c r="AK305" s="904"/>
      <c r="AL305" s="904"/>
      <c r="AM305" s="904"/>
      <c r="AN305" s="904"/>
      <c r="AO305" s="904"/>
      <c r="AP305" s="904"/>
      <c r="AQ305" s="904"/>
      <c r="AR305" s="904"/>
      <c r="AS305" s="904"/>
      <c r="AT305" s="904"/>
      <c r="AU305" s="904"/>
      <c r="AV305" s="904"/>
      <c r="AW305" s="904"/>
      <c r="AX305" s="904"/>
      <c r="AY305" s="904"/>
      <c r="AZ305" s="904"/>
      <c r="BA305" s="904"/>
      <c r="BB305" s="904"/>
      <c r="BC305" s="904"/>
      <c r="BD305" s="904"/>
      <c r="BE305" s="904"/>
      <c r="BF305" s="904"/>
      <c r="BG305" s="904"/>
      <c r="BH305" s="904"/>
      <c r="BI305" s="904"/>
      <c r="BJ305" s="767"/>
    </row>
    <row r="306" spans="2:62" s="754" customFormat="1" hidden="1">
      <c r="B306" s="753"/>
      <c r="C306" s="524"/>
      <c r="D306" s="723"/>
      <c r="E306" s="723"/>
      <c r="F306" s="707"/>
      <c r="G306" s="525"/>
      <c r="H306" s="110"/>
      <c r="I306" s="721"/>
      <c r="J306" s="522"/>
      <c r="K306" s="904"/>
      <c r="L306" s="904"/>
      <c r="M306" s="904"/>
      <c r="N306" s="904"/>
      <c r="O306" s="904"/>
      <c r="P306" s="904"/>
      <c r="Q306" s="904"/>
      <c r="R306" s="904"/>
      <c r="S306" s="904"/>
      <c r="T306" s="904"/>
      <c r="U306" s="904"/>
      <c r="V306" s="904"/>
      <c r="W306" s="904"/>
      <c r="X306" s="904"/>
      <c r="Y306" s="904"/>
      <c r="Z306" s="904"/>
      <c r="AA306" s="904"/>
      <c r="AB306" s="904"/>
      <c r="AC306" s="904"/>
      <c r="AD306" s="904"/>
      <c r="AE306" s="904"/>
      <c r="AF306" s="904"/>
      <c r="AG306" s="904"/>
      <c r="AH306" s="904"/>
      <c r="AI306" s="904"/>
      <c r="AJ306" s="904"/>
      <c r="AK306" s="904"/>
      <c r="AL306" s="904"/>
      <c r="AM306" s="904"/>
      <c r="AN306" s="904"/>
      <c r="AO306" s="904"/>
      <c r="AP306" s="904"/>
      <c r="AQ306" s="904"/>
      <c r="AR306" s="904"/>
      <c r="AS306" s="904"/>
      <c r="AT306" s="904"/>
      <c r="AU306" s="904"/>
      <c r="AV306" s="904"/>
      <c r="AW306" s="904"/>
      <c r="AX306" s="904"/>
      <c r="AY306" s="904"/>
      <c r="AZ306" s="904"/>
      <c r="BA306" s="904"/>
      <c r="BB306" s="904"/>
      <c r="BC306" s="904"/>
      <c r="BD306" s="904"/>
      <c r="BE306" s="904"/>
      <c r="BF306" s="904"/>
      <c r="BG306" s="904"/>
      <c r="BH306" s="904"/>
      <c r="BI306" s="904"/>
      <c r="BJ306" s="767"/>
    </row>
    <row r="307" spans="2:62" hidden="1">
      <c r="B307" s="753"/>
      <c r="C307" s="524"/>
      <c r="D307" s="723"/>
      <c r="E307" s="723"/>
      <c r="F307" s="707"/>
      <c r="G307" s="525"/>
      <c r="H307" s="110"/>
      <c r="I307" s="721"/>
    </row>
    <row r="308" spans="2:62" hidden="1">
      <c r="B308" s="753"/>
      <c r="C308" s="524"/>
      <c r="D308" s="723"/>
      <c r="E308" s="723"/>
      <c r="F308" s="707"/>
      <c r="G308" s="525"/>
      <c r="H308" s="110"/>
      <c r="I308" s="721"/>
    </row>
    <row r="309" spans="2:62" hidden="1">
      <c r="B309" s="753"/>
      <c r="C309" s="524"/>
      <c r="D309" s="524"/>
      <c r="E309" s="525"/>
      <c r="F309" s="526"/>
      <c r="G309" s="525"/>
      <c r="H309" s="525"/>
      <c r="I309" s="721"/>
    </row>
    <row r="310" spans="2:62" hidden="1">
      <c r="B310" s="753"/>
      <c r="C310" s="524"/>
      <c r="D310" s="524"/>
      <c r="E310" s="525"/>
      <c r="F310" s="526"/>
      <c r="G310" s="525"/>
      <c r="H310" s="525"/>
      <c r="I310" s="721"/>
    </row>
    <row r="311" spans="2:62" hidden="1">
      <c r="B311" s="753"/>
      <c r="C311" s="524"/>
      <c r="D311" s="524"/>
      <c r="E311" s="525"/>
      <c r="F311" s="526"/>
      <c r="G311" s="525"/>
      <c r="H311" s="525"/>
      <c r="I311" s="721"/>
    </row>
    <row r="312" spans="2:62" hidden="1">
      <c r="B312" s="753"/>
      <c r="C312" s="524"/>
      <c r="D312" s="524"/>
      <c r="E312" s="761"/>
      <c r="F312" s="526"/>
      <c r="G312" s="525"/>
      <c r="H312" s="525"/>
      <c r="I312" s="721"/>
    </row>
    <row r="313" spans="2:62" hidden="1">
      <c r="B313" s="753"/>
      <c r="C313" s="524"/>
      <c r="D313" s="524"/>
      <c r="E313" s="525"/>
      <c r="F313" s="526"/>
      <c r="G313" s="525"/>
      <c r="H313" s="525"/>
      <c r="I313" s="721"/>
    </row>
    <row r="314" spans="2:62" ht="13.5" hidden="1" thickBot="1">
      <c r="B314" s="762"/>
      <c r="C314" s="763"/>
      <c r="D314" s="763"/>
      <c r="E314" s="764"/>
      <c r="F314" s="765"/>
      <c r="G314" s="764"/>
      <c r="H314" s="764"/>
      <c r="I314" s="766"/>
    </row>
    <row r="315" spans="2:62" hidden="1">
      <c r="C315" s="579"/>
      <c r="D315" s="579"/>
      <c r="F315" s="579"/>
    </row>
    <row r="316" spans="2:62" hidden="1">
      <c r="C316" s="579"/>
      <c r="D316" s="579"/>
      <c r="F316" s="579"/>
    </row>
    <row r="317" spans="2:62" hidden="1">
      <c r="C317" s="579"/>
      <c r="D317" s="579"/>
      <c r="F317" s="579"/>
    </row>
    <row r="318" spans="2:62" hidden="1">
      <c r="C318" s="579"/>
      <c r="D318" s="579"/>
      <c r="F318" s="579"/>
    </row>
    <row r="319" spans="2:62" hidden="1">
      <c r="C319" s="579"/>
      <c r="D319" s="579"/>
      <c r="F319" s="579"/>
    </row>
    <row r="320" spans="2:62" hidden="1">
      <c r="C320" s="579"/>
      <c r="D320" s="579"/>
      <c r="F320" s="579"/>
    </row>
    <row r="321" spans="3:6" hidden="1">
      <c r="C321" s="579"/>
      <c r="D321" s="579"/>
      <c r="F321" s="579"/>
    </row>
    <row r="322" spans="3:6" hidden="1">
      <c r="C322" s="579"/>
      <c r="D322" s="579"/>
      <c r="F322" s="579"/>
    </row>
    <row r="323" spans="3:6" hidden="1">
      <c r="C323" s="579"/>
      <c r="D323" s="579"/>
      <c r="F323" s="579"/>
    </row>
    <row r="324" spans="3:6" hidden="1">
      <c r="C324" s="579"/>
      <c r="D324" s="579"/>
      <c r="F324" s="579"/>
    </row>
    <row r="325" spans="3:6" hidden="1">
      <c r="C325" s="579"/>
      <c r="D325" s="579"/>
      <c r="F325" s="579"/>
    </row>
    <row r="326" spans="3:6" hidden="1">
      <c r="C326" s="579"/>
      <c r="D326" s="579"/>
      <c r="F326" s="579"/>
    </row>
    <row r="327" spans="3:6" hidden="1">
      <c r="C327" s="579"/>
      <c r="D327" s="579"/>
      <c r="F327" s="579"/>
    </row>
    <row r="328" spans="3:6">
      <c r="C328" s="579"/>
      <c r="D328" s="579"/>
      <c r="F328" s="579"/>
    </row>
    <row r="329" spans="3:6">
      <c r="C329" s="579"/>
      <c r="D329" s="579"/>
      <c r="F329" s="579"/>
    </row>
    <row r="330" spans="3:6">
      <c r="C330" s="579"/>
      <c r="D330" s="579"/>
      <c r="F330" s="579"/>
    </row>
    <row r="331" spans="3:6">
      <c r="C331" s="579"/>
      <c r="D331" s="579"/>
      <c r="F331" s="579"/>
    </row>
    <row r="332" spans="3:6">
      <c r="C332" s="579"/>
      <c r="D332" s="579"/>
      <c r="F332" s="579"/>
    </row>
    <row r="333" spans="3:6">
      <c r="C333" s="579"/>
      <c r="D333" s="579"/>
      <c r="F333" s="579"/>
    </row>
    <row r="334" spans="3:6">
      <c r="C334" s="579"/>
      <c r="D334" s="579"/>
      <c r="F334" s="579"/>
    </row>
    <row r="335" spans="3:6">
      <c r="C335" s="579"/>
      <c r="D335" s="579"/>
      <c r="F335" s="579"/>
    </row>
    <row r="336" spans="3:6">
      <c r="C336" s="579"/>
      <c r="D336" s="579"/>
      <c r="F336" s="579"/>
    </row>
    <row r="337" spans="3:6">
      <c r="C337" s="579"/>
      <c r="D337" s="579"/>
      <c r="F337" s="579"/>
    </row>
    <row r="338" spans="3:6">
      <c r="C338" s="579"/>
      <c r="D338" s="579"/>
      <c r="F338" s="579"/>
    </row>
    <row r="339" spans="3:6">
      <c r="C339" s="579"/>
      <c r="D339" s="579"/>
      <c r="F339" s="579"/>
    </row>
    <row r="340" spans="3:6">
      <c r="C340" s="579"/>
      <c r="D340" s="579"/>
      <c r="F340" s="579"/>
    </row>
    <row r="341" spans="3:6">
      <c r="C341" s="579"/>
      <c r="D341" s="579"/>
      <c r="F341" s="579"/>
    </row>
    <row r="342" spans="3:6">
      <c r="C342" s="579"/>
      <c r="D342" s="579"/>
      <c r="F342" s="579"/>
    </row>
    <row r="343" spans="3:6">
      <c r="C343" s="579"/>
      <c r="D343" s="579"/>
      <c r="F343" s="579"/>
    </row>
    <row r="344" spans="3:6">
      <c r="C344" s="579"/>
      <c r="D344" s="579"/>
      <c r="F344" s="579"/>
    </row>
    <row r="345" spans="3:6">
      <c r="C345" s="579"/>
      <c r="D345" s="579"/>
      <c r="F345" s="579"/>
    </row>
    <row r="346" spans="3:6">
      <c r="C346" s="579"/>
      <c r="D346" s="579"/>
      <c r="F346" s="579"/>
    </row>
    <row r="347" spans="3:6">
      <c r="C347" s="579"/>
      <c r="D347" s="579"/>
      <c r="F347" s="579"/>
    </row>
    <row r="348" spans="3:6">
      <c r="C348" s="579"/>
      <c r="D348" s="579"/>
      <c r="F348" s="579"/>
    </row>
    <row r="349" spans="3:6">
      <c r="C349" s="579"/>
      <c r="D349" s="579"/>
      <c r="F349" s="579"/>
    </row>
    <row r="350" spans="3:6">
      <c r="C350" s="579"/>
      <c r="D350" s="579"/>
      <c r="F350" s="579"/>
    </row>
    <row r="351" spans="3:6">
      <c r="C351" s="579"/>
      <c r="D351" s="579"/>
      <c r="F351" s="579"/>
    </row>
    <row r="352" spans="3:6">
      <c r="C352" s="579"/>
      <c r="D352" s="579"/>
      <c r="F352" s="579"/>
    </row>
    <row r="353" spans="3:6">
      <c r="C353" s="579"/>
      <c r="D353" s="579"/>
      <c r="F353" s="579"/>
    </row>
    <row r="354" spans="3:6">
      <c r="C354" s="579"/>
      <c r="D354" s="579"/>
      <c r="F354" s="579"/>
    </row>
    <row r="355" spans="3:6">
      <c r="C355" s="579"/>
      <c r="D355" s="579"/>
      <c r="F355" s="579"/>
    </row>
    <row r="356" spans="3:6">
      <c r="C356" s="579"/>
      <c r="D356" s="579"/>
      <c r="F356" s="579"/>
    </row>
    <row r="357" spans="3:6">
      <c r="C357" s="579"/>
      <c r="D357" s="579"/>
      <c r="F357" s="579"/>
    </row>
    <row r="358" spans="3:6">
      <c r="C358" s="579"/>
      <c r="D358" s="579"/>
      <c r="F358" s="579"/>
    </row>
    <row r="359" spans="3:6">
      <c r="C359" s="579"/>
      <c r="D359" s="579"/>
      <c r="F359" s="579"/>
    </row>
    <row r="360" spans="3:6">
      <c r="C360" s="579"/>
      <c r="D360" s="579"/>
      <c r="F360" s="579"/>
    </row>
    <row r="361" spans="3:6">
      <c r="C361" s="579"/>
      <c r="D361" s="579"/>
      <c r="F361" s="579"/>
    </row>
    <row r="362" spans="3:6">
      <c r="C362" s="579"/>
      <c r="D362" s="579"/>
      <c r="F362" s="579"/>
    </row>
    <row r="363" spans="3:6">
      <c r="C363" s="579"/>
      <c r="D363" s="579"/>
      <c r="F363" s="579"/>
    </row>
    <row r="364" spans="3:6">
      <c r="C364" s="579"/>
      <c r="D364" s="579"/>
      <c r="F364" s="579"/>
    </row>
    <row r="365" spans="3:6">
      <c r="C365" s="579"/>
      <c r="D365" s="579"/>
      <c r="F365" s="579"/>
    </row>
    <row r="366" spans="3:6">
      <c r="C366" s="579"/>
      <c r="D366" s="579"/>
      <c r="F366" s="579"/>
    </row>
    <row r="367" spans="3:6">
      <c r="C367" s="579"/>
      <c r="D367" s="579"/>
      <c r="F367" s="579"/>
    </row>
    <row r="368" spans="3:6">
      <c r="C368" s="579"/>
      <c r="D368" s="579"/>
      <c r="F368" s="579"/>
    </row>
    <row r="369" spans="3:6">
      <c r="C369" s="579"/>
      <c r="D369" s="579"/>
      <c r="F369" s="579"/>
    </row>
    <row r="370" spans="3:6">
      <c r="C370" s="579"/>
      <c r="D370" s="579"/>
      <c r="F370" s="579"/>
    </row>
    <row r="371" spans="3:6">
      <c r="C371" s="579"/>
      <c r="D371" s="579"/>
      <c r="F371" s="579"/>
    </row>
    <row r="372" spans="3:6">
      <c r="C372" s="579"/>
      <c r="D372" s="579"/>
      <c r="F372" s="579"/>
    </row>
    <row r="373" spans="3:6">
      <c r="C373" s="579"/>
      <c r="D373" s="579"/>
      <c r="F373" s="579"/>
    </row>
    <row r="374" spans="3:6">
      <c r="C374" s="579"/>
      <c r="D374" s="579"/>
      <c r="F374" s="579"/>
    </row>
    <row r="375" spans="3:6">
      <c r="C375" s="579"/>
      <c r="D375" s="579"/>
      <c r="F375" s="579"/>
    </row>
    <row r="376" spans="3:6">
      <c r="C376" s="579"/>
      <c r="D376" s="579"/>
      <c r="F376" s="579"/>
    </row>
    <row r="377" spans="3:6">
      <c r="C377" s="579"/>
      <c r="D377" s="579"/>
      <c r="F377" s="579"/>
    </row>
    <row r="378" spans="3:6">
      <c r="C378" s="579"/>
      <c r="D378" s="579"/>
      <c r="F378" s="579"/>
    </row>
    <row r="379" spans="3:6">
      <c r="C379" s="579"/>
      <c r="D379" s="579"/>
      <c r="F379" s="579"/>
    </row>
    <row r="380" spans="3:6">
      <c r="C380" s="579"/>
      <c r="D380" s="579"/>
      <c r="F380" s="579"/>
    </row>
    <row r="381" spans="3:6">
      <c r="C381" s="579"/>
      <c r="D381" s="579"/>
      <c r="F381" s="579"/>
    </row>
    <row r="382" spans="3:6">
      <c r="C382" s="579"/>
      <c r="D382" s="579"/>
      <c r="F382" s="579"/>
    </row>
    <row r="383" spans="3:6">
      <c r="C383" s="579"/>
      <c r="D383" s="579"/>
      <c r="F383" s="579"/>
    </row>
    <row r="384" spans="3:6">
      <c r="C384" s="579"/>
      <c r="D384" s="579"/>
      <c r="F384" s="579"/>
    </row>
    <row r="385" spans="3:6">
      <c r="C385" s="579"/>
      <c r="D385" s="579"/>
      <c r="F385" s="579"/>
    </row>
    <row r="386" spans="3:6">
      <c r="C386" s="579"/>
      <c r="D386" s="579"/>
      <c r="F386" s="579"/>
    </row>
    <row r="387" spans="3:6">
      <c r="C387" s="579"/>
      <c r="D387" s="579"/>
      <c r="F387" s="579"/>
    </row>
    <row r="388" spans="3:6">
      <c r="C388" s="579"/>
      <c r="D388" s="579"/>
      <c r="F388" s="579"/>
    </row>
    <row r="389" spans="3:6">
      <c r="C389" s="579"/>
      <c r="D389" s="579"/>
      <c r="F389" s="579"/>
    </row>
    <row r="390" spans="3:6">
      <c r="C390" s="579"/>
      <c r="D390" s="579"/>
      <c r="F390" s="579"/>
    </row>
    <row r="391" spans="3:6">
      <c r="C391" s="579"/>
      <c r="D391" s="579"/>
      <c r="F391" s="579"/>
    </row>
    <row r="392" spans="3:6">
      <c r="C392" s="579"/>
      <c r="D392" s="579"/>
      <c r="F392" s="579"/>
    </row>
    <row r="393" spans="3:6">
      <c r="C393" s="579"/>
      <c r="D393" s="579"/>
      <c r="F393" s="579"/>
    </row>
    <row r="394" spans="3:6">
      <c r="C394" s="579"/>
      <c r="D394" s="579"/>
      <c r="F394" s="579"/>
    </row>
    <row r="395" spans="3:6">
      <c r="C395" s="579"/>
      <c r="D395" s="579"/>
      <c r="F395" s="579"/>
    </row>
    <row r="396" spans="3:6">
      <c r="C396" s="579"/>
      <c r="D396" s="579"/>
      <c r="F396" s="579"/>
    </row>
    <row r="397" spans="3:6">
      <c r="C397" s="579"/>
      <c r="D397" s="579"/>
      <c r="F397" s="579"/>
    </row>
    <row r="398" spans="3:6">
      <c r="C398" s="579"/>
      <c r="D398" s="579"/>
      <c r="F398" s="579"/>
    </row>
    <row r="399" spans="3:6">
      <c r="C399" s="579"/>
      <c r="D399" s="579"/>
      <c r="F399" s="579"/>
    </row>
    <row r="400" spans="3:6">
      <c r="C400" s="579"/>
      <c r="D400" s="579"/>
      <c r="F400" s="579"/>
    </row>
    <row r="401" spans="3:6">
      <c r="C401" s="579"/>
      <c r="D401" s="579"/>
      <c r="F401" s="579"/>
    </row>
    <row r="402" spans="3:6">
      <c r="C402" s="579"/>
      <c r="D402" s="579"/>
      <c r="F402" s="579"/>
    </row>
    <row r="403" spans="3:6">
      <c r="C403" s="579"/>
      <c r="D403" s="579"/>
      <c r="F403" s="579"/>
    </row>
    <row r="404" spans="3:6">
      <c r="C404" s="579"/>
      <c r="D404" s="579"/>
      <c r="F404" s="579"/>
    </row>
    <row r="405" spans="3:6">
      <c r="C405" s="579"/>
      <c r="D405" s="579"/>
      <c r="F405" s="579"/>
    </row>
    <row r="406" spans="3:6">
      <c r="C406" s="579"/>
      <c r="D406" s="579"/>
      <c r="F406" s="579"/>
    </row>
    <row r="407" spans="3:6">
      <c r="C407" s="579"/>
      <c r="D407" s="579"/>
      <c r="F407" s="579"/>
    </row>
    <row r="408" spans="3:6">
      <c r="C408" s="579"/>
      <c r="D408" s="579"/>
      <c r="F408" s="579"/>
    </row>
    <row r="409" spans="3:6">
      <c r="C409" s="579"/>
      <c r="D409" s="579"/>
      <c r="F409" s="579"/>
    </row>
    <row r="410" spans="3:6">
      <c r="C410" s="579"/>
      <c r="D410" s="579"/>
      <c r="F410" s="579"/>
    </row>
    <row r="411" spans="3:6">
      <c r="C411" s="579"/>
      <c r="D411" s="579"/>
      <c r="F411" s="579"/>
    </row>
    <row r="412" spans="3:6">
      <c r="C412" s="579"/>
      <c r="D412" s="579"/>
      <c r="F412" s="579"/>
    </row>
    <row r="413" spans="3:6">
      <c r="C413" s="579"/>
      <c r="D413" s="579"/>
      <c r="F413" s="579"/>
    </row>
    <row r="414" spans="3:6">
      <c r="C414" s="579"/>
      <c r="D414" s="579"/>
      <c r="F414" s="579"/>
    </row>
    <row r="415" spans="3:6">
      <c r="C415" s="579"/>
      <c r="D415" s="579"/>
      <c r="F415" s="579"/>
    </row>
    <row r="416" spans="3:6">
      <c r="C416" s="579"/>
      <c r="D416" s="579"/>
      <c r="F416" s="579"/>
    </row>
  </sheetData>
  <sheetProtection algorithmName="SHA-512" hashValue="2WrRy3fX4iQ7YWHXA+/N5a6GH0ShiYmUDl/bgporTuC00wFbxEcYMpvrwkIBIf1/+5rcxELa3Iqes+xrMyX/3w==" saltValue="M0wU46+p1gmi451QxE0o9Q==" spinCount="100000" sheet="1" objects="1" scenarios="1" selectLockedCells="1"/>
  <sortState xmlns:xlrd2="http://schemas.microsoft.com/office/spreadsheetml/2017/richdata2" ref="E28:E33">
    <sortCondition ref="E27"/>
  </sortState>
  <mergeCells count="9">
    <mergeCell ref="E145:H145"/>
    <mergeCell ref="C150:H150"/>
    <mergeCell ref="C151:H158"/>
    <mergeCell ref="AB17:AC17"/>
    <mergeCell ref="AD17:AE17"/>
    <mergeCell ref="C134:H134"/>
    <mergeCell ref="E142:H142"/>
    <mergeCell ref="E143:H143"/>
    <mergeCell ref="E144:H144"/>
  </mergeCells>
  <dataValidations count="11">
    <dataValidation type="list" allowBlank="1" showInputMessage="1" showErrorMessage="1" sqref="E983148:E983149 E52 E50 E917612:E917613 E852076:E852077 E786540:E786541 E721004:E721005 E655468:E655469 E589932:E589933 E524396:E524397 E458860:E458861 E393324:E393325 E327788:E327789 E262252:E262253 E196716:E196717 E131180:E131181 E65644:E65645" xr:uid="{00000000-0002-0000-0700-000000000000}">
      <formula1>$E$221:$E$224</formula1>
    </dataValidation>
    <dataValidation type="list" allowBlank="1" showInputMessage="1" showErrorMessage="1" sqref="E78 E983158 E917622 E852086 E786550 E721014 E655478 E589942 E524406 E458870 E393334 E327798 E262262 E196726 E131190 E65654" xr:uid="{00000000-0002-0000-0700-000001000000}">
      <formula1>$E$253:$E$256</formula1>
    </dataValidation>
    <dataValidation type="list" allowBlank="1" showInputMessage="1" showErrorMessage="1" sqref="E65648:E65651 E983152:E983155 E917616:E917619 E852080:E852083 E786544:E786547 E721008:E721011 E655472:E655475 E589936:E589939 E524400:E524403 E458864:E458867 E393328:E393331 E327792:E327795 E262256:E262259 E196720:E196723 E131184:E131187" xr:uid="{00000000-0002-0000-0700-000002000000}">
      <formula1>$E$225:$E$228</formula1>
    </dataValidation>
    <dataValidation type="list" allowBlank="1" showInputMessage="1" showErrorMessage="1" sqref="E17 E983121 E917585 E852049 E786513 E720977 E655441 E589905 E524369 E458833 E393297 E327761 E262225 E196689 E131153 E65617" xr:uid="{00000000-0002-0000-0700-000003000000}">
      <formula1>$E$214:$E$217</formula1>
    </dataValidation>
    <dataValidation type="list" allowBlank="1" showInputMessage="1" showErrorMessage="1" sqref="E49 E83 E983147 E917611 E852075 E786539 E721003 E655467 E589931 E524395 E458859 E393323 E327787 E262251 E196715 E131179 E65643" xr:uid="{00000000-0002-0000-0700-000004000000}">
      <formula1>$E$214:$E$216</formula1>
    </dataValidation>
    <dataValidation type="list" allowBlank="1" showInputMessage="1" showErrorMessage="1" sqref="E48 E65642 E131178 E196714 E262250 E327786 E393322 E458858 E524394 E589930 E655466 E721002 E786538 E852074 E917610 E983146" xr:uid="{00000000-0002-0000-0700-000005000000}">
      <formula1>#REF!</formula1>
    </dataValidation>
    <dataValidation type="list" allowBlank="1" showInputMessage="1" showErrorMessage="1" sqref="E65678 E131214 E196750 E262286 E327822 E393358 E458894 E524430 E589966 E655502 E721038 E786574 E852110 E917646 E983182" xr:uid="{00000000-0002-0000-0700-000006000000}">
      <formula1>$E$294:$E$302</formula1>
    </dataValidation>
    <dataValidation type="list" allowBlank="1" showInputMessage="1" showErrorMessage="1" sqref="D8" xr:uid="{00000000-0002-0000-0700-000007000000}">
      <formula1>"Yes,No"</formula1>
    </dataValidation>
    <dataValidation type="list" allowBlank="1" showInputMessage="1" showErrorMessage="1" sqref="E39" xr:uid="{00000000-0002-0000-0700-000008000000}">
      <formula1>$E$256:$E$257</formula1>
    </dataValidation>
    <dataValidation type="list" allowBlank="1" showInputMessage="1" showErrorMessage="1" sqref="D9" xr:uid="{00000000-0002-0000-0700-000009000000}">
      <formula1>"IBTO, CTO"</formula1>
    </dataValidation>
    <dataValidation type="list" allowBlank="1" showInputMessage="1" showErrorMessage="1" sqref="E51" xr:uid="{00000000-0002-0000-0700-00000A000000}">
      <formula1>$E$269:$E$271</formula1>
    </dataValidation>
  </dataValidations>
  <pageMargins left="0.74803149606299213" right="0.74803149606299213" top="0.98425196850393704" bottom="0.98425196850393704" header="0.51181102362204722" footer="0.51181102362204722"/>
  <pageSetup paperSize="9" scale="49" orientation="portrait" horizontalDpi="200" r:id="rId1"/>
  <headerFooter alignWithMargins="0">
    <oddHeader>&amp;F</oddHeader>
    <oddFooter>&amp;L&amp;BMatthews Australasia Pty Ltd Confidential&amp;B&amp;C&amp;D&amp;RPage &amp;P</oddFooter>
  </headerFooter>
  <ignoredErrors>
    <ignoredError sqref="D18:D20 F215:F216 F222:F230 F261:F264 D21 D41 F235:F238 F243:F255 D85" numberStoredAsText="1"/>
    <ignoredError sqref="F56:F57 H224 H216 F18:F22 F24:F25 F51 F89 F113" unlockedFormula="1"/>
    <ignoredError sqref="F23 G51" formula="1" unlockedFormula="1"/>
    <ignoredError sqref="C51:D51" formula="1"/>
    <ignoredError sqref="D126 D162:E162 E161" evalError="1"/>
    <ignoredError sqref="D161" evalError="1" unlockedFormula="1"/>
  </ignoredError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0"/>
    <pageSetUpPr fitToPage="1"/>
  </sheetPr>
  <dimension ref="B3:AF516"/>
  <sheetViews>
    <sheetView showGridLines="0" showRowColHeaders="0" zoomScaleNormal="100" workbookViewId="0">
      <selection activeCell="D8" sqref="D8"/>
    </sheetView>
  </sheetViews>
  <sheetFormatPr defaultColWidth="9.140625" defaultRowHeight="12.75"/>
  <cols>
    <col min="1" max="1" width="9.140625" style="112" customWidth="1"/>
    <col min="2" max="2" width="9.140625" style="112"/>
    <col min="3" max="3" width="19.140625" style="113" customWidth="1"/>
    <col min="4" max="4" width="14.7109375" style="113" customWidth="1"/>
    <col min="5" max="5" width="52.5703125" style="112" customWidth="1"/>
    <col min="6" max="6" width="10.140625" style="116" customWidth="1"/>
    <col min="7" max="7" width="12.85546875" style="112" customWidth="1"/>
    <col min="8" max="8" width="10.85546875" style="112" customWidth="1"/>
    <col min="9" max="9" width="7.5703125" style="112" customWidth="1"/>
    <col min="10" max="10" width="9.140625" style="201"/>
    <col min="11" max="11" width="19.140625" style="201" hidden="1" customWidth="1"/>
    <col min="12" max="12" width="34.28515625" style="201" hidden="1" customWidth="1"/>
    <col min="13" max="13" width="20.7109375" style="201" hidden="1" customWidth="1"/>
    <col min="14" max="14" width="10.42578125" style="201" hidden="1" customWidth="1"/>
    <col min="15" max="15" width="10" style="201" hidden="1" customWidth="1"/>
    <col min="16" max="16" width="13.7109375" style="201" hidden="1" customWidth="1"/>
    <col min="17" max="17" width="22" style="201" hidden="1" customWidth="1"/>
    <col min="18" max="18" width="5.28515625" style="201" hidden="1" customWidth="1"/>
    <col min="19" max="19" width="22" style="201" hidden="1" customWidth="1"/>
    <col min="20" max="20" width="19.42578125" style="201" hidden="1" customWidth="1"/>
    <col min="21" max="21" width="0" style="201" hidden="1" customWidth="1"/>
    <col min="22" max="22" width="7" style="201" hidden="1" customWidth="1"/>
    <col min="23" max="23" width="13.85546875" style="201" hidden="1" customWidth="1"/>
    <col min="24" max="24" width="15.7109375" style="112" hidden="1" customWidth="1"/>
    <col min="25" max="25" width="31.7109375" style="112" hidden="1" customWidth="1"/>
    <col min="26" max="27" width="0" style="112" hidden="1" customWidth="1"/>
    <col min="28" max="28" width="13.7109375" style="112" hidden="1" customWidth="1"/>
    <col min="29" max="29" width="15.7109375" style="112" hidden="1" customWidth="1"/>
    <col min="30" max="30" width="28.28515625" style="112" hidden="1" customWidth="1"/>
    <col min="31" max="31" width="32.28515625" style="112" hidden="1" customWidth="1"/>
    <col min="32" max="68" width="0" style="112" hidden="1" customWidth="1"/>
    <col min="69" max="16384" width="9.140625" style="112"/>
  </cols>
  <sheetData>
    <row r="3" spans="2:20">
      <c r="B3"/>
      <c r="C3"/>
      <c r="D3"/>
      <c r="E3"/>
      <c r="F3"/>
      <c r="G3"/>
      <c r="H3"/>
      <c r="I3"/>
    </row>
    <row r="4" spans="2:20" ht="23.25">
      <c r="B4" s="114"/>
      <c r="C4" s="115"/>
      <c r="D4" s="115"/>
      <c r="E4" s="109"/>
      <c r="F4" s="28"/>
      <c r="G4" s="109"/>
      <c r="H4" s="109"/>
      <c r="I4" s="118"/>
    </row>
    <row r="5" spans="2:20">
      <c r="B5"/>
      <c r="C5" s="1"/>
      <c r="D5" s="1"/>
      <c r="E5"/>
      <c r="F5" s="2"/>
      <c r="G5"/>
      <c r="H5"/>
      <c r="I5" s="118"/>
    </row>
    <row r="6" spans="2:20">
      <c r="B6"/>
      <c r="C6" s="1"/>
      <c r="D6" s="1"/>
      <c r="E6"/>
      <c r="F6" s="2"/>
      <c r="G6"/>
      <c r="H6"/>
      <c r="I6" s="118"/>
    </row>
    <row r="7" spans="2:20">
      <c r="B7"/>
      <c r="C7" s="1"/>
      <c r="D7" s="1"/>
      <c r="E7"/>
      <c r="F7" s="2"/>
      <c r="G7"/>
      <c r="H7"/>
      <c r="I7" s="118"/>
      <c r="K7" s="201" t="s">
        <v>111</v>
      </c>
    </row>
    <row r="8" spans="2:20">
      <c r="B8"/>
      <c r="C8" s="55" t="s">
        <v>298</v>
      </c>
      <c r="D8" s="348" t="s">
        <v>97</v>
      </c>
      <c r="E8"/>
      <c r="F8" s="2"/>
      <c r="G8"/>
      <c r="H8"/>
      <c r="I8" s="118"/>
    </row>
    <row r="9" spans="2:20">
      <c r="B9"/>
      <c r="C9" s="772" t="s">
        <v>303</v>
      </c>
      <c r="D9" s="773">
        <f>IF(D8="Yes",CP!J5,IF(D8="No",CP!H5,0%))</f>
        <v>0.125</v>
      </c>
      <c r="E9" s="379"/>
      <c r="F9" s="2"/>
      <c r="G9"/>
      <c r="H9"/>
      <c r="I9" s="118"/>
    </row>
    <row r="10" spans="2:20">
      <c r="B10"/>
      <c r="C10" s="772" t="s">
        <v>304</v>
      </c>
      <c r="D10" s="773">
        <f>IF(D8="Yes",CP!I5,IF(D8="No",CP!G5,0%))</f>
        <v>7.4999999999999997E-2</v>
      </c>
      <c r="E10" s="344"/>
      <c r="F10" s="2"/>
      <c r="G10"/>
      <c r="H10"/>
      <c r="I10" s="118"/>
    </row>
    <row r="11" spans="2:20">
      <c r="B11"/>
      <c r="C11" s="55"/>
      <c r="D11" s="346"/>
      <c r="E11" s="345"/>
      <c r="F11" s="2"/>
      <c r="G11"/>
      <c r="H11"/>
      <c r="I11" s="118"/>
    </row>
    <row r="12" spans="2:20" ht="13.5" thickBot="1">
      <c r="B12"/>
      <c r="C12" s="55"/>
      <c r="D12" s="342"/>
      <c r="E12" s="21"/>
      <c r="F12" s="2"/>
      <c r="G12"/>
      <c r="H12"/>
      <c r="I12" s="118"/>
    </row>
    <row r="13" spans="2:20" ht="16.5" thickBot="1">
      <c r="B13"/>
      <c r="C13" s="80" t="s">
        <v>43</v>
      </c>
      <c r="D13" s="81"/>
      <c r="E13" s="374" t="str">
        <f>IF(F22&gt;=1, "Need to check correct ink selection!!","")</f>
        <v/>
      </c>
      <c r="F13" s="83"/>
      <c r="G13" s="82"/>
      <c r="H13" s="84"/>
      <c r="I13" s="118"/>
      <c r="K13" s="519"/>
      <c r="L13" s="519"/>
      <c r="M13" s="519"/>
      <c r="N13" s="519"/>
      <c r="O13" s="519"/>
      <c r="P13" s="519"/>
      <c r="Q13" s="519"/>
      <c r="R13" s="519"/>
      <c r="S13" s="519"/>
      <c r="T13" s="519"/>
    </row>
    <row r="14" spans="2:20" ht="4.5" customHeight="1" thickBot="1">
      <c r="B14"/>
      <c r="C14"/>
      <c r="D14"/>
      <c r="E14"/>
      <c r="F14"/>
      <c r="G14"/>
      <c r="H14"/>
      <c r="I14" s="118"/>
      <c r="K14" s="519"/>
      <c r="L14" s="519"/>
      <c r="M14" s="519"/>
      <c r="N14" s="519"/>
      <c r="O14" s="519"/>
      <c r="P14" s="519"/>
      <c r="Q14" s="519"/>
      <c r="R14" s="519"/>
      <c r="S14" s="519"/>
      <c r="T14" s="519"/>
    </row>
    <row r="15" spans="2:20" ht="15">
      <c r="B15"/>
      <c r="C15" s="13" t="s">
        <v>2</v>
      </c>
      <c r="D15" s="14" t="s">
        <v>9</v>
      </c>
      <c r="E15" s="15" t="s">
        <v>0</v>
      </c>
      <c r="F15" s="16" t="s">
        <v>1</v>
      </c>
      <c r="G15" s="15" t="s">
        <v>3</v>
      </c>
      <c r="H15" s="37" t="s">
        <v>35</v>
      </c>
      <c r="I15" s="118"/>
      <c r="K15" s="519"/>
      <c r="L15" s="774"/>
      <c r="M15" s="519"/>
      <c r="N15" s="519"/>
      <c r="O15" s="519"/>
      <c r="P15" s="519"/>
      <c r="Q15" s="519"/>
      <c r="R15" s="519"/>
      <c r="S15" s="519" t="s">
        <v>1013</v>
      </c>
      <c r="T15" s="519" t="s">
        <v>1014</v>
      </c>
    </row>
    <row r="16" spans="2:20" ht="15">
      <c r="B16"/>
      <c r="C16" s="215" t="s">
        <v>395</v>
      </c>
      <c r="D16" s="217"/>
      <c r="E16" s="218"/>
      <c r="F16" s="219"/>
      <c r="G16" s="218"/>
      <c r="H16" s="216"/>
      <c r="I16" s="118"/>
      <c r="K16" s="519"/>
      <c r="L16" s="774"/>
      <c r="M16" s="519"/>
      <c r="N16" s="519"/>
      <c r="O16" s="519"/>
      <c r="P16" s="519"/>
      <c r="Q16" s="519"/>
      <c r="R16" s="519"/>
      <c r="S16" s="518"/>
      <c r="T16" s="518"/>
    </row>
    <row r="17" spans="2:20" ht="12.75" customHeight="1">
      <c r="B17"/>
      <c r="C17" s="165">
        <f>VLOOKUP($E17,$E$187:$H$387,3,FALSE)</f>
        <v>0</v>
      </c>
      <c r="D17" s="22">
        <f>VLOOKUP($E17,$E$187:$H$387,2,FALSE)</f>
        <v>0</v>
      </c>
      <c r="E17" s="433" t="s">
        <v>550</v>
      </c>
      <c r="F17" s="146"/>
      <c r="G17" s="159" t="str">
        <f>IF(F17&gt;=1,VLOOKUP(E17,E$186:H$387,4,FALSE),"")</f>
        <v/>
      </c>
      <c r="H17" s="160" t="str">
        <f>IF(ISERROR(G17*F17),"",G17*F17)</f>
        <v/>
      </c>
      <c r="I17" s="118"/>
      <c r="K17" s="518">
        <f>VLOOKUP(E17,$E$187:$K$198,7,FALSE)</f>
        <v>4900</v>
      </c>
      <c r="L17" s="774" t="str">
        <f>E17</f>
        <v xml:space="preserve">4900s IP55 (Standard) </v>
      </c>
      <c r="M17" s="519" t="s">
        <v>549</v>
      </c>
      <c r="N17" s="519" t="b">
        <f>L17=M17</f>
        <v>0</v>
      </c>
      <c r="O17" s="519"/>
      <c r="P17" s="518" t="str">
        <f>IF($N$17=FALSE,S17,T17)</f>
        <v>Ultima Mk7 2M</v>
      </c>
      <c r="Q17" s="519"/>
      <c r="R17" s="519"/>
      <c r="S17" s="518" t="s">
        <v>344</v>
      </c>
      <c r="T17" s="518" t="s">
        <v>344</v>
      </c>
    </row>
    <row r="18" spans="2:20">
      <c r="B18" s="208"/>
      <c r="C18" s="165">
        <f>VLOOKUP($E18,$E$187:$H$387,3,FALSE)</f>
        <v>0</v>
      </c>
      <c r="D18" s="22">
        <f>VLOOKUP($E18,$E$187:$H$387,2,FALSE)</f>
        <v>0</v>
      </c>
      <c r="E18" s="388" t="s">
        <v>344</v>
      </c>
      <c r="F18" s="146">
        <f>F17</f>
        <v>0</v>
      </c>
      <c r="G18" s="159" t="str">
        <f>IF(F18&gt;=1,VLOOKUP(E18,E$186:H$387,4,FALSE),"")</f>
        <v/>
      </c>
      <c r="H18" s="160" t="str">
        <f>IF(ISERROR(G18*F18),"",G18*F18)</f>
        <v/>
      </c>
      <c r="I18" s="118"/>
      <c r="K18" s="519" t="str">
        <f>E18</f>
        <v>Ultima Mk7 2M</v>
      </c>
      <c r="L18" s="774"/>
      <c r="M18" s="519"/>
      <c r="N18" s="519"/>
      <c r="O18" s="519"/>
      <c r="P18" s="518" t="str">
        <f t="shared" ref="P18:P28" si="0">IF($N$17=FALSE,S18,T18)</f>
        <v>Ultima Mk7 2M R/A</v>
      </c>
      <c r="Q18" s="519"/>
      <c r="R18" s="519"/>
      <c r="S18" s="518" t="s">
        <v>345</v>
      </c>
      <c r="T18" s="518" t="s">
        <v>345</v>
      </c>
    </row>
    <row r="19" spans="2:20">
      <c r="B19" s="208"/>
      <c r="C19" s="165">
        <f>VLOOKUP($E19,$E$187:$H$387,3,FALSE)</f>
        <v>0</v>
      </c>
      <c r="D19" s="22">
        <f>VLOOKUP($E19,$E$187:$H$387,2,FALSE)</f>
        <v>0</v>
      </c>
      <c r="E19" s="388" t="s">
        <v>357</v>
      </c>
      <c r="F19" s="146">
        <f>F17</f>
        <v>0</v>
      </c>
      <c r="G19" s="159" t="str">
        <f>IF(F19&gt;=1,VLOOKUP(E19,E$186:H$387,4,FALSE),"")</f>
        <v/>
      </c>
      <c r="H19" s="160" t="str">
        <f t="shared" ref="H19:H22" si="1">IF(ISERROR(G19*F19),"",G19*F19)</f>
        <v/>
      </c>
      <c r="I19" s="118"/>
      <c r="K19" s="519" t="str">
        <f>K17&amp;K18</f>
        <v>4900Ultima Mk7 2M</v>
      </c>
      <c r="L19" s="519"/>
      <c r="M19" s="519"/>
      <c r="N19" s="519"/>
      <c r="O19" s="519"/>
      <c r="P19" s="518" t="str">
        <f t="shared" si="0"/>
        <v>Ultima Mk7 4M</v>
      </c>
      <c r="Q19" s="519"/>
      <c r="R19" s="519"/>
      <c r="S19" s="518" t="s">
        <v>346</v>
      </c>
      <c r="T19" s="518" t="s">
        <v>346</v>
      </c>
    </row>
    <row r="20" spans="2:20">
      <c r="B20" s="208"/>
      <c r="C20" s="165"/>
      <c r="D20" s="22"/>
      <c r="E20" s="388"/>
      <c r="F20" s="146"/>
      <c r="G20" s="159"/>
      <c r="H20" s="160"/>
      <c r="I20" s="118"/>
      <c r="K20" s="519"/>
      <c r="L20" s="519"/>
      <c r="M20" s="519"/>
      <c r="N20" s="519"/>
      <c r="O20" s="519"/>
      <c r="P20" s="518" t="str">
        <f t="shared" si="0"/>
        <v>Ultima Mk7 4M R/A</v>
      </c>
      <c r="Q20" s="519"/>
      <c r="R20" s="519"/>
      <c r="S20" s="518" t="s">
        <v>347</v>
      </c>
      <c r="T20" s="518" t="s">
        <v>347</v>
      </c>
    </row>
    <row r="21" spans="2:20">
      <c r="B21" s="208"/>
      <c r="C21" s="165"/>
      <c r="D21" s="22"/>
      <c r="E21" s="196"/>
      <c r="F21" s="146"/>
      <c r="G21" s="159" t="str">
        <f t="shared" ref="G21:G26" si="2">IF(F21&gt;=1,VLOOKUP(E21,E$186:H$387,4,FALSE),"")</f>
        <v/>
      </c>
      <c r="H21" s="160" t="str">
        <f t="shared" ref="H21" si="3">IF(ISERROR(G21*F21),"",G21*F21)</f>
        <v/>
      </c>
      <c r="I21" s="118"/>
      <c r="K21" s="519"/>
      <c r="L21" s="519"/>
      <c r="M21" s="519"/>
      <c r="N21" s="519"/>
      <c r="O21" s="519"/>
      <c r="P21" s="518" t="str">
        <f t="shared" si="0"/>
        <v>Ultima Plus Mk7 2M</v>
      </c>
      <c r="Q21" s="519"/>
      <c r="R21" s="519"/>
      <c r="S21" s="518" t="s">
        <v>348</v>
      </c>
      <c r="T21" s="518" t="s">
        <v>352</v>
      </c>
    </row>
    <row r="22" spans="2:20">
      <c r="B22" s="208"/>
      <c r="C22" s="165">
        <f>VLOOKUP($E22,$E$187:$H$387,3,FALSE)</f>
        <v>0</v>
      </c>
      <c r="D22" s="22">
        <f>VLOOKUP($E22,$E$187:$H$387,2,FALSE)</f>
        <v>0</v>
      </c>
      <c r="E22" s="433" t="s">
        <v>551</v>
      </c>
      <c r="F22" s="146"/>
      <c r="G22" s="159" t="str">
        <f t="shared" si="2"/>
        <v/>
      </c>
      <c r="H22" s="160" t="str">
        <f t="shared" si="1"/>
        <v/>
      </c>
      <c r="I22" s="118"/>
      <c r="K22" s="519" t="str">
        <f>VLOOKUP(E22,$E$187:$K$198,7,FALSE)</f>
        <v>4900 DC</v>
      </c>
      <c r="L22" s="519"/>
      <c r="M22" s="519"/>
      <c r="N22" s="519"/>
      <c r="O22" s="519"/>
      <c r="P22" s="518" t="str">
        <f t="shared" si="0"/>
        <v>Ultima Plus Mk7 2M R/A</v>
      </c>
      <c r="Q22" s="519"/>
      <c r="R22" s="519"/>
      <c r="S22" s="518" t="s">
        <v>349</v>
      </c>
      <c r="T22" s="518" t="s">
        <v>353</v>
      </c>
    </row>
    <row r="23" spans="2:20">
      <c r="B23" s="208"/>
      <c r="C23" s="165">
        <f>VLOOKUP($E23,$E$187:$H$387,3,FALSE)</f>
        <v>0</v>
      </c>
      <c r="D23" s="22">
        <f>VLOOKUP($E23,$E$187:$H$387,2,FALSE)</f>
        <v>0</v>
      </c>
      <c r="E23" s="388" t="s">
        <v>340</v>
      </c>
      <c r="F23" s="146">
        <f>F22</f>
        <v>0</v>
      </c>
      <c r="G23" s="159" t="str">
        <f t="shared" si="2"/>
        <v/>
      </c>
      <c r="H23" s="160" t="str">
        <f>IF(ISERROR(G23*F23),"",G23*F23)</f>
        <v/>
      </c>
      <c r="I23" s="118"/>
      <c r="K23" s="519" t="str">
        <f>E23</f>
        <v>Mini Mk7 2M</v>
      </c>
      <c r="L23" s="519"/>
      <c r="M23" s="519"/>
      <c r="N23" s="519"/>
      <c r="O23" s="519"/>
      <c r="P23" s="518" t="str">
        <f t="shared" si="0"/>
        <v>Ultima Plus Mk7 4M</v>
      </c>
      <c r="Q23" s="519"/>
      <c r="R23" s="519"/>
      <c r="S23" s="518" t="s">
        <v>350</v>
      </c>
      <c r="T23" s="518" t="s">
        <v>354</v>
      </c>
    </row>
    <row r="24" spans="2:20">
      <c r="B24"/>
      <c r="C24" s="165">
        <f>VLOOKUP($E24,$E$187:$H$387,3,FALSE)</f>
        <v>0</v>
      </c>
      <c r="D24" s="22">
        <f>VLOOKUP($E24,$E$187:$H$387,2,FALSE)</f>
        <v>0</v>
      </c>
      <c r="E24" s="388" t="s">
        <v>357</v>
      </c>
      <c r="F24" s="146">
        <f>F22</f>
        <v>0</v>
      </c>
      <c r="G24" s="159" t="str">
        <f t="shared" si="2"/>
        <v/>
      </c>
      <c r="H24" s="160" t="str">
        <f t="shared" ref="H24:H25" si="4">IF(ISERROR(G24*F24),"",G24*F24)</f>
        <v/>
      </c>
      <c r="I24" s="118"/>
      <c r="K24" s="519" t="str">
        <f>K22&amp;K23</f>
        <v>4900 DCMini Mk7 2M</v>
      </c>
      <c r="L24" s="519"/>
      <c r="M24" s="519"/>
      <c r="N24" s="519"/>
      <c r="O24" s="519"/>
      <c r="P24" s="518" t="str">
        <f t="shared" si="0"/>
        <v>Ultima Plus Mk7 4M R/A</v>
      </c>
      <c r="Q24" s="519"/>
      <c r="R24" s="519"/>
      <c r="S24" s="518" t="s">
        <v>351</v>
      </c>
      <c r="T24" s="518" t="s">
        <v>355</v>
      </c>
    </row>
    <row r="25" spans="2:20">
      <c r="B25"/>
      <c r="C25" s="165" t="str">
        <f>VLOOKUP($E25,$E$187:$H$387,3,FALSE)</f>
        <v>H-4-N-303-00</v>
      </c>
      <c r="D25" s="22">
        <f>VLOOKUP($E25,$E$187:$H$387,2,FALSE)</f>
        <v>12080018</v>
      </c>
      <c r="E25" s="388" t="s">
        <v>360</v>
      </c>
      <c r="F25" s="146">
        <f>IF(F22=1,IF(E22="4900 DC (Diary Coder)",1,0),0)</f>
        <v>0</v>
      </c>
      <c r="G25" s="159" t="str">
        <f t="shared" si="2"/>
        <v/>
      </c>
      <c r="H25" s="160" t="str">
        <f t="shared" si="4"/>
        <v/>
      </c>
      <c r="I25" s="118"/>
      <c r="K25" s="519"/>
      <c r="L25" s="519"/>
      <c r="M25" s="519"/>
      <c r="N25" s="519"/>
      <c r="O25" s="519"/>
      <c r="P25" s="518" t="str">
        <f t="shared" si="0"/>
        <v>Ultima A Mk7 2M</v>
      </c>
      <c r="Q25" s="519"/>
      <c r="R25" s="519"/>
      <c r="S25" s="518" t="s">
        <v>352</v>
      </c>
      <c r="T25" s="518"/>
    </row>
    <row r="26" spans="2:20" ht="13.5" thickBot="1">
      <c r="B26" s="208"/>
      <c r="C26" s="209"/>
      <c r="D26" s="25"/>
      <c r="E26" s="389"/>
      <c r="F26" s="147"/>
      <c r="G26" s="351" t="str">
        <f t="shared" si="2"/>
        <v/>
      </c>
      <c r="H26" s="248" t="str">
        <f>IF(ISERROR(G26*F26),"",G26*F26)</f>
        <v/>
      </c>
      <c r="I26" s="118"/>
      <c r="K26" s="519"/>
      <c r="L26" s="519"/>
      <c r="M26" s="519"/>
      <c r="N26" s="519"/>
      <c r="O26" s="519"/>
      <c r="P26" s="518" t="str">
        <f t="shared" si="0"/>
        <v>Ultima A Mk7 2M R/A</v>
      </c>
      <c r="Q26" s="519"/>
      <c r="R26" s="519"/>
      <c r="S26" s="518" t="s">
        <v>353</v>
      </c>
      <c r="T26" s="518"/>
    </row>
    <row r="27" spans="2:20" ht="13.5" thickBot="1">
      <c r="B27" s="208"/>
      <c r="C27" s="205"/>
      <c r="D27" s="205"/>
      <c r="E27" s="205"/>
      <c r="F27" s="205"/>
      <c r="G27" s="51" t="s">
        <v>42</v>
      </c>
      <c r="H27" s="247">
        <f>SUM(H17:H26)</f>
        <v>0</v>
      </c>
      <c r="I27" s="118"/>
      <c r="K27" s="519"/>
      <c r="L27" s="519"/>
      <c r="M27" s="519"/>
      <c r="N27" s="519"/>
      <c r="O27" s="519"/>
      <c r="P27" s="518" t="str">
        <f t="shared" si="0"/>
        <v>Ultima A Mk7 4M</v>
      </c>
      <c r="Q27" s="519"/>
      <c r="R27" s="519"/>
      <c r="S27" s="518" t="s">
        <v>354</v>
      </c>
      <c r="T27" s="518"/>
    </row>
    <row r="28" spans="2:20" ht="13.5" thickBot="1">
      <c r="B28" s="208"/>
      <c r="C28" s="205"/>
      <c r="D28" s="205"/>
      <c r="E28" s="205"/>
      <c r="F28" s="205"/>
      <c r="G28" s="205"/>
      <c r="H28" s="205"/>
      <c r="I28" s="118"/>
      <c r="K28" s="519"/>
      <c r="L28" s="519"/>
      <c r="M28" s="519"/>
      <c r="N28" s="519"/>
      <c r="O28" s="519"/>
      <c r="P28" s="518" t="str">
        <f t="shared" si="0"/>
        <v>Ultima A Mk7 4M R/A</v>
      </c>
      <c r="Q28" s="519"/>
      <c r="R28" s="519"/>
      <c r="S28" s="518" t="s">
        <v>355</v>
      </c>
      <c r="T28" s="518"/>
    </row>
    <row r="29" spans="2:20" ht="16.5" thickBot="1">
      <c r="B29" s="208"/>
      <c r="C29" s="80" t="s">
        <v>109</v>
      </c>
      <c r="D29" s="81"/>
      <c r="E29" s="107"/>
      <c r="F29" s="83"/>
      <c r="G29" s="82"/>
      <c r="H29" s="84"/>
      <c r="I29" s="118"/>
      <c r="K29" s="519"/>
      <c r="L29" s="519"/>
      <c r="M29" s="519"/>
      <c r="N29" s="519"/>
      <c r="O29" s="519"/>
      <c r="P29" s="519"/>
      <c r="Q29" s="519"/>
      <c r="R29" s="519"/>
      <c r="S29" s="518"/>
      <c r="T29" s="518"/>
    </row>
    <row r="30" spans="2:20" ht="4.5" customHeight="1" thickBot="1">
      <c r="B30"/>
      <c r="C30"/>
      <c r="D30"/>
      <c r="E30"/>
      <c r="F30"/>
      <c r="G30"/>
      <c r="H30"/>
      <c r="I30" s="118"/>
      <c r="K30" s="519"/>
      <c r="L30" s="519"/>
      <c r="M30" s="519"/>
      <c r="N30" s="519"/>
      <c r="O30" s="519"/>
      <c r="P30" s="519"/>
      <c r="Q30" s="519"/>
      <c r="R30" s="519"/>
      <c r="S30" s="519"/>
      <c r="T30" s="519"/>
    </row>
    <row r="31" spans="2:20" ht="15">
      <c r="B31" s="205"/>
      <c r="C31" s="396" t="s">
        <v>553</v>
      </c>
      <c r="D31" s="392"/>
      <c r="E31" s="393"/>
      <c r="F31" s="394"/>
      <c r="G31" s="395"/>
      <c r="H31" s="391"/>
      <c r="I31" s="118"/>
      <c r="K31" s="519"/>
      <c r="L31" s="519"/>
      <c r="M31" s="519"/>
      <c r="N31" s="519"/>
      <c r="O31" s="519"/>
      <c r="P31" s="519"/>
      <c r="Q31" s="519"/>
      <c r="R31" s="519"/>
      <c r="S31" s="519"/>
      <c r="T31" s="519"/>
    </row>
    <row r="32" spans="2:20">
      <c r="B32" s="205"/>
      <c r="C32" s="165">
        <f>VLOOKUP($E32,$E$187:$H$387,3,FALSE)</f>
        <v>6013254</v>
      </c>
      <c r="D32" s="390">
        <f>VLOOKUP($E32,$E$187:$H$387,2,FALSE)</f>
        <v>11060010</v>
      </c>
      <c r="E32" s="187" t="s">
        <v>402</v>
      </c>
      <c r="F32" s="146">
        <f>F17</f>
        <v>0</v>
      </c>
      <c r="G32" s="159" t="str">
        <f>IF(ISERROR(IF(F32&gt;=1,VLOOKUP(E32,E$186:H$387,4,FALSE),"")),"",IF(F32&gt;=1,VLOOKUP(E32,E$186:H$387,4,FALSE),""))</f>
        <v/>
      </c>
      <c r="H32" s="160" t="str">
        <f>IF(ISERROR(G32*F32),"",G32*F32)</f>
        <v/>
      </c>
      <c r="I32" s="118"/>
    </row>
    <row r="33" spans="2:9">
      <c r="B33" s="205"/>
      <c r="C33" s="165" t="str">
        <f>VLOOKUP($E33,$E$187:$H$387,3,FALSE)</f>
        <v xml:space="preserve">MU02037 </v>
      </c>
      <c r="D33" s="390">
        <f>VLOOKUP($E33,$E$187:$H$387,2,FALSE)</f>
        <v>11020007</v>
      </c>
      <c r="E33" s="187" t="s">
        <v>70</v>
      </c>
      <c r="F33" s="146">
        <f>F32</f>
        <v>0</v>
      </c>
      <c r="G33" s="159" t="str">
        <f>IF(ISERROR(IF(F33&gt;=1,VLOOKUP(E33,E$186:H$387,4,FALSE),"")),"",IF(F33&gt;=1,VLOOKUP(E33,E$186:H$387,4,FALSE),""))</f>
        <v/>
      </c>
      <c r="H33" s="160" t="str">
        <f t="shared" ref="H33:H44" si="5">IF(ISERROR(G33*F33),"",G33*F33)</f>
        <v/>
      </c>
      <c r="I33" s="118"/>
    </row>
    <row r="34" spans="2:9">
      <c r="B34" s="205"/>
      <c r="C34" s="165"/>
      <c r="D34" s="390"/>
      <c r="E34" s="157"/>
      <c r="F34" s="146"/>
      <c r="G34" s="159"/>
      <c r="H34" s="160"/>
      <c r="I34" s="118"/>
    </row>
    <row r="35" spans="2:9" ht="15">
      <c r="B35" s="205"/>
      <c r="C35" s="397" t="s">
        <v>554</v>
      </c>
      <c r="D35" s="398"/>
      <c r="E35" s="399"/>
      <c r="F35" s="400"/>
      <c r="G35" s="432"/>
      <c r="H35" s="431"/>
      <c r="I35" s="118"/>
    </row>
    <row r="36" spans="2:9">
      <c r="B36" s="205"/>
      <c r="C36" s="165" t="str">
        <f t="shared" ref="C36:C42" si="6">VLOOKUP($E36,$E$187:$H$387,3,FALSE)</f>
        <v>1036721</v>
      </c>
      <c r="D36" s="22">
        <f t="shared" ref="D36:D42" si="7">VLOOKUP($E36,$E$187:$H$387,2,FALSE)</f>
        <v>11050023</v>
      </c>
      <c r="E36" s="157" t="s">
        <v>87</v>
      </c>
      <c r="F36" s="146"/>
      <c r="G36" s="159" t="str">
        <f t="shared" ref="G36:G42" si="8">IF(ISERROR(IF(F36&gt;=1,VLOOKUP(E36,E$186:H$387,4,FALSE),"")),"",IF(F36&gt;=1,VLOOKUP(E36,E$186:H$387,4,FALSE),""))</f>
        <v/>
      </c>
      <c r="H36" s="160" t="str">
        <f t="shared" si="5"/>
        <v/>
      </c>
      <c r="I36" s="118"/>
    </row>
    <row r="37" spans="2:9">
      <c r="B37" s="205"/>
      <c r="C37" s="165">
        <f t="shared" si="6"/>
        <v>5318678</v>
      </c>
      <c r="D37" s="22">
        <f t="shared" si="7"/>
        <v>11990007</v>
      </c>
      <c r="E37" s="157" t="s">
        <v>98</v>
      </c>
      <c r="F37" s="146">
        <f>F36</f>
        <v>0</v>
      </c>
      <c r="G37" s="159" t="str">
        <f t="shared" si="8"/>
        <v/>
      </c>
      <c r="H37" s="160" t="str">
        <f t="shared" si="5"/>
        <v/>
      </c>
      <c r="I37" s="118"/>
    </row>
    <row r="38" spans="2:9">
      <c r="B38" s="205"/>
      <c r="C38" s="165" t="str">
        <f t="shared" si="6"/>
        <v>SKME2046\01</v>
      </c>
      <c r="D38" s="22">
        <f t="shared" si="7"/>
        <v>13120007</v>
      </c>
      <c r="E38" s="157" t="s">
        <v>100</v>
      </c>
      <c r="F38" s="146">
        <f>F36</f>
        <v>0</v>
      </c>
      <c r="G38" s="159" t="str">
        <f t="shared" si="8"/>
        <v/>
      </c>
      <c r="H38" s="160" t="str">
        <f t="shared" si="5"/>
        <v/>
      </c>
      <c r="I38" s="118"/>
    </row>
    <row r="39" spans="2:9">
      <c r="B39" s="205"/>
      <c r="C39" s="165" t="str">
        <f t="shared" si="6"/>
        <v>6032867</v>
      </c>
      <c r="D39" s="22" t="str">
        <f t="shared" si="7"/>
        <v>11050024</v>
      </c>
      <c r="E39" s="157" t="s">
        <v>89</v>
      </c>
      <c r="F39" s="146">
        <f>F36</f>
        <v>0</v>
      </c>
      <c r="G39" s="159" t="str">
        <f t="shared" si="8"/>
        <v/>
      </c>
      <c r="H39" s="160" t="str">
        <f t="shared" si="5"/>
        <v/>
      </c>
      <c r="I39" s="118"/>
    </row>
    <row r="40" spans="2:9">
      <c r="B40" s="205"/>
      <c r="C40" s="165" t="str">
        <f t="shared" si="6"/>
        <v>6032868</v>
      </c>
      <c r="D40" s="22" t="str">
        <f t="shared" si="7"/>
        <v>11050025</v>
      </c>
      <c r="E40" s="157" t="s">
        <v>90</v>
      </c>
      <c r="F40" s="146"/>
      <c r="G40" s="159" t="str">
        <f t="shared" si="8"/>
        <v/>
      </c>
      <c r="H40" s="160" t="str">
        <f t="shared" si="5"/>
        <v/>
      </c>
      <c r="I40" s="118"/>
    </row>
    <row r="41" spans="2:9">
      <c r="B41" s="205"/>
      <c r="C41" s="165" t="str">
        <f t="shared" si="6"/>
        <v>SKME2046\01</v>
      </c>
      <c r="D41" s="22">
        <f t="shared" si="7"/>
        <v>13120007</v>
      </c>
      <c r="E41" s="157" t="s">
        <v>100</v>
      </c>
      <c r="F41" s="146"/>
      <c r="G41" s="159" t="str">
        <f t="shared" si="8"/>
        <v/>
      </c>
      <c r="H41" s="160" t="str">
        <f t="shared" si="5"/>
        <v/>
      </c>
      <c r="I41" s="118"/>
    </row>
    <row r="42" spans="2:9">
      <c r="B42" s="205"/>
      <c r="C42" s="165" t="str">
        <f t="shared" si="6"/>
        <v>CG003</v>
      </c>
      <c r="D42" s="22">
        <f t="shared" si="7"/>
        <v>13120016</v>
      </c>
      <c r="E42" s="157" t="s">
        <v>396</v>
      </c>
      <c r="F42" s="146"/>
      <c r="G42" s="159" t="str">
        <f t="shared" si="8"/>
        <v/>
      </c>
      <c r="H42" s="160" t="str">
        <f t="shared" si="5"/>
        <v/>
      </c>
      <c r="I42" s="118"/>
    </row>
    <row r="43" spans="2:9">
      <c r="B43" s="205"/>
      <c r="C43" s="165"/>
      <c r="D43" s="22"/>
      <c r="E43" s="196"/>
      <c r="F43" s="146"/>
      <c r="G43" s="159"/>
      <c r="H43" s="160">
        <f t="shared" si="5"/>
        <v>0</v>
      </c>
      <c r="I43" s="118"/>
    </row>
    <row r="44" spans="2:9" ht="12.75" customHeight="1" thickBot="1">
      <c r="B44" s="205"/>
      <c r="C44" s="24"/>
      <c r="D44" s="25"/>
      <c r="E44" s="212"/>
      <c r="F44" s="147"/>
      <c r="G44" s="351" t="str">
        <f>IF(ISERROR(IF(F44&gt;=1,VLOOKUP(E44,E$186:H$387,4,FALSE),"")),"",IF(F44&gt;=1,VLOOKUP(E44,E$186:H$387,4,FALSE),""))</f>
        <v/>
      </c>
      <c r="H44" s="250" t="str">
        <f t="shared" si="5"/>
        <v/>
      </c>
      <c r="I44" s="118"/>
    </row>
    <row r="45" spans="2:9" ht="12.75" customHeight="1" thickBot="1">
      <c r="B45" s="205"/>
      <c r="C45" s="26"/>
      <c r="D45" s="26"/>
      <c r="E45" s="153"/>
      <c r="F45" s="369"/>
      <c r="G45" s="211" t="s">
        <v>42</v>
      </c>
      <c r="H45" s="430">
        <f>SUM(H32:H44)</f>
        <v>0</v>
      </c>
      <c r="I45" s="118"/>
    </row>
    <row r="46" spans="2:9" ht="12.75" customHeight="1" thickBot="1">
      <c r="B46" s="205"/>
      <c r="C46" s="26"/>
      <c r="D46" s="26"/>
      <c r="E46" s="153"/>
      <c r="F46" s="369"/>
      <c r="G46" s="229"/>
      <c r="H46" s="401"/>
      <c r="I46" s="118"/>
    </row>
    <row r="47" spans="2:9" ht="16.5" thickBot="1">
      <c r="B47" s="205"/>
      <c r="C47" s="80" t="s">
        <v>315</v>
      </c>
      <c r="D47" s="81"/>
      <c r="E47" s="107"/>
      <c r="F47" s="83"/>
      <c r="G47" s="82"/>
      <c r="H47" s="84"/>
      <c r="I47" s="118"/>
    </row>
    <row r="48" spans="2:9" ht="4.5" customHeight="1" thickBot="1">
      <c r="B48"/>
      <c r="C48"/>
      <c r="D48"/>
      <c r="E48"/>
      <c r="F48"/>
      <c r="G48"/>
      <c r="H48"/>
      <c r="I48" s="118"/>
    </row>
    <row r="49" spans="2:9" ht="12.75" customHeight="1">
      <c r="B49" s="205"/>
      <c r="C49" s="220">
        <f t="shared" ref="C49:C61" si="9">VLOOKUP($E49,$E$187:$H$387,3,FALSE)</f>
        <v>16304</v>
      </c>
      <c r="D49" s="257">
        <f t="shared" ref="D49:D61" si="10">VLOOKUP($E49,$E$187:$H$387,2,FALSE)</f>
        <v>13110001</v>
      </c>
      <c r="E49" s="370" t="s">
        <v>364</v>
      </c>
      <c r="F49" s="371">
        <v>1</v>
      </c>
      <c r="G49" s="485">
        <f t="shared" ref="G49:G63" si="11">IF(F49&gt;=1,VLOOKUP(E49,E$186:H$387,4,FALSE),"")</f>
        <v>1031</v>
      </c>
      <c r="H49" s="249">
        <f t="shared" ref="H49:H63" si="12">IF(ISERROR(G49*F49),"",G49*F49)</f>
        <v>1031</v>
      </c>
      <c r="I49" s="118"/>
    </row>
    <row r="50" spans="2:9" ht="12.75" customHeight="1">
      <c r="B50" s="205"/>
      <c r="C50" s="165" t="str">
        <f t="shared" si="9"/>
        <v>CUSTOM</v>
      </c>
      <c r="D50" s="22">
        <f t="shared" si="10"/>
        <v>0</v>
      </c>
      <c r="E50" s="187" t="s">
        <v>490</v>
      </c>
      <c r="F50" s="146"/>
      <c r="G50" s="159" t="str">
        <f t="shared" si="11"/>
        <v/>
      </c>
      <c r="H50" s="160" t="str">
        <f t="shared" ref="H50" si="13">IF(ISERROR(G50*F50),"",G50*F50)</f>
        <v/>
      </c>
      <c r="I50" s="118"/>
    </row>
    <row r="51" spans="2:9" ht="12.75" customHeight="1">
      <c r="B51" s="205"/>
      <c r="C51" s="165" t="str">
        <f t="shared" si="9"/>
        <v>TSTAWBP30431.75-1.6A</v>
      </c>
      <c r="D51" s="22" t="str">
        <f t="shared" si="10"/>
        <v>02020036</v>
      </c>
      <c r="E51" s="196" t="s">
        <v>366</v>
      </c>
      <c r="F51" s="146">
        <v>1</v>
      </c>
      <c r="G51" s="159">
        <f t="shared" si="11"/>
        <v>48</v>
      </c>
      <c r="H51" s="160">
        <f t="shared" si="12"/>
        <v>48</v>
      </c>
      <c r="I51" s="118"/>
    </row>
    <row r="52" spans="2:9" ht="12.75" customHeight="1">
      <c r="B52" s="205"/>
      <c r="C52" s="165" t="str">
        <f t="shared" si="9"/>
        <v>TSTAWBP30431.75-1.6A</v>
      </c>
      <c r="D52" s="22" t="str">
        <f t="shared" si="10"/>
        <v>02020035</v>
      </c>
      <c r="E52" s="196" t="s">
        <v>365</v>
      </c>
      <c r="F52" s="146">
        <v>1</v>
      </c>
      <c r="G52" s="159">
        <f t="shared" si="11"/>
        <v>15</v>
      </c>
      <c r="H52" s="160">
        <f t="shared" ref="H52:H61" si="14">IF(ISERROR(G52*F52),"",G52*F52)</f>
        <v>15</v>
      </c>
      <c r="I52" s="118"/>
    </row>
    <row r="53" spans="2:9" ht="12.75" customHeight="1">
      <c r="B53" s="205"/>
      <c r="C53" s="165" t="str">
        <f t="shared" si="9"/>
        <v>FA62048</v>
      </c>
      <c r="D53" s="22">
        <f t="shared" si="10"/>
        <v>2020124</v>
      </c>
      <c r="E53" s="196" t="s">
        <v>503</v>
      </c>
      <c r="F53" s="146">
        <v>1</v>
      </c>
      <c r="G53" s="159">
        <f t="shared" si="11"/>
        <v>87</v>
      </c>
      <c r="H53" s="160">
        <f t="shared" si="14"/>
        <v>87</v>
      </c>
      <c r="I53" s="118"/>
    </row>
    <row r="54" spans="2:9" ht="12.75" customHeight="1">
      <c r="B54" s="205"/>
      <c r="C54" s="165" t="str">
        <f t="shared" si="9"/>
        <v>FA62047</v>
      </c>
      <c r="D54" s="22" t="str">
        <f t="shared" si="10"/>
        <v>02020123</v>
      </c>
      <c r="E54" s="196" t="s">
        <v>504</v>
      </c>
      <c r="F54" s="146">
        <v>1</v>
      </c>
      <c r="G54" s="159">
        <f t="shared" si="11"/>
        <v>330</v>
      </c>
      <c r="H54" s="160">
        <f t="shared" si="14"/>
        <v>330</v>
      </c>
      <c r="I54" s="118"/>
    </row>
    <row r="55" spans="2:9" ht="12.75" customHeight="1">
      <c r="B55" s="205"/>
      <c r="C55" s="165" t="str">
        <f t="shared" si="9"/>
        <v>FA62044</v>
      </c>
      <c r="D55" s="22" t="str">
        <f t="shared" si="10"/>
        <v>02020121</v>
      </c>
      <c r="E55" s="196" t="s">
        <v>505</v>
      </c>
      <c r="F55" s="146"/>
      <c r="G55" s="159" t="str">
        <f t="shared" si="11"/>
        <v/>
      </c>
      <c r="H55" s="160" t="str">
        <f t="shared" si="14"/>
        <v/>
      </c>
      <c r="I55" s="118"/>
    </row>
    <row r="56" spans="2:9" ht="12.75" customHeight="1">
      <c r="B56" s="205"/>
      <c r="C56" s="165" t="str">
        <f t="shared" si="9"/>
        <v>FA62046</v>
      </c>
      <c r="D56" s="22" t="str">
        <f t="shared" si="10"/>
        <v>02020122</v>
      </c>
      <c r="E56" s="196" t="s">
        <v>506</v>
      </c>
      <c r="F56" s="146"/>
      <c r="G56" s="159" t="str">
        <f t="shared" si="11"/>
        <v/>
      </c>
      <c r="H56" s="160" t="str">
        <f t="shared" si="14"/>
        <v/>
      </c>
      <c r="I56" s="118"/>
    </row>
    <row r="57" spans="2:9">
      <c r="B57" s="205"/>
      <c r="C57" s="165" t="str">
        <f t="shared" si="9"/>
        <v>FA62050</v>
      </c>
      <c r="D57" s="22">
        <f t="shared" si="10"/>
        <v>2020126</v>
      </c>
      <c r="E57" s="196" t="s">
        <v>499</v>
      </c>
      <c r="F57" s="146"/>
      <c r="G57" s="159" t="str">
        <f t="shared" si="11"/>
        <v/>
      </c>
      <c r="H57" s="160" t="str">
        <f t="shared" si="14"/>
        <v/>
      </c>
      <c r="I57" s="118"/>
    </row>
    <row r="58" spans="2:9" ht="12.75" customHeight="1">
      <c r="B58" s="205"/>
      <c r="C58" s="165" t="str">
        <f t="shared" si="9"/>
        <v>FA62049</v>
      </c>
      <c r="D58" s="22">
        <f t="shared" si="10"/>
        <v>2020125</v>
      </c>
      <c r="E58" s="196" t="s">
        <v>500</v>
      </c>
      <c r="F58" s="443">
        <v>2</v>
      </c>
      <c r="G58" s="159">
        <f t="shared" si="11"/>
        <v>69</v>
      </c>
      <c r="H58" s="160">
        <f t="shared" si="14"/>
        <v>138</v>
      </c>
      <c r="I58" s="118"/>
    </row>
    <row r="59" spans="2:9" ht="12.75" customHeight="1">
      <c r="B59" s="205"/>
      <c r="C59" s="165" t="str">
        <f t="shared" si="9"/>
        <v>FA62051</v>
      </c>
      <c r="D59" s="22">
        <f t="shared" si="10"/>
        <v>2020127</v>
      </c>
      <c r="E59" s="196" t="s">
        <v>501</v>
      </c>
      <c r="F59" s="146"/>
      <c r="G59" s="159" t="str">
        <f t="shared" si="11"/>
        <v/>
      </c>
      <c r="H59" s="160" t="str">
        <f t="shared" si="14"/>
        <v/>
      </c>
      <c r="I59" s="118"/>
    </row>
    <row r="60" spans="2:9" ht="12.75" customHeight="1">
      <c r="B60" s="205"/>
      <c r="C60" s="165" t="str">
        <f t="shared" si="9"/>
        <v>FA62052</v>
      </c>
      <c r="D60" s="22">
        <f t="shared" si="10"/>
        <v>2020128</v>
      </c>
      <c r="E60" s="196" t="s">
        <v>502</v>
      </c>
      <c r="F60" s="146"/>
      <c r="G60" s="159" t="str">
        <f t="shared" si="11"/>
        <v/>
      </c>
      <c r="H60" s="160" t="str">
        <f t="shared" si="14"/>
        <v/>
      </c>
      <c r="I60" s="118"/>
    </row>
    <row r="61" spans="2:9" ht="12.75" customHeight="1">
      <c r="B61" s="205"/>
      <c r="C61" s="165" t="str">
        <f t="shared" si="9"/>
        <v>SK-MECH-602</v>
      </c>
      <c r="D61" s="22">
        <f t="shared" si="10"/>
        <v>13080029</v>
      </c>
      <c r="E61" s="157" t="s">
        <v>367</v>
      </c>
      <c r="F61" s="146"/>
      <c r="G61" s="159" t="str">
        <f t="shared" si="11"/>
        <v/>
      </c>
      <c r="H61" s="160" t="str">
        <f t="shared" si="14"/>
        <v/>
      </c>
      <c r="I61" s="118"/>
    </row>
    <row r="62" spans="2:9" ht="12.75" customHeight="1">
      <c r="B62" s="205"/>
      <c r="C62" s="165"/>
      <c r="D62" s="22"/>
      <c r="E62" s="196"/>
      <c r="F62" s="146"/>
      <c r="G62" s="159" t="str">
        <f t="shared" si="11"/>
        <v/>
      </c>
      <c r="H62" s="160" t="str">
        <f t="shared" si="12"/>
        <v/>
      </c>
      <c r="I62" s="118"/>
    </row>
    <row r="63" spans="2:9" ht="12.75" customHeight="1" thickBot="1">
      <c r="B63" s="205"/>
      <c r="C63" s="24"/>
      <c r="D63" s="25"/>
      <c r="E63" s="373"/>
      <c r="F63" s="147"/>
      <c r="G63" s="351" t="str">
        <f t="shared" si="11"/>
        <v/>
      </c>
      <c r="H63" s="248" t="str">
        <f t="shared" si="12"/>
        <v/>
      </c>
      <c r="I63" s="118"/>
    </row>
    <row r="64" spans="2:9" ht="12.75" customHeight="1" thickBot="1">
      <c r="B64" s="205"/>
      <c r="C64" s="26"/>
      <c r="D64" s="26"/>
      <c r="E64" s="27"/>
      <c r="F64" s="28"/>
      <c r="G64" s="211" t="s">
        <v>42</v>
      </c>
      <c r="H64" s="430">
        <f>SUM(H49:H63)</f>
        <v>1649</v>
      </c>
      <c r="I64" s="118"/>
    </row>
    <row r="65" spans="2:10" ht="12.75" customHeight="1" thickBot="1">
      <c r="B65" s="205"/>
      <c r="C65" s="26"/>
      <c r="D65" s="26"/>
      <c r="E65" s="26"/>
      <c r="F65" s="26"/>
      <c r="G65" s="26"/>
      <c r="H65" s="26"/>
      <c r="I65" s="26"/>
    </row>
    <row r="66" spans="2:10" ht="16.5" thickBot="1">
      <c r="B66" s="205"/>
      <c r="C66" s="80" t="s">
        <v>137</v>
      </c>
      <c r="D66" s="81"/>
      <c r="E66" s="107"/>
      <c r="F66" s="83"/>
      <c r="G66" s="82"/>
      <c r="H66" s="84"/>
      <c r="I66" s="118"/>
    </row>
    <row r="67" spans="2:10" ht="4.5" customHeight="1" thickBot="1">
      <c r="B67"/>
      <c r="C67"/>
      <c r="D67"/>
      <c r="E67"/>
      <c r="F67"/>
      <c r="G67"/>
      <c r="H67"/>
      <c r="I67" s="118"/>
    </row>
    <row r="68" spans="2:10" ht="12.75" customHeight="1">
      <c r="B68" s="205"/>
      <c r="C68" s="220" t="str">
        <f t="shared" ref="C68:C75" si="15">VLOOKUP($E68,$E$187:$H$387,3,FALSE)</f>
        <v>FA74276</v>
      </c>
      <c r="D68" s="257" t="str">
        <f t="shared" ref="D68:D75" si="16">VLOOKUP($E68,$E$187:$H$387,2,FALSE)</f>
        <v>02020389</v>
      </c>
      <c r="E68" s="157" t="s">
        <v>368</v>
      </c>
      <c r="F68" s="371"/>
      <c r="G68" s="372" t="str">
        <f t="shared" ref="G68:G77" si="17">IF(F68&gt;=1,VLOOKUP(E68,E$186:H$387,4,FALSE),"")</f>
        <v/>
      </c>
      <c r="H68" s="338" t="str">
        <f t="shared" ref="H68:H77" si="18">IF(ISERROR(G68*F68),"",G68*F68)</f>
        <v/>
      </c>
      <c r="I68" s="118"/>
    </row>
    <row r="69" spans="2:10" ht="12.75" customHeight="1">
      <c r="B69" s="205"/>
      <c r="C69" s="165" t="str">
        <f t="shared" si="15"/>
        <v>LCE-102A-Y</v>
      </c>
      <c r="D69" s="22">
        <f t="shared" si="16"/>
        <v>99990085</v>
      </c>
      <c r="E69" s="196" t="s">
        <v>371</v>
      </c>
      <c r="F69" s="146"/>
      <c r="G69" s="140" t="str">
        <f t="shared" si="17"/>
        <v/>
      </c>
      <c r="H69" s="61" t="str">
        <f t="shared" si="18"/>
        <v/>
      </c>
      <c r="I69" s="118"/>
    </row>
    <row r="70" spans="2:10" ht="25.5">
      <c r="B70" s="205"/>
      <c r="C70" s="165">
        <f t="shared" si="15"/>
        <v>0</v>
      </c>
      <c r="D70" s="466" t="str">
        <f t="shared" si="16"/>
        <v>13080149 
03020034</v>
      </c>
      <c r="E70" s="390" t="s">
        <v>372</v>
      </c>
      <c r="F70" s="146"/>
      <c r="G70" s="140" t="str">
        <f t="shared" si="17"/>
        <v/>
      </c>
      <c r="H70" s="61" t="str">
        <f t="shared" ref="H70:H73" si="19">IF(ISERROR(G70*F70),"",G70*F70)</f>
        <v/>
      </c>
      <c r="I70" s="118"/>
    </row>
    <row r="71" spans="2:10" ht="12.75" customHeight="1">
      <c r="B71" s="205"/>
      <c r="C71" s="165" t="str">
        <f t="shared" si="15"/>
        <v>FA72129</v>
      </c>
      <c r="D71" s="22" t="str">
        <f t="shared" si="16"/>
        <v>02020229</v>
      </c>
      <c r="E71" s="196" t="s">
        <v>374</v>
      </c>
      <c r="F71" s="146"/>
      <c r="G71" s="140" t="str">
        <f t="shared" si="17"/>
        <v/>
      </c>
      <c r="H71" s="61" t="str">
        <f t="shared" si="19"/>
        <v/>
      </c>
      <c r="I71" s="118"/>
    </row>
    <row r="72" spans="2:10" ht="12.75" customHeight="1">
      <c r="B72" s="205"/>
      <c r="C72" s="165" t="str">
        <f t="shared" si="15"/>
        <v>DUALALARMUPGRADE</v>
      </c>
      <c r="D72" s="22" t="str">
        <f t="shared" si="16"/>
        <v>02020066</v>
      </c>
      <c r="E72" s="196" t="s">
        <v>370</v>
      </c>
      <c r="F72" s="146"/>
      <c r="G72" s="140" t="str">
        <f t="shared" si="17"/>
        <v/>
      </c>
      <c r="H72" s="61" t="str">
        <f t="shared" si="19"/>
        <v/>
      </c>
      <c r="I72" s="118"/>
    </row>
    <row r="73" spans="2:10" ht="12.75" customHeight="1">
      <c r="B73" s="205"/>
      <c r="C73" s="165" t="str">
        <f t="shared" si="15"/>
        <v>FA69044</v>
      </c>
      <c r="D73" s="22" t="str">
        <f t="shared" si="16"/>
        <v>02020158</v>
      </c>
      <c r="E73" s="196" t="s">
        <v>373</v>
      </c>
      <c r="F73" s="146"/>
      <c r="G73" s="140" t="str">
        <f t="shared" si="17"/>
        <v/>
      </c>
      <c r="H73" s="61" t="str">
        <f t="shared" si="19"/>
        <v/>
      </c>
      <c r="I73" s="118"/>
    </row>
    <row r="74" spans="2:10" ht="12.75" customHeight="1">
      <c r="B74" s="205"/>
      <c r="C74" s="165" t="str">
        <f t="shared" si="15"/>
        <v>FA62068</v>
      </c>
      <c r="D74" s="22" t="str">
        <f t="shared" si="16"/>
        <v>02020132</v>
      </c>
      <c r="E74" s="196" t="s">
        <v>369</v>
      </c>
      <c r="F74" s="146"/>
      <c r="G74" s="140" t="str">
        <f t="shared" si="17"/>
        <v/>
      </c>
      <c r="H74" s="61" t="str">
        <f t="shared" si="18"/>
        <v/>
      </c>
      <c r="I74" s="118"/>
    </row>
    <row r="75" spans="2:10" ht="12.75" customHeight="1">
      <c r="B75" s="205"/>
      <c r="C75" s="165" t="str">
        <f t="shared" si="15"/>
        <v>FA67050</v>
      </c>
      <c r="D75" s="22" t="str">
        <f t="shared" si="16"/>
        <v>02020151</v>
      </c>
      <c r="E75" s="196" t="s">
        <v>375</v>
      </c>
      <c r="F75" s="146"/>
      <c r="G75" s="140" t="str">
        <f t="shared" si="17"/>
        <v/>
      </c>
      <c r="H75" s="61" t="str">
        <f t="shared" si="18"/>
        <v/>
      </c>
      <c r="I75" s="118"/>
    </row>
    <row r="76" spans="2:10" ht="12.75" customHeight="1">
      <c r="B76" s="205"/>
      <c r="C76" s="165"/>
      <c r="D76" s="22"/>
      <c r="E76" s="196"/>
      <c r="F76" s="146"/>
      <c r="G76" s="140" t="str">
        <f t="shared" si="17"/>
        <v/>
      </c>
      <c r="H76" s="61" t="str">
        <f t="shared" si="18"/>
        <v/>
      </c>
      <c r="I76" s="118"/>
    </row>
    <row r="77" spans="2:10" ht="12.75" customHeight="1" thickBot="1">
      <c r="B77" s="205"/>
      <c r="C77" s="24"/>
      <c r="D77" s="25"/>
      <c r="E77" s="373"/>
      <c r="F77" s="147"/>
      <c r="G77" s="210" t="str">
        <f t="shared" si="17"/>
        <v/>
      </c>
      <c r="H77" s="63" t="str">
        <f t="shared" si="18"/>
        <v/>
      </c>
      <c r="I77" s="118"/>
    </row>
    <row r="78" spans="2:10" ht="13.5" thickBot="1">
      <c r="B78"/>
      <c r="C78" s="26"/>
      <c r="D78" s="26"/>
      <c r="E78" s="27"/>
      <c r="F78" s="28"/>
      <c r="G78" s="211" t="s">
        <v>42</v>
      </c>
      <c r="H78" s="430">
        <f>SUM(H68:H77)</f>
        <v>0</v>
      </c>
      <c r="I78" s="118"/>
      <c r="J78" s="117"/>
    </row>
    <row r="79" spans="2:10" ht="13.5" thickBot="1">
      <c r="B79"/>
      <c r="C79" s="26"/>
      <c r="D79" s="26"/>
      <c r="E79" s="27"/>
      <c r="F79" s="28"/>
      <c r="G79" s="29"/>
      <c r="H79" s="29"/>
      <c r="I79" s="118"/>
      <c r="J79" s="117"/>
    </row>
    <row r="80" spans="2:10" ht="16.5" thickBot="1">
      <c r="B80"/>
      <c r="C80" s="80" t="s">
        <v>44</v>
      </c>
      <c r="D80" s="81"/>
      <c r="E80" s="107"/>
      <c r="F80" s="83"/>
      <c r="G80" s="82"/>
      <c r="H80" s="84"/>
      <c r="I80" s="118"/>
      <c r="J80" s="202"/>
    </row>
    <row r="81" spans="2:12" ht="3.75" customHeight="1" thickBot="1">
      <c r="B81"/>
      <c r="C81"/>
      <c r="D81"/>
      <c r="E81"/>
      <c r="F81"/>
      <c r="G81"/>
      <c r="H81"/>
      <c r="I81" s="118"/>
    </row>
    <row r="82" spans="2:12">
      <c r="B82"/>
      <c r="C82" s="30">
        <f>VLOOKUP($E82,$E$187:$H$387,3,FALSE)</f>
        <v>0</v>
      </c>
      <c r="D82" s="42">
        <f>VLOOKUP($E82,$E$187:$H$387,2,FALSE)</f>
        <v>0</v>
      </c>
      <c r="E82" s="190" t="s">
        <v>390</v>
      </c>
      <c r="F82" s="193">
        <f>SUM(F17)</f>
        <v>0</v>
      </c>
      <c r="G82" s="327" t="str">
        <f>IF(F82&gt;=1,VLOOKUP(F82,F388:H391,3,FALSE)/F82,"")</f>
        <v/>
      </c>
      <c r="H82" s="251" t="str">
        <f>IF(ISERROR(G82*F82),"",VLOOKUP(F82,F388:H391,3,FALSE))</f>
        <v/>
      </c>
      <c r="I82" s="118"/>
      <c r="J82" s="202"/>
    </row>
    <row r="83" spans="2:12">
      <c r="B83"/>
      <c r="C83" s="769"/>
      <c r="D83" s="770"/>
      <c r="E83" s="876" t="s">
        <v>1015</v>
      </c>
      <c r="F83" s="768">
        <f>SUM(F17,F22)</f>
        <v>0</v>
      </c>
      <c r="G83" s="159" t="str">
        <f>IF(F83&gt;=1,VLOOKUP(E83,E$186:H$487,4,FALSE),"")</f>
        <v/>
      </c>
      <c r="H83" s="771"/>
      <c r="I83" s="118"/>
      <c r="J83" s="202"/>
    </row>
    <row r="84" spans="2:12">
      <c r="B84"/>
      <c r="C84" s="268"/>
      <c r="D84" s="269"/>
      <c r="E84" s="187" t="s">
        <v>295</v>
      </c>
      <c r="F84" s="214">
        <v>-1</v>
      </c>
      <c r="G84" s="329"/>
      <c r="H84" s="252">
        <f t="shared" ref="H84:H89" si="20">IF(ISERROR(G84*F84),"",G84*F84)</f>
        <v>0</v>
      </c>
      <c r="I84" s="118"/>
      <c r="J84" s="202"/>
    </row>
    <row r="85" spans="2:12">
      <c r="B85"/>
      <c r="C85" s="23"/>
      <c r="D85" s="43"/>
      <c r="E85" s="187" t="s">
        <v>105</v>
      </c>
      <c r="F85" s="148"/>
      <c r="G85" s="328" t="str">
        <f>IF(F85="","",H404)</f>
        <v/>
      </c>
      <c r="H85" s="252" t="str">
        <f t="shared" si="20"/>
        <v/>
      </c>
      <c r="I85" s="118"/>
      <c r="J85" s="202"/>
    </row>
    <row r="86" spans="2:12">
      <c r="B86"/>
      <c r="C86" s="73"/>
      <c r="D86" s="213"/>
      <c r="E86" s="187" t="s">
        <v>296</v>
      </c>
      <c r="F86" s="214"/>
      <c r="G86" s="378"/>
      <c r="H86" s="252">
        <f t="shared" si="20"/>
        <v>0</v>
      </c>
      <c r="I86" s="118"/>
      <c r="J86" s="202"/>
    </row>
    <row r="87" spans="2:12">
      <c r="B87"/>
      <c r="C87" s="73"/>
      <c r="D87" s="213"/>
      <c r="E87" s="196"/>
      <c r="F87" s="214"/>
      <c r="G87" s="378"/>
      <c r="H87" s="252">
        <f t="shared" si="20"/>
        <v>0</v>
      </c>
      <c r="I87" s="118"/>
      <c r="J87" s="202"/>
    </row>
    <row r="88" spans="2:12">
      <c r="B88"/>
      <c r="C88" s="268"/>
      <c r="D88" s="269"/>
      <c r="E88" s="144"/>
      <c r="F88" s="214"/>
      <c r="G88" s="329"/>
      <c r="H88" s="252">
        <f t="shared" si="20"/>
        <v>0</v>
      </c>
      <c r="I88" s="118"/>
      <c r="J88" s="202"/>
    </row>
    <row r="89" spans="2:12" ht="13.5" thickBot="1">
      <c r="B89"/>
      <c r="C89" s="270"/>
      <c r="D89" s="271"/>
      <c r="E89" s="255"/>
      <c r="F89" s="149"/>
      <c r="G89" s="330"/>
      <c r="H89" s="347">
        <f t="shared" si="20"/>
        <v>0</v>
      </c>
      <c r="I89" s="118"/>
      <c r="J89" s="202"/>
    </row>
    <row r="90" spans="2:12" ht="13.5" thickBot="1">
      <c r="B90"/>
      <c r="C90" s="26"/>
      <c r="D90" s="26"/>
      <c r="E90" s="27"/>
      <c r="F90" s="28"/>
      <c r="G90" s="51" t="s">
        <v>42</v>
      </c>
      <c r="H90" s="246">
        <f>SUM(H82:H89)</f>
        <v>0</v>
      </c>
      <c r="I90" s="118"/>
      <c r="J90" s="202"/>
    </row>
    <row r="91" spans="2:12" ht="13.5" thickBot="1">
      <c r="B91"/>
      <c r="C91" s="1"/>
      <c r="D91" s="1"/>
      <c r="E91"/>
      <c r="F91" s="2"/>
      <c r="G91" s="2"/>
      <c r="H91" s="2"/>
      <c r="I91" s="118"/>
      <c r="J91" s="202"/>
      <c r="K91" s="202"/>
      <c r="L91" s="202"/>
    </row>
    <row r="92" spans="2:12" ht="16.5" thickBot="1">
      <c r="B92"/>
      <c r="C92" s="80" t="s">
        <v>40</v>
      </c>
      <c r="D92" s="81"/>
      <c r="E92" s="374" t="str">
        <f>IF(SUM(F95,F98)&lt;1, "You have not selected any ink","")</f>
        <v>You have not selected any ink</v>
      </c>
      <c r="F92" s="83"/>
      <c r="G92" s="82"/>
      <c r="H92" s="84"/>
      <c r="I92" s="118"/>
      <c r="J92" s="202"/>
      <c r="K92" s="202"/>
      <c r="L92" s="202"/>
    </row>
    <row r="93" spans="2:12" ht="4.5" customHeight="1" thickBot="1">
      <c r="B93"/>
      <c r="C93"/>
      <c r="D93"/>
      <c r="E93"/>
      <c r="F93"/>
      <c r="G93"/>
      <c r="H93"/>
      <c r="I93" s="118"/>
      <c r="K93" s="202"/>
      <c r="L93" s="202"/>
    </row>
    <row r="94" spans="2:12" ht="15">
      <c r="B94" s="164"/>
      <c r="C94" s="396" t="s">
        <v>403</v>
      </c>
      <c r="D94" s="450"/>
      <c r="E94" s="451"/>
      <c r="F94" s="394"/>
      <c r="G94" s="452"/>
      <c r="H94" s="453"/>
      <c r="I94" s="118"/>
      <c r="J94" s="202"/>
      <c r="K94" s="202"/>
      <c r="L94" s="202"/>
    </row>
    <row r="95" spans="2:12" ht="25.5">
      <c r="B95" s="164" t="e">
        <f>VLOOKUP(E95,#REF!,5,FALSE)</f>
        <v>#REF!</v>
      </c>
      <c r="C95" s="23">
        <f>VLOOKUP($E95,$E$187:$H$387,3,FALSE)</f>
        <v>0</v>
      </c>
      <c r="D95" s="465" t="str">
        <f>VLOOKUP($E95,$E$187:$H$387,2,FALSE)</f>
        <v>15140036 x 0.3, 16140005 x 0.3</v>
      </c>
      <c r="E95" s="467" t="s">
        <v>627</v>
      </c>
      <c r="F95" s="469">
        <f>SUM(F17,F22)</f>
        <v>0</v>
      </c>
      <c r="G95" s="471" t="str">
        <f>IF(F95&gt;=1,VLOOKUP(E95,E$186:H$387,4,FALSE),"")</f>
        <v/>
      </c>
      <c r="H95" s="470" t="str">
        <f>IF(ISERROR(G95*F95),"",G95*F95)</f>
        <v/>
      </c>
      <c r="I95" s="118"/>
      <c r="J95" s="202"/>
      <c r="K95" s="202"/>
      <c r="L95" s="202"/>
    </row>
    <row r="96" spans="2:12">
      <c r="B96" s="164"/>
      <c r="C96" s="461"/>
      <c r="D96" s="462"/>
      <c r="E96" s="463"/>
      <c r="F96" s="463"/>
      <c r="G96" s="464"/>
      <c r="H96" s="454"/>
      <c r="I96" s="118"/>
      <c r="J96" s="202"/>
      <c r="K96" s="202"/>
      <c r="L96" s="202"/>
    </row>
    <row r="97" spans="2:12" ht="15">
      <c r="B97" s="164"/>
      <c r="C97" s="455" t="s">
        <v>639</v>
      </c>
      <c r="D97" s="456"/>
      <c r="E97" s="457"/>
      <c r="F97" s="458"/>
      <c r="G97" s="459"/>
      <c r="H97" s="460"/>
      <c r="I97" s="118"/>
      <c r="J97" s="202"/>
      <c r="K97" s="202"/>
      <c r="L97" s="202"/>
    </row>
    <row r="98" spans="2:12">
      <c r="B98" s="164"/>
      <c r="C98" s="23" t="str">
        <f>VLOOKUP($E98,$E$187:$H$387,3,FALSE)</f>
        <v>FA91240</v>
      </c>
      <c r="D98" s="56" t="str">
        <f>VLOOKUP($E98,$E$187:$H$387,2,FALSE)</f>
        <v>15140036</v>
      </c>
      <c r="E98" s="144" t="s">
        <v>595</v>
      </c>
      <c r="F98" s="145"/>
      <c r="G98" s="141" t="str">
        <f>IF(F98&gt;=1,VLOOKUP(E98,E$186:H$387,4,FALSE),"")</f>
        <v/>
      </c>
      <c r="H98" s="59" t="str">
        <f>IF(ISERROR(G98*F98),"",G98*F98)</f>
        <v/>
      </c>
      <c r="I98" s="118"/>
      <c r="J98" s="202"/>
      <c r="K98" s="202"/>
      <c r="L98" s="202"/>
    </row>
    <row r="99" spans="2:12">
      <c r="B99" s="164"/>
      <c r="C99" s="23" t="str">
        <f>VLOOKUP($E99,$E$187:$H$387,3,FALSE)</f>
        <v>FA91512</v>
      </c>
      <c r="D99" s="56" t="str">
        <f>VLOOKUP($E99,$E$187:$H$387,2,FALSE)</f>
        <v>16140005</v>
      </c>
      <c r="E99" s="238" t="str">
        <f>IFERROR(VLOOKUP(E98,E293:AD310,26,FALSE),"")</f>
        <v>Solvent 1512 Clr 10 X 500Ml</v>
      </c>
      <c r="F99" s="145"/>
      <c r="G99" s="141" t="str">
        <f>IF(F99&gt;=1,VLOOKUP(E99,E$186:H$387,4,FALSE),"")</f>
        <v/>
      </c>
      <c r="H99" s="59" t="str">
        <f>IF(ISERROR(G99*F99),"",G99*F99)</f>
        <v/>
      </c>
      <c r="I99" s="118"/>
      <c r="J99" s="202"/>
      <c r="K99" s="202"/>
      <c r="L99" s="202"/>
    </row>
    <row r="100" spans="2:12">
      <c r="B100" s="164"/>
      <c r="C100" s="461"/>
      <c r="D100" s="462"/>
      <c r="E100" s="463"/>
      <c r="F100" s="463"/>
      <c r="G100" s="464"/>
      <c r="H100" s="454"/>
      <c r="I100" s="118"/>
      <c r="J100" s="202"/>
      <c r="K100" s="202"/>
      <c r="L100" s="202"/>
    </row>
    <row r="101" spans="2:12" ht="15">
      <c r="B101"/>
      <c r="C101" s="455" t="s">
        <v>638</v>
      </c>
      <c r="D101" s="456"/>
      <c r="E101" s="457"/>
      <c r="F101" s="458"/>
      <c r="G101" s="459"/>
      <c r="H101" s="460"/>
      <c r="I101" s="118"/>
      <c r="J101" s="202"/>
      <c r="K101" s="202"/>
      <c r="L101" s="202"/>
    </row>
    <row r="102" spans="2:12" ht="13.5" thickBot="1">
      <c r="B102"/>
      <c r="C102" s="40">
        <f>VLOOKUP($E102,$E$187:$H$387,3,FALSE)</f>
        <v>0</v>
      </c>
      <c r="D102" s="10">
        <f>VLOOKUP($E102,$E$187:$H$387,2,FALSE)</f>
        <v>0</v>
      </c>
      <c r="E102" s="242" t="s">
        <v>559</v>
      </c>
      <c r="F102" s="150">
        <f>SUM(F17,F22)</f>
        <v>0</v>
      </c>
      <c r="G102" s="441" t="str">
        <f>IF(F102&gt;=1,VLOOKUP(E102,E$186:H$387,4,FALSE),"")</f>
        <v/>
      </c>
      <c r="H102" s="442" t="str">
        <f>IF(ISERROR(G102*F102),"",G102*F102)</f>
        <v/>
      </c>
      <c r="I102" s="118"/>
      <c r="J102" s="202"/>
      <c r="K102" s="202"/>
      <c r="L102" s="202"/>
    </row>
    <row r="103" spans="2:12" ht="13.5" thickBot="1">
      <c r="B103"/>
      <c r="C103" s="1"/>
      <c r="D103" s="1"/>
      <c r="E103"/>
      <c r="F103" s="2"/>
      <c r="G103" s="51" t="s">
        <v>42</v>
      </c>
      <c r="H103" s="246">
        <f>SUM(H95:H102)</f>
        <v>0</v>
      </c>
      <c r="I103" s="118"/>
    </row>
    <row r="104" spans="2:12" ht="13.5" thickBot="1">
      <c r="B104"/>
      <c r="C104" s="1"/>
      <c r="D104" s="1"/>
      <c r="E104"/>
      <c r="F104" s="2"/>
      <c r="G104" s="229"/>
      <c r="H104" s="230"/>
      <c r="I104" s="118"/>
    </row>
    <row r="105" spans="2:12" ht="16.5" thickBot="1">
      <c r="B105"/>
      <c r="C105" s="80" t="s">
        <v>141</v>
      </c>
      <c r="D105" s="81"/>
      <c r="E105" s="107"/>
      <c r="F105" s="83"/>
      <c r="G105" s="82"/>
      <c r="H105" s="84"/>
      <c r="I105" s="118"/>
    </row>
    <row r="106" spans="2:12" ht="4.5" customHeight="1" thickBot="1">
      <c r="B106"/>
      <c r="C106"/>
      <c r="D106"/>
      <c r="E106"/>
      <c r="F106"/>
      <c r="G106"/>
      <c r="H106"/>
      <c r="I106" s="118"/>
      <c r="K106" s="202"/>
      <c r="L106" s="202"/>
    </row>
    <row r="107" spans="2:12">
      <c r="B107"/>
      <c r="C107" s="231"/>
      <c r="D107" s="232"/>
      <c r="E107" s="233"/>
      <c r="F107" s="234">
        <v>1</v>
      </c>
      <c r="G107" s="235"/>
      <c r="H107" s="32">
        <f t="shared" ref="H107:H114" si="21">IF(ISERROR(G107*F107),"",G107*F107)</f>
        <v>0</v>
      </c>
      <c r="I107" s="118"/>
    </row>
    <row r="108" spans="2:12">
      <c r="B108"/>
      <c r="C108" s="260"/>
      <c r="D108" s="261"/>
      <c r="E108" s="262"/>
      <c r="F108" s="263">
        <v>1</v>
      </c>
      <c r="G108" s="264"/>
      <c r="H108" s="59">
        <f t="shared" si="21"/>
        <v>0</v>
      </c>
      <c r="I108" s="118"/>
    </row>
    <row r="109" spans="2:12">
      <c r="B109"/>
      <c r="C109" s="260"/>
      <c r="D109" s="261"/>
      <c r="E109" s="262"/>
      <c r="F109" s="263">
        <v>1</v>
      </c>
      <c r="G109" s="264"/>
      <c r="H109" s="59">
        <f t="shared" si="21"/>
        <v>0</v>
      </c>
      <c r="I109" s="118"/>
    </row>
    <row r="110" spans="2:12">
      <c r="B110"/>
      <c r="C110" s="260"/>
      <c r="D110" s="261"/>
      <c r="E110" s="262"/>
      <c r="F110" s="263">
        <v>1</v>
      </c>
      <c r="G110" s="264"/>
      <c r="H110" s="59">
        <f t="shared" si="21"/>
        <v>0</v>
      </c>
      <c r="I110" s="118"/>
    </row>
    <row r="111" spans="2:12">
      <c r="B111"/>
      <c r="C111" s="260"/>
      <c r="D111" s="261"/>
      <c r="E111" s="262"/>
      <c r="F111" s="263">
        <v>1</v>
      </c>
      <c r="G111" s="264"/>
      <c r="H111" s="59">
        <f t="shared" si="21"/>
        <v>0</v>
      </c>
      <c r="I111" s="118"/>
    </row>
    <row r="112" spans="2:12">
      <c r="B112"/>
      <c r="C112" s="260"/>
      <c r="D112" s="261"/>
      <c r="E112" s="262"/>
      <c r="F112" s="263">
        <v>1</v>
      </c>
      <c r="G112" s="264"/>
      <c r="H112" s="59">
        <f t="shared" si="21"/>
        <v>0</v>
      </c>
      <c r="I112" s="118"/>
    </row>
    <row r="113" spans="2:9">
      <c r="B113"/>
      <c r="C113" s="236"/>
      <c r="D113" s="237"/>
      <c r="E113" s="238"/>
      <c r="F113" s="145">
        <v>1</v>
      </c>
      <c r="G113" s="239"/>
      <c r="H113" s="59">
        <f t="shared" si="21"/>
        <v>0</v>
      </c>
      <c r="I113" s="118"/>
    </row>
    <row r="114" spans="2:9" ht="13.5" thickBot="1">
      <c r="B114"/>
      <c r="C114" s="240"/>
      <c r="D114" s="241"/>
      <c r="E114" s="242"/>
      <c r="F114" s="150">
        <v>1</v>
      </c>
      <c r="G114" s="243"/>
      <c r="H114" s="12">
        <f t="shared" si="21"/>
        <v>0</v>
      </c>
      <c r="I114" s="118"/>
    </row>
    <row r="115" spans="2:9" ht="13.5" thickBot="1">
      <c r="B115"/>
      <c r="C115" s="434" t="s">
        <v>144</v>
      </c>
      <c r="D115" s="435">
        <f>ROUND(SUM(H17:H26),0)</f>
        <v>0</v>
      </c>
      <c r="E115"/>
      <c r="F115" s="2"/>
      <c r="G115" s="51" t="s">
        <v>42</v>
      </c>
      <c r="H115" s="246">
        <f>SUM(H107:H114)</f>
        <v>0</v>
      </c>
      <c r="I115" s="118"/>
    </row>
    <row r="116" spans="2:9" ht="13.5" thickBot="1">
      <c r="B116"/>
      <c r="C116" s="434" t="s">
        <v>584</v>
      </c>
      <c r="D116" s="435">
        <f>ROUND(SUM(H115,H103,H90,H78,H64,H45),0)</f>
        <v>1649</v>
      </c>
      <c r="E116"/>
      <c r="F116" s="2"/>
      <c r="G116" s="229"/>
      <c r="H116" s="230"/>
      <c r="I116" s="118"/>
    </row>
    <row r="117" spans="2:9" ht="13.5" hidden="1" thickBot="1">
      <c r="B117"/>
      <c r="C117" s="436"/>
      <c r="D117" s="437"/>
      <c r="E117" s="189" t="s">
        <v>102</v>
      </c>
      <c r="F117" s="2"/>
      <c r="G117" s="71" t="s">
        <v>101</v>
      </c>
      <c r="H117" s="188">
        <f>'Install Guide'!H25</f>
        <v>0</v>
      </c>
      <c r="I117" s="118"/>
    </row>
    <row r="118" spans="2:9" ht="13.5" hidden="1" thickBot="1">
      <c r="B118"/>
      <c r="C118" s="434"/>
      <c r="D118" s="437"/>
      <c r="E118"/>
      <c r="F118" s="2"/>
      <c r="G118" s="38"/>
      <c r="H118" s="39"/>
      <c r="I118" s="118"/>
    </row>
    <row r="119" spans="2:9" ht="13.5" thickBot="1">
      <c r="B119"/>
      <c r="C119" s="434" t="s">
        <v>585</v>
      </c>
      <c r="D119" s="435">
        <f>ROUND(H140-D116,0)</f>
        <v>-1649</v>
      </c>
      <c r="E119"/>
      <c r="F119" s="2"/>
      <c r="G119" s="71" t="s">
        <v>41</v>
      </c>
      <c r="H119" s="245">
        <f>ROUND(SUM(H78,H90,H103,H117,H27,H115,H45,H64),0)</f>
        <v>1649</v>
      </c>
      <c r="I119" s="118"/>
    </row>
    <row r="120" spans="2:9" ht="13.5" thickBot="1">
      <c r="B120"/>
      <c r="C120" s="434" t="s">
        <v>586</v>
      </c>
      <c r="D120" s="440" t="e">
        <f>ROUND((D119/D115)-1,4)</f>
        <v>#DIV/0!</v>
      </c>
      <c r="E120" s="111"/>
      <c r="F120" s="2"/>
      <c r="G120" s="2"/>
      <c r="H120" s="2"/>
      <c r="I120" s="119"/>
    </row>
    <row r="121" spans="2:9" ht="16.5" thickBot="1">
      <c r="B121"/>
      <c r="C121" s="434" t="s">
        <v>586</v>
      </c>
      <c r="D121" s="438" t="str">
        <f>IF(C128="Y","",IF(H121&gt;10%,"Warning this is above the maximum allowable discount for a 4900!",""))</f>
        <v/>
      </c>
      <c r="E121" s="111"/>
      <c r="F121" s="2"/>
      <c r="G121" s="151" t="s">
        <v>73</v>
      </c>
      <c r="H121" s="439"/>
      <c r="I121" s="119"/>
    </row>
    <row r="122" spans="2:9" ht="16.5" thickBot="1">
      <c r="B122"/>
      <c r="C122" s="417"/>
      <c r="D122" s="417"/>
      <c r="E122" s="143" t="str">
        <f>IF(AND(C128="Y",H121&gt;10%),"Special Discount Approved by Sales Manager",IF(H121&gt;10%,"Pending Approval",""))</f>
        <v/>
      </c>
      <c r="F122"/>
      <c r="G122"/>
      <c r="H122"/>
      <c r="I122" s="119"/>
    </row>
    <row r="123" spans="2:9" ht="13.5" thickBot="1">
      <c r="B123"/>
      <c r="C123" s="417"/>
      <c r="D123" s="417"/>
      <c r="E123"/>
      <c r="F123"/>
      <c r="G123" s="102" t="s">
        <v>41</v>
      </c>
      <c r="H123" s="245">
        <f>ROUND((H27*(1-H121))+SUM(H103,H90,H78,H115,H45,H64),0)</f>
        <v>1649</v>
      </c>
      <c r="I123" s="119"/>
    </row>
    <row r="124" spans="2:9" ht="13.5" thickBot="1">
      <c r="B124"/>
      <c r="C124" s="1"/>
      <c r="D124" s="1"/>
      <c r="E124"/>
      <c r="F124" s="2"/>
      <c r="G124"/>
      <c r="H124"/>
      <c r="I124" s="118"/>
    </row>
    <row r="125" spans="2:9" ht="16.5" hidden="1" thickBot="1">
      <c r="B125"/>
      <c r="C125" s="80" t="s">
        <v>10</v>
      </c>
      <c r="D125" s="81"/>
      <c r="E125" s="82"/>
      <c r="F125" s="83"/>
      <c r="G125" s="82"/>
      <c r="H125" s="84"/>
      <c r="I125" s="118"/>
    </row>
    <row r="126" spans="2:9" ht="6" hidden="1" customHeight="1" thickBot="1">
      <c r="B126" s="1"/>
      <c r="C126" s="1"/>
      <c r="D126" s="1"/>
      <c r="E126" s="1"/>
      <c r="F126" s="1"/>
      <c r="G126" s="1"/>
      <c r="H126" s="1"/>
      <c r="I126" s="1"/>
    </row>
    <row r="127" spans="2:9" ht="103.5" hidden="1" customHeight="1" thickBot="1">
      <c r="B127"/>
      <c r="C127" s="1641" t="s">
        <v>64</v>
      </c>
      <c r="D127" s="1642"/>
      <c r="E127" s="1642"/>
      <c r="F127" s="1642"/>
      <c r="G127" s="1642"/>
      <c r="H127" s="1643"/>
      <c r="I127" s="118"/>
    </row>
    <row r="128" spans="2:9" hidden="1">
      <c r="B128"/>
      <c r="C128" s="417"/>
      <c r="D128" s="417"/>
      <c r="E128" s="205"/>
      <c r="F128" s="2"/>
      <c r="G128"/>
      <c r="H128"/>
      <c r="I128" s="118"/>
    </row>
    <row r="129" spans="2:9" ht="13.5" hidden="1" thickBot="1">
      <c r="B129"/>
      <c r="C129" s="109"/>
      <c r="D129" s="109"/>
      <c r="E129" s="120"/>
      <c r="F129" s="120"/>
      <c r="G129" s="120"/>
      <c r="H129" s="120"/>
      <c r="I129" s="118"/>
    </row>
    <row r="130" spans="2:9" ht="16.5" thickBot="1">
      <c r="B130"/>
      <c r="C130" s="80" t="s">
        <v>117</v>
      </c>
      <c r="D130" s="81"/>
      <c r="E130" s="82"/>
      <c r="F130" s="83"/>
      <c r="G130" s="82"/>
      <c r="H130" s="84"/>
      <c r="I130" s="118"/>
    </row>
    <row r="131" spans="2:9" ht="7.5" customHeight="1" thickBot="1">
      <c r="B131"/>
      <c r="C131" s="109"/>
      <c r="D131" s="109"/>
      <c r="E131" s="120"/>
      <c r="F131" s="120"/>
      <c r="G131" s="120"/>
      <c r="H131" s="120"/>
      <c r="I131" s="118"/>
    </row>
    <row r="132" spans="2:9" ht="13.5" customHeight="1">
      <c r="B132"/>
      <c r="C132" s="1644" t="s">
        <v>119</v>
      </c>
      <c r="D132" s="1645"/>
      <c r="E132" s="1645"/>
      <c r="F132" s="1645"/>
      <c r="G132" s="1645"/>
      <c r="H132" s="1646"/>
      <c r="I132" s="118"/>
    </row>
    <row r="133" spans="2:9" ht="12.75" customHeight="1">
      <c r="B133"/>
      <c r="C133" s="1648" t="s">
        <v>64</v>
      </c>
      <c r="D133" s="1649"/>
      <c r="E133" s="1649"/>
      <c r="F133" s="1649"/>
      <c r="G133" s="1649"/>
      <c r="H133" s="1650"/>
      <c r="I133" s="118"/>
    </row>
    <row r="134" spans="2:9">
      <c r="B134"/>
      <c r="C134" s="1651"/>
      <c r="D134" s="1652"/>
      <c r="E134" s="1652"/>
      <c r="F134" s="1652"/>
      <c r="G134" s="1652"/>
      <c r="H134" s="1653"/>
      <c r="I134" s="118"/>
    </row>
    <row r="135" spans="2:9" ht="12.75" customHeight="1">
      <c r="B135"/>
      <c r="C135" s="1651"/>
      <c r="D135" s="1652"/>
      <c r="E135" s="1652"/>
      <c r="F135" s="1652"/>
      <c r="G135" s="1652"/>
      <c r="H135" s="1653"/>
      <c r="I135" s="118"/>
    </row>
    <row r="136" spans="2:9">
      <c r="B136"/>
      <c r="C136" s="1651"/>
      <c r="D136" s="1652"/>
      <c r="E136" s="1652"/>
      <c r="F136" s="1652"/>
      <c r="G136" s="1652"/>
      <c r="H136" s="1653"/>
      <c r="I136" s="118"/>
    </row>
    <row r="137" spans="2:9">
      <c r="B137"/>
      <c r="C137" s="1651"/>
      <c r="D137" s="1652"/>
      <c r="E137" s="1652"/>
      <c r="F137" s="1652"/>
      <c r="G137" s="1652"/>
      <c r="H137" s="1653"/>
      <c r="I137" s="118"/>
    </row>
    <row r="138" spans="2:9" ht="13.5" thickBot="1">
      <c r="B138"/>
      <c r="C138" s="1654"/>
      <c r="D138" s="1655"/>
      <c r="E138" s="1655"/>
      <c r="F138" s="1655"/>
      <c r="G138" s="1655"/>
      <c r="H138" s="1656"/>
      <c r="I138" s="118"/>
    </row>
    <row r="139" spans="2:9" ht="13.5" thickBot="1">
      <c r="B139"/>
      <c r="C139" s="222"/>
      <c r="D139" s="265"/>
      <c r="E139" s="222"/>
      <c r="F139" s="120"/>
      <c r="G139" s="120"/>
      <c r="H139" s="120"/>
      <c r="I139" s="118"/>
    </row>
    <row r="140" spans="2:9" ht="13.5" thickBot="1">
      <c r="B140"/>
      <c r="C140" s="349" t="s">
        <v>144</v>
      </c>
      <c r="D140" s="266" t="str">
        <f>IF(H140="","",IF(H140=0,"",ROUND(D120,4)))</f>
        <v/>
      </c>
      <c r="E140" s="267" t="e">
        <f>((H140-SUM(H115,H103,H90,H78,H26,#REF!,#REF!,#REF!,H24,H23,H22,H18))/(SUM(C128:D128)))-1</f>
        <v>#REF!</v>
      </c>
      <c r="F140" s="343"/>
      <c r="G140" s="223" t="s">
        <v>118</v>
      </c>
      <c r="H140" s="326"/>
      <c r="I140" s="118"/>
    </row>
    <row r="141" spans="2:9">
      <c r="B141"/>
      <c r="C141" s="349" t="s">
        <v>74</v>
      </c>
      <c r="D141" s="266" t="str">
        <f>IF(H140="","",IF(H140=0,"",ROUND(E141,4)))</f>
        <v/>
      </c>
      <c r="E141" s="267">
        <f>(H140/H119)-1</f>
        <v>-1</v>
      </c>
      <c r="F141" s="343"/>
      <c r="G141" s="120"/>
      <c r="H141" s="120"/>
      <c r="I141" s="118"/>
    </row>
    <row r="142" spans="2:9">
      <c r="B142"/>
      <c r="C142" s="350" t="str">
        <f>IFERROR(((IF(H140="","", IF(D140&gt;0%,"Extra Charged", IF(ABS(D140)&lt;=D10,"Tier 1",IF(ABS(D140)&lt;=D9,"Tier 2","No qualification")))))),"No Price Entered")</f>
        <v/>
      </c>
      <c r="D142" s="418" t="str">
        <f>IF(C142="Extra Charged", H140-H119, "")</f>
        <v/>
      </c>
      <c r="E142" s="444"/>
      <c r="F142" s="120"/>
      <c r="G142" s="120"/>
      <c r="H142" s="120"/>
      <c r="I142" s="118"/>
    </row>
    <row r="143" spans="2:9">
      <c r="B143"/>
      <c r="C143" s="445"/>
      <c r="D143" s="445"/>
      <c r="E143" s="446"/>
      <c r="F143" s="120"/>
      <c r="G143" s="120"/>
      <c r="H143" s="121"/>
      <c r="I143" s="118"/>
    </row>
    <row r="144" spans="2:9">
      <c r="B144"/>
      <c r="C144" s="1"/>
      <c r="D144" s="1"/>
      <c r="E144"/>
      <c r="F144" s="2"/>
      <c r="G144"/>
      <c r="H144"/>
      <c r="I144" s="118"/>
    </row>
    <row r="145" spans="3:6">
      <c r="C145" s="112"/>
      <c r="D145" s="112"/>
      <c r="F145" s="112"/>
    </row>
    <row r="146" spans="3:6" hidden="1">
      <c r="C146" s="112"/>
      <c r="D146" s="112"/>
      <c r="F146" s="112"/>
    </row>
    <row r="147" spans="3:6" hidden="1">
      <c r="C147" s="112"/>
      <c r="D147" s="112"/>
      <c r="F147" s="112"/>
    </row>
    <row r="148" spans="3:6" hidden="1">
      <c r="C148" s="112"/>
      <c r="D148" s="112"/>
      <c r="F148" s="112"/>
    </row>
    <row r="149" spans="3:6" hidden="1">
      <c r="C149" s="112"/>
      <c r="D149" s="112"/>
      <c r="F149" s="112"/>
    </row>
    <row r="150" spans="3:6" hidden="1">
      <c r="C150" s="112"/>
      <c r="D150" s="112"/>
      <c r="F150" s="112"/>
    </row>
    <row r="151" spans="3:6" hidden="1">
      <c r="C151" s="112"/>
      <c r="D151" s="112"/>
      <c r="F151" s="112"/>
    </row>
    <row r="152" spans="3:6" hidden="1">
      <c r="C152" s="112"/>
      <c r="D152" s="112"/>
      <c r="F152" s="112"/>
    </row>
    <row r="153" spans="3:6" hidden="1">
      <c r="C153" s="112"/>
      <c r="D153" s="112"/>
      <c r="F153" s="112"/>
    </row>
    <row r="154" spans="3:6" hidden="1">
      <c r="C154" s="112"/>
      <c r="D154" s="112"/>
      <c r="F154" s="112"/>
    </row>
    <row r="155" spans="3:6" hidden="1">
      <c r="C155" s="112"/>
      <c r="D155" s="112"/>
      <c r="F155" s="112"/>
    </row>
    <row r="156" spans="3:6" hidden="1">
      <c r="C156" s="112"/>
      <c r="D156" s="112"/>
      <c r="F156" s="112"/>
    </row>
    <row r="157" spans="3:6" hidden="1">
      <c r="C157" s="112"/>
      <c r="D157" s="112"/>
      <c r="F157" s="112"/>
    </row>
    <row r="158" spans="3:6" hidden="1">
      <c r="C158" s="112"/>
      <c r="D158" s="112"/>
      <c r="F158" s="112"/>
    </row>
    <row r="159" spans="3:6" hidden="1">
      <c r="C159" s="112"/>
      <c r="D159" s="112"/>
      <c r="F159" s="112"/>
    </row>
    <row r="160" spans="3:6" hidden="1">
      <c r="C160" s="112"/>
      <c r="D160" s="112"/>
      <c r="F160" s="112"/>
    </row>
    <row r="161" spans="3:6" hidden="1">
      <c r="C161" s="112"/>
      <c r="D161" s="112"/>
      <c r="F161" s="112"/>
    </row>
    <row r="162" spans="3:6" hidden="1">
      <c r="C162" s="112"/>
      <c r="D162" s="112"/>
      <c r="F162" s="112"/>
    </row>
    <row r="163" spans="3:6" hidden="1">
      <c r="C163" s="112"/>
      <c r="D163" s="112"/>
      <c r="F163" s="112"/>
    </row>
    <row r="164" spans="3:6" hidden="1">
      <c r="C164" s="112"/>
      <c r="D164" s="112"/>
      <c r="F164" s="112"/>
    </row>
    <row r="165" spans="3:6" hidden="1">
      <c r="C165" s="112"/>
      <c r="D165" s="112"/>
      <c r="F165" s="112"/>
    </row>
    <row r="166" spans="3:6" hidden="1">
      <c r="C166" s="112"/>
      <c r="D166" s="112"/>
      <c r="F166" s="112"/>
    </row>
    <row r="167" spans="3:6" hidden="1">
      <c r="C167" s="112"/>
      <c r="D167" s="112"/>
      <c r="F167" s="112"/>
    </row>
    <row r="168" spans="3:6" hidden="1">
      <c r="C168" s="112"/>
      <c r="D168" s="112"/>
      <c r="F168" s="112"/>
    </row>
    <row r="169" spans="3:6" hidden="1">
      <c r="C169" s="112"/>
      <c r="D169" s="112"/>
      <c r="F169" s="112"/>
    </row>
    <row r="170" spans="3:6" hidden="1">
      <c r="C170" s="112"/>
      <c r="D170" s="112"/>
      <c r="F170" s="112"/>
    </row>
    <row r="171" spans="3:6" hidden="1">
      <c r="C171" s="112"/>
      <c r="D171" s="112"/>
      <c r="F171" s="112"/>
    </row>
    <row r="172" spans="3:6" hidden="1">
      <c r="C172" s="112"/>
      <c r="D172" s="112"/>
      <c r="F172" s="112"/>
    </row>
    <row r="173" spans="3:6" hidden="1">
      <c r="C173" s="112"/>
      <c r="D173" s="112"/>
      <c r="F173" s="112"/>
    </row>
    <row r="174" spans="3:6" hidden="1">
      <c r="C174" s="112"/>
      <c r="D174" s="112"/>
      <c r="F174" s="112"/>
    </row>
    <row r="175" spans="3:6" hidden="1">
      <c r="C175" s="112"/>
      <c r="D175" s="112"/>
      <c r="F175" s="112"/>
    </row>
    <row r="176" spans="3:6" hidden="1">
      <c r="C176" s="112"/>
      <c r="D176" s="112"/>
      <c r="F176" s="112"/>
    </row>
    <row r="177" spans="2:11" hidden="1">
      <c r="C177" s="112"/>
      <c r="D177" s="112"/>
      <c r="F177" s="112"/>
    </row>
    <row r="178" spans="2:11" hidden="1">
      <c r="C178" s="112"/>
      <c r="D178" s="112"/>
      <c r="F178" s="112"/>
    </row>
    <row r="179" spans="2:11" hidden="1">
      <c r="C179" s="112"/>
      <c r="D179" s="112"/>
      <c r="F179" s="112"/>
    </row>
    <row r="180" spans="2:11" hidden="1">
      <c r="C180" s="112"/>
      <c r="D180" s="112"/>
      <c r="F180" s="112"/>
    </row>
    <row r="181" spans="2:11" hidden="1">
      <c r="C181" s="112"/>
      <c r="D181" s="112"/>
      <c r="F181" s="112"/>
    </row>
    <row r="182" spans="2:11" ht="13.5" hidden="1" customHeight="1">
      <c r="C182" s="112"/>
      <c r="D182" s="112"/>
      <c r="F182" s="112"/>
    </row>
    <row r="183" spans="2:11" ht="13.5" hidden="1" thickBot="1">
      <c r="C183" s="112"/>
      <c r="D183" s="112"/>
      <c r="F183" s="112"/>
    </row>
    <row r="184" spans="2:11" hidden="1">
      <c r="B184" s="122"/>
      <c r="C184" s="123"/>
      <c r="D184" s="123"/>
      <c r="E184" s="124"/>
      <c r="F184" s="125"/>
      <c r="G184" s="124"/>
      <c r="H184" s="124"/>
      <c r="I184" s="126"/>
    </row>
    <row r="185" spans="2:11" hidden="1">
      <c r="B185" s="203"/>
      <c r="C185" s="128" t="s">
        <v>13</v>
      </c>
      <c r="D185" s="128"/>
      <c r="E185" s="129" t="s">
        <v>0</v>
      </c>
      <c r="F185" s="129" t="s">
        <v>9</v>
      </c>
      <c r="G185" s="130" t="s">
        <v>34</v>
      </c>
      <c r="H185" s="130" t="s">
        <v>35</v>
      </c>
      <c r="I185" s="131"/>
    </row>
    <row r="186" spans="2:11" hidden="1">
      <c r="B186" s="203"/>
      <c r="C186" s="132" t="s">
        <v>43</v>
      </c>
      <c r="D186" s="132"/>
      <c r="E186" s="133"/>
      <c r="F186" s="134"/>
      <c r="G186" s="135"/>
      <c r="H186" s="135"/>
      <c r="I186" s="131"/>
    </row>
    <row r="187" spans="2:11" hidden="1">
      <c r="B187" s="203"/>
      <c r="C187" s="133"/>
      <c r="D187" s="115"/>
      <c r="E187" s="196" t="s">
        <v>550</v>
      </c>
      <c r="F187" s="3"/>
      <c r="G187" s="3"/>
      <c r="H187" s="402">
        <f>10718.7+180</f>
        <v>10898.7</v>
      </c>
      <c r="I187" s="131"/>
      <c r="K187" s="256">
        <v>4900</v>
      </c>
    </row>
    <row r="188" spans="2:11" hidden="1">
      <c r="B188" s="203"/>
      <c r="C188" s="133"/>
      <c r="D188" s="115"/>
      <c r="E188" s="196" t="s">
        <v>549</v>
      </c>
      <c r="F188" s="3"/>
      <c r="G188" s="3"/>
      <c r="H188" s="402">
        <f>11836.67+180</f>
        <v>12016.67</v>
      </c>
      <c r="I188" s="131"/>
      <c r="K188" s="256">
        <v>4900</v>
      </c>
    </row>
    <row r="189" spans="2:11" hidden="1">
      <c r="B189" s="203"/>
      <c r="C189" s="133"/>
      <c r="D189" s="115"/>
      <c r="E189" s="196" t="s">
        <v>551</v>
      </c>
      <c r="F189" s="3"/>
      <c r="G189" s="3"/>
      <c r="H189" s="402">
        <f>10718.7+180</f>
        <v>10898.7</v>
      </c>
      <c r="I189" s="513"/>
      <c r="K189" s="256" t="s">
        <v>391</v>
      </c>
    </row>
    <row r="190" spans="2:11" hidden="1">
      <c r="B190" s="203"/>
      <c r="C190" s="133"/>
      <c r="D190" s="115"/>
      <c r="E190" s="196" t="s">
        <v>552</v>
      </c>
      <c r="F190" s="3"/>
      <c r="G190" s="3"/>
      <c r="H190" s="182"/>
      <c r="I190" s="513"/>
      <c r="K190" s="256" t="s">
        <v>646</v>
      </c>
    </row>
    <row r="191" spans="2:11" hidden="1">
      <c r="B191" s="203"/>
      <c r="C191" s="133"/>
      <c r="D191" s="133"/>
      <c r="E191" s="133"/>
      <c r="F191" s="133"/>
      <c r="G191" s="133"/>
      <c r="H191" s="133"/>
      <c r="I191" s="131"/>
      <c r="K191" s="256"/>
    </row>
    <row r="192" spans="2:11" hidden="1">
      <c r="B192" s="203"/>
      <c r="C192" s="133"/>
      <c r="D192" s="115"/>
      <c r="E192" s="196" t="s">
        <v>587</v>
      </c>
      <c r="F192" s="3"/>
      <c r="G192" s="3"/>
      <c r="H192" s="182"/>
      <c r="I192" s="131"/>
      <c r="K192" s="256">
        <v>7900</v>
      </c>
    </row>
    <row r="193" spans="2:15" hidden="1">
      <c r="B193" s="203"/>
      <c r="C193" s="133"/>
      <c r="D193" s="115"/>
      <c r="E193" s="196" t="s">
        <v>392</v>
      </c>
      <c r="F193" s="197"/>
      <c r="G193" s="197"/>
      <c r="H193" s="331"/>
      <c r="I193" s="131"/>
      <c r="K193" s="256">
        <v>7900</v>
      </c>
    </row>
    <row r="194" spans="2:15" hidden="1">
      <c r="B194" s="203"/>
      <c r="C194" s="133"/>
      <c r="D194" s="115"/>
      <c r="E194" s="196" t="s">
        <v>316</v>
      </c>
      <c r="F194" s="197"/>
      <c r="G194" s="197"/>
      <c r="H194" s="331"/>
      <c r="I194" s="513"/>
      <c r="K194" s="256" t="s">
        <v>316</v>
      </c>
    </row>
    <row r="195" spans="2:15" hidden="1">
      <c r="B195" s="203"/>
      <c r="C195" s="133"/>
      <c r="D195" s="115"/>
      <c r="E195" s="196" t="s">
        <v>318</v>
      </c>
      <c r="F195" s="197"/>
      <c r="G195" s="197"/>
      <c r="H195" s="331"/>
      <c r="I195" s="513"/>
      <c r="K195" s="256" t="s">
        <v>318</v>
      </c>
    </row>
    <row r="196" spans="2:15" hidden="1">
      <c r="B196" s="203"/>
      <c r="C196" s="133"/>
      <c r="D196" s="115"/>
      <c r="E196" s="196" t="s">
        <v>319</v>
      </c>
      <c r="F196" s="197"/>
      <c r="G196" s="197"/>
      <c r="H196" s="331"/>
      <c r="I196" s="513"/>
      <c r="K196" s="256" t="s">
        <v>319</v>
      </c>
    </row>
    <row r="197" spans="2:15" hidden="1">
      <c r="B197" s="203"/>
      <c r="C197" s="133"/>
      <c r="D197" s="115"/>
      <c r="E197" s="196" t="s">
        <v>320</v>
      </c>
      <c r="F197" s="197"/>
      <c r="G197" s="197"/>
      <c r="H197" s="331"/>
      <c r="I197" s="513"/>
      <c r="K197" s="256" t="s">
        <v>320</v>
      </c>
    </row>
    <row r="198" spans="2:15" hidden="1">
      <c r="B198" s="203"/>
      <c r="C198" s="133"/>
      <c r="D198" s="115"/>
      <c r="E198" s="196"/>
      <c r="F198" s="197"/>
      <c r="G198" s="197"/>
      <c r="H198" s="331"/>
      <c r="I198" s="131"/>
    </row>
    <row r="199" spans="2:15" hidden="1">
      <c r="B199" s="203"/>
      <c r="C199" s="115"/>
      <c r="D199" s="115"/>
      <c r="E199" s="109"/>
      <c r="F199" s="199"/>
      <c r="G199" s="199"/>
      <c r="H199" s="332"/>
      <c r="I199" s="131"/>
    </row>
    <row r="200" spans="2:15" ht="13.5" hidden="1" thickBot="1">
      <c r="B200" s="203"/>
      <c r="C200" s="132" t="s">
        <v>24</v>
      </c>
      <c r="D200" s="115"/>
      <c r="E200" s="204"/>
      <c r="F200" s="199"/>
      <c r="G200" s="199"/>
      <c r="H200" s="332"/>
      <c r="I200" s="131"/>
    </row>
    <row r="201" spans="2:15" hidden="1">
      <c r="B201" s="203"/>
      <c r="C201" s="204"/>
      <c r="D201" s="204">
        <v>4900</v>
      </c>
      <c r="E201" s="363" t="s">
        <v>344</v>
      </c>
      <c r="F201" s="253"/>
      <c r="G201" s="197"/>
      <c r="H201" s="403">
        <v>134.75</v>
      </c>
      <c r="I201" s="131"/>
      <c r="K201" s="375">
        <v>7900</v>
      </c>
      <c r="L201" s="375">
        <v>4900</v>
      </c>
      <c r="M201" s="375"/>
      <c r="N201" s="511"/>
      <c r="O201" s="511"/>
    </row>
    <row r="202" spans="2:15" hidden="1">
      <c r="B202" s="203"/>
      <c r="C202" s="204"/>
      <c r="D202" s="204">
        <v>4900</v>
      </c>
      <c r="E202" s="99" t="s">
        <v>345</v>
      </c>
      <c r="F202" s="253"/>
      <c r="G202" s="197"/>
      <c r="H202" s="403">
        <v>284.45999999999998</v>
      </c>
      <c r="I202" s="131"/>
      <c r="K202" s="375">
        <v>7900</v>
      </c>
      <c r="L202" s="375">
        <v>4900</v>
      </c>
      <c r="M202" s="375"/>
      <c r="N202" s="511"/>
      <c r="O202" s="511"/>
    </row>
    <row r="203" spans="2:15" hidden="1">
      <c r="B203" s="203"/>
      <c r="C203" s="204"/>
      <c r="D203" s="204">
        <v>4900</v>
      </c>
      <c r="E203" s="99" t="s">
        <v>346</v>
      </c>
      <c r="F203" s="253"/>
      <c r="G203" s="197"/>
      <c r="H203" s="403">
        <v>284.45999999999998</v>
      </c>
      <c r="I203" s="131"/>
      <c r="K203" s="375">
        <v>7900</v>
      </c>
      <c r="L203" s="375">
        <v>4900</v>
      </c>
      <c r="M203" s="375"/>
      <c r="N203" s="511"/>
      <c r="O203" s="511"/>
    </row>
    <row r="204" spans="2:15" ht="13.5" hidden="1" thickBot="1">
      <c r="B204" s="203"/>
      <c r="C204" s="204"/>
      <c r="D204" s="204">
        <v>4900</v>
      </c>
      <c r="E204" s="362" t="s">
        <v>347</v>
      </c>
      <c r="F204" s="365"/>
      <c r="G204" s="366"/>
      <c r="H204" s="404">
        <v>419.21</v>
      </c>
      <c r="I204" s="131"/>
      <c r="K204" s="375">
        <v>7900</v>
      </c>
      <c r="L204" s="375">
        <v>4900</v>
      </c>
      <c r="M204" s="375"/>
      <c r="N204" s="511"/>
      <c r="O204" s="511"/>
    </row>
    <row r="205" spans="2:15" hidden="1">
      <c r="B205" s="203"/>
      <c r="C205" s="204"/>
      <c r="D205" s="204">
        <v>4900</v>
      </c>
      <c r="E205" s="363" t="s">
        <v>348</v>
      </c>
      <c r="F205" s="253"/>
      <c r="G205" s="197"/>
      <c r="H205" s="403">
        <v>134.75</v>
      </c>
      <c r="I205" s="131"/>
      <c r="K205" s="375">
        <v>7900</v>
      </c>
      <c r="L205" s="375">
        <v>4900</v>
      </c>
      <c r="M205" s="375"/>
      <c r="N205" s="511"/>
      <c r="O205" s="511"/>
    </row>
    <row r="206" spans="2:15" hidden="1">
      <c r="B206" s="203"/>
      <c r="C206" s="204"/>
      <c r="D206" s="204">
        <v>4900</v>
      </c>
      <c r="E206" s="99" t="s">
        <v>349</v>
      </c>
      <c r="F206" s="253"/>
      <c r="G206" s="197"/>
      <c r="H206" s="403">
        <v>284.45999999999998</v>
      </c>
      <c r="I206" s="131"/>
      <c r="K206" s="375">
        <v>7900</v>
      </c>
      <c r="L206" s="375">
        <v>4900</v>
      </c>
      <c r="M206" s="375"/>
      <c r="N206" s="511"/>
      <c r="O206" s="511"/>
    </row>
    <row r="207" spans="2:15" hidden="1">
      <c r="B207" s="203"/>
      <c r="C207" s="204"/>
      <c r="D207" s="204">
        <v>4900</v>
      </c>
      <c r="E207" s="99" t="s">
        <v>350</v>
      </c>
      <c r="F207" s="253"/>
      <c r="G207" s="197"/>
      <c r="H207" s="403">
        <v>284.45999999999998</v>
      </c>
      <c r="I207" s="131"/>
      <c r="K207" s="375">
        <v>7900</v>
      </c>
      <c r="L207" s="375">
        <v>4900</v>
      </c>
      <c r="M207" s="375"/>
      <c r="N207" s="511"/>
      <c r="O207" s="511"/>
    </row>
    <row r="208" spans="2:15" ht="13.5" hidden="1" thickBot="1">
      <c r="B208" s="203"/>
      <c r="C208" s="204"/>
      <c r="D208" s="204">
        <v>4900</v>
      </c>
      <c r="E208" s="362" t="s">
        <v>351</v>
      </c>
      <c r="F208" s="365"/>
      <c r="G208" s="366"/>
      <c r="H208" s="404">
        <v>419.21</v>
      </c>
      <c r="I208" s="131"/>
      <c r="K208" s="375">
        <v>7900</v>
      </c>
      <c r="L208" s="375">
        <v>4900</v>
      </c>
      <c r="M208" s="375"/>
      <c r="N208" s="511"/>
      <c r="O208" s="511"/>
    </row>
    <row r="209" spans="2:15" hidden="1">
      <c r="B209" s="203"/>
      <c r="C209" s="204"/>
      <c r="D209" s="204">
        <v>4900</v>
      </c>
      <c r="E209" s="363" t="s">
        <v>352</v>
      </c>
      <c r="F209" s="253"/>
      <c r="G209" s="197"/>
      <c r="H209" s="403">
        <v>134.75</v>
      </c>
      <c r="I209" s="131"/>
      <c r="K209" s="375">
        <v>7900</v>
      </c>
      <c r="L209" s="375">
        <v>4900</v>
      </c>
      <c r="M209" s="375" t="s">
        <v>316</v>
      </c>
      <c r="N209" s="511"/>
      <c r="O209" s="511"/>
    </row>
    <row r="210" spans="2:15" hidden="1">
      <c r="B210" s="203"/>
      <c r="C210" s="204"/>
      <c r="D210" s="204">
        <v>4900</v>
      </c>
      <c r="E210" s="99" t="s">
        <v>353</v>
      </c>
      <c r="F210" s="254"/>
      <c r="G210" s="197"/>
      <c r="H210" s="403">
        <v>284.45999999999998</v>
      </c>
      <c r="I210" s="131"/>
      <c r="K210" s="375">
        <v>7900</v>
      </c>
      <c r="L210" s="375">
        <v>4900</v>
      </c>
      <c r="M210" s="375" t="s">
        <v>316</v>
      </c>
      <c r="N210" s="511"/>
      <c r="O210" s="511"/>
    </row>
    <row r="211" spans="2:15" hidden="1">
      <c r="B211" s="203"/>
      <c r="C211" s="204"/>
      <c r="D211" s="204">
        <v>4900</v>
      </c>
      <c r="E211" s="99" t="s">
        <v>354</v>
      </c>
      <c r="F211" s="253"/>
      <c r="G211" s="197"/>
      <c r="H211" s="403">
        <v>284.45999999999998</v>
      </c>
      <c r="I211" s="131"/>
      <c r="K211" s="375">
        <v>7900</v>
      </c>
      <c r="L211" s="375">
        <v>4900</v>
      </c>
      <c r="M211" s="375" t="s">
        <v>316</v>
      </c>
      <c r="N211" s="511"/>
      <c r="O211" s="511"/>
    </row>
    <row r="212" spans="2:15" ht="13.5" hidden="1" thickBot="1">
      <c r="B212" s="203"/>
      <c r="C212" s="204"/>
      <c r="D212" s="204">
        <v>4900</v>
      </c>
      <c r="E212" s="362" t="s">
        <v>355</v>
      </c>
      <c r="F212" s="365"/>
      <c r="G212" s="366"/>
      <c r="H212" s="404">
        <v>419.21</v>
      </c>
      <c r="I212" s="131"/>
      <c r="K212" s="375">
        <v>7900</v>
      </c>
      <c r="L212" s="375">
        <v>4900</v>
      </c>
      <c r="M212" s="375" t="s">
        <v>316</v>
      </c>
      <c r="N212" s="511"/>
      <c r="O212" s="511"/>
    </row>
    <row r="213" spans="2:15" hidden="1">
      <c r="B213" s="203"/>
      <c r="C213" s="204"/>
      <c r="D213" s="204" t="s">
        <v>391</v>
      </c>
      <c r="E213" s="363" t="s">
        <v>340</v>
      </c>
      <c r="F213" s="253"/>
      <c r="G213" s="197"/>
      <c r="H213" s="403">
        <v>149.72</v>
      </c>
      <c r="I213" s="131"/>
      <c r="K213" s="375">
        <v>7900</v>
      </c>
      <c r="L213" s="375" t="s">
        <v>391</v>
      </c>
      <c r="M213" s="375"/>
      <c r="N213" s="511"/>
      <c r="O213" s="511"/>
    </row>
    <row r="214" spans="2:15" hidden="1">
      <c r="B214" s="203"/>
      <c r="C214" s="204"/>
      <c r="D214" s="204" t="s">
        <v>391</v>
      </c>
      <c r="E214" s="99" t="s">
        <v>341</v>
      </c>
      <c r="F214" s="253"/>
      <c r="G214" s="197"/>
      <c r="H214" s="403">
        <v>149.72</v>
      </c>
      <c r="I214" s="131"/>
      <c r="K214" s="375">
        <v>7900</v>
      </c>
      <c r="L214" s="375" t="s">
        <v>391</v>
      </c>
      <c r="M214" s="375"/>
      <c r="N214" s="511"/>
      <c r="O214" s="511"/>
    </row>
    <row r="215" spans="2:15" hidden="1">
      <c r="B215" s="203"/>
      <c r="C215" s="204"/>
      <c r="D215" s="204" t="s">
        <v>391</v>
      </c>
      <c r="E215" s="99" t="s">
        <v>342</v>
      </c>
      <c r="F215" s="253"/>
      <c r="G215" s="197"/>
      <c r="H215" s="403">
        <v>149.72</v>
      </c>
      <c r="I215" s="131"/>
      <c r="K215" s="375">
        <v>7900</v>
      </c>
      <c r="L215" s="375" t="s">
        <v>391</v>
      </c>
      <c r="M215" s="375"/>
      <c r="N215" s="511"/>
      <c r="O215" s="511"/>
    </row>
    <row r="216" spans="2:15" ht="13.5" hidden="1" thickBot="1">
      <c r="B216" s="203"/>
      <c r="C216" s="204"/>
      <c r="D216" s="204" t="s">
        <v>391</v>
      </c>
      <c r="E216" s="362" t="s">
        <v>343</v>
      </c>
      <c r="F216" s="365"/>
      <c r="G216" s="366"/>
      <c r="H216" s="404">
        <v>284.45999999999998</v>
      </c>
      <c r="I216" s="131"/>
      <c r="K216" s="375">
        <v>7900</v>
      </c>
      <c r="L216" s="375" t="s">
        <v>391</v>
      </c>
      <c r="M216" s="375"/>
      <c r="N216" s="511"/>
      <c r="O216" s="511"/>
    </row>
    <row r="217" spans="2:15" hidden="1">
      <c r="B217" s="203"/>
      <c r="C217" s="204"/>
      <c r="D217" s="115"/>
      <c r="E217" s="115"/>
      <c r="F217" s="115"/>
      <c r="G217" s="115"/>
      <c r="H217" s="115"/>
      <c r="I217" s="131"/>
    </row>
    <row r="218" spans="2:15" hidden="1">
      <c r="B218" s="203"/>
      <c r="C218" s="204"/>
      <c r="D218" s="115"/>
      <c r="E218" s="115"/>
      <c r="F218" s="115"/>
      <c r="G218" s="115"/>
      <c r="H218" s="115"/>
      <c r="I218" s="131"/>
    </row>
    <row r="219" spans="2:15" hidden="1">
      <c r="B219" s="203"/>
      <c r="C219" s="204"/>
      <c r="D219" s="115"/>
      <c r="E219" s="115"/>
      <c r="F219" s="115"/>
      <c r="G219" s="115"/>
      <c r="H219" s="115"/>
      <c r="I219" s="131"/>
    </row>
    <row r="220" spans="2:15" hidden="1">
      <c r="B220" s="203"/>
      <c r="C220" s="204"/>
      <c r="D220" s="115"/>
      <c r="E220" s="115"/>
      <c r="F220" s="115"/>
      <c r="G220" s="115"/>
      <c r="H220" s="115"/>
      <c r="I220" s="131"/>
    </row>
    <row r="221" spans="2:15" hidden="1">
      <c r="B221" s="203"/>
      <c r="C221" s="204"/>
      <c r="D221" s="115"/>
      <c r="E221" s="133"/>
      <c r="F221" s="199"/>
      <c r="G221" s="199"/>
      <c r="H221" s="333"/>
      <c r="I221" s="131"/>
    </row>
    <row r="222" spans="2:15" hidden="1">
      <c r="B222" s="203"/>
      <c r="C222" s="132" t="s">
        <v>356</v>
      </c>
      <c r="D222" s="115"/>
      <c r="E222" s="133"/>
      <c r="F222" s="199"/>
      <c r="G222" s="199"/>
      <c r="H222" s="333"/>
      <c r="I222" s="131"/>
    </row>
    <row r="223" spans="2:15" hidden="1">
      <c r="B223" s="203"/>
      <c r="C223" s="204"/>
      <c r="D223" s="115">
        <v>4900</v>
      </c>
      <c r="E223" s="196" t="s">
        <v>357</v>
      </c>
      <c r="F223" s="197"/>
      <c r="G223" s="197"/>
      <c r="H223" s="403">
        <v>0</v>
      </c>
      <c r="I223" s="131"/>
    </row>
    <row r="224" spans="2:15" hidden="1">
      <c r="B224" s="203"/>
      <c r="C224" s="204"/>
      <c r="D224" s="115">
        <v>4900</v>
      </c>
      <c r="E224" s="196" t="s">
        <v>358</v>
      </c>
      <c r="F224" s="197"/>
      <c r="G224" s="197" t="s">
        <v>514</v>
      </c>
      <c r="H224" s="403">
        <v>538.98</v>
      </c>
      <c r="I224" s="131"/>
    </row>
    <row r="225" spans="2:9" hidden="1">
      <c r="B225" s="203"/>
      <c r="C225" s="204"/>
      <c r="D225" s="115">
        <v>4900</v>
      </c>
      <c r="E225" s="196" t="s">
        <v>359</v>
      </c>
      <c r="F225" s="197"/>
      <c r="G225" s="197" t="s">
        <v>515</v>
      </c>
      <c r="H225" s="403">
        <v>1077.97</v>
      </c>
      <c r="I225" s="131"/>
    </row>
    <row r="226" spans="2:9" hidden="1">
      <c r="B226" s="203"/>
      <c r="C226" s="204"/>
      <c r="D226" s="115">
        <v>4900</v>
      </c>
      <c r="E226" s="196" t="s">
        <v>360</v>
      </c>
      <c r="F226" s="197">
        <v>12080018</v>
      </c>
      <c r="G226" s="197" t="s">
        <v>516</v>
      </c>
      <c r="H226" s="403">
        <v>1077.97</v>
      </c>
      <c r="I226" s="131"/>
    </row>
    <row r="227" spans="2:9" hidden="1">
      <c r="B227" s="203"/>
      <c r="C227" s="204"/>
      <c r="D227" s="115">
        <v>7900</v>
      </c>
      <c r="E227" s="196" t="s">
        <v>517</v>
      </c>
      <c r="F227" s="197"/>
      <c r="G227" s="197" t="s">
        <v>519</v>
      </c>
      <c r="H227" s="403"/>
      <c r="I227" s="131"/>
    </row>
    <row r="228" spans="2:9" hidden="1">
      <c r="B228" s="203"/>
      <c r="C228" s="204"/>
      <c r="D228" s="115">
        <v>7900</v>
      </c>
      <c r="E228" s="196" t="s">
        <v>518</v>
      </c>
      <c r="F228" s="197"/>
      <c r="G228" s="197" t="s">
        <v>519</v>
      </c>
      <c r="H228" s="403"/>
      <c r="I228" s="131"/>
    </row>
    <row r="229" spans="2:9" hidden="1">
      <c r="B229" s="203"/>
      <c r="C229" s="204"/>
      <c r="D229" s="115"/>
      <c r="E229" s="204"/>
      <c r="F229" s="199"/>
      <c r="G229" s="199"/>
      <c r="H229" s="405"/>
      <c r="I229" s="131"/>
    </row>
    <row r="230" spans="2:9" hidden="1">
      <c r="B230" s="203"/>
      <c r="C230" s="204"/>
      <c r="D230" s="115">
        <v>7900</v>
      </c>
      <c r="E230" s="196" t="s">
        <v>512</v>
      </c>
      <c r="F230" s="197">
        <v>12080022</v>
      </c>
      <c r="G230" s="197" t="s">
        <v>513</v>
      </c>
      <c r="H230" s="403"/>
      <c r="I230" s="131"/>
    </row>
    <row r="231" spans="2:9" hidden="1">
      <c r="B231" s="203"/>
      <c r="C231" s="204"/>
      <c r="D231" s="115">
        <v>7900</v>
      </c>
      <c r="E231" s="196" t="s">
        <v>363</v>
      </c>
      <c r="F231" s="197"/>
      <c r="G231" s="197" t="s">
        <v>520</v>
      </c>
      <c r="H231" s="403"/>
      <c r="I231" s="131"/>
    </row>
    <row r="232" spans="2:9" hidden="1">
      <c r="B232" s="203"/>
      <c r="C232" s="204"/>
      <c r="D232" s="115">
        <v>7900</v>
      </c>
      <c r="E232" s="196" t="s">
        <v>362</v>
      </c>
      <c r="F232" s="197"/>
      <c r="G232" s="197" t="s">
        <v>521</v>
      </c>
      <c r="H232" s="403"/>
      <c r="I232" s="131"/>
    </row>
    <row r="233" spans="2:9" hidden="1">
      <c r="B233" s="203"/>
      <c r="C233" s="204"/>
      <c r="D233" s="115"/>
      <c r="E233" s="380" t="s">
        <v>522</v>
      </c>
      <c r="F233" s="199"/>
      <c r="G233" s="199"/>
      <c r="H233" s="333"/>
      <c r="I233" s="131"/>
    </row>
    <row r="234" spans="2:9" hidden="1">
      <c r="B234" s="203"/>
      <c r="C234" s="204"/>
      <c r="D234" s="115"/>
      <c r="E234" s="204"/>
      <c r="F234" s="199"/>
      <c r="G234" s="199"/>
      <c r="H234" s="333"/>
      <c r="I234" s="131"/>
    </row>
    <row r="235" spans="2:9" hidden="1">
      <c r="B235" s="203"/>
      <c r="C235" s="204"/>
      <c r="D235" s="115"/>
      <c r="E235" s="115"/>
      <c r="F235" s="115"/>
      <c r="G235" s="115"/>
      <c r="H235" s="115"/>
      <c r="I235" s="131"/>
    </row>
    <row r="236" spans="2:9" hidden="1">
      <c r="B236" s="203"/>
      <c r="C236" s="132" t="s">
        <v>361</v>
      </c>
      <c r="D236" s="115">
        <v>7900</v>
      </c>
      <c r="E236" s="196" t="s">
        <v>393</v>
      </c>
      <c r="F236" s="197"/>
      <c r="G236" s="197"/>
      <c r="H236" s="331"/>
      <c r="I236" s="131"/>
    </row>
    <row r="237" spans="2:9" hidden="1">
      <c r="B237" s="203"/>
      <c r="C237" s="204"/>
      <c r="D237" s="115">
        <v>7900</v>
      </c>
      <c r="E237" s="196" t="s">
        <v>394</v>
      </c>
      <c r="F237" s="197"/>
      <c r="G237" s="197"/>
      <c r="H237" s="331"/>
      <c r="I237" s="131"/>
    </row>
    <row r="238" spans="2:9" hidden="1">
      <c r="B238" s="203"/>
      <c r="C238" s="204"/>
      <c r="D238" s="115"/>
      <c r="E238" s="196"/>
      <c r="F238" s="197"/>
      <c r="G238" s="197"/>
      <c r="H238" s="331"/>
      <c r="I238" s="131"/>
    </row>
    <row r="239" spans="2:9" hidden="1">
      <c r="B239" s="203"/>
      <c r="C239" s="204"/>
      <c r="D239" s="115"/>
      <c r="E239" s="133"/>
      <c r="F239" s="199"/>
      <c r="G239" s="199"/>
      <c r="H239" s="333"/>
      <c r="I239" s="131"/>
    </row>
    <row r="240" spans="2:9" ht="12" hidden="1" customHeight="1">
      <c r="B240" s="203"/>
      <c r="C240" s="133"/>
      <c r="D240" s="115"/>
      <c r="E240" s="133"/>
      <c r="F240" s="199"/>
      <c r="G240" s="199"/>
      <c r="H240" s="333"/>
      <c r="I240" s="131"/>
    </row>
    <row r="241" spans="2:32" hidden="1">
      <c r="B241" s="203"/>
      <c r="C241" s="132" t="s">
        <v>109</v>
      </c>
      <c r="D241" s="115"/>
      <c r="E241" s="133"/>
      <c r="F241" s="199"/>
      <c r="G241" s="199"/>
      <c r="H241" s="333"/>
      <c r="I241" s="131"/>
    </row>
    <row r="242" spans="2:32" hidden="1">
      <c r="B242" s="203"/>
      <c r="C242" s="133"/>
      <c r="D242" s="115"/>
      <c r="E242" s="157" t="s">
        <v>368</v>
      </c>
      <c r="F242" s="383" t="s">
        <v>527</v>
      </c>
      <c r="G242" s="383" t="s">
        <v>528</v>
      </c>
      <c r="H242" s="403">
        <v>900</v>
      </c>
      <c r="I242" s="131"/>
    </row>
    <row r="243" spans="2:32" hidden="1">
      <c r="B243" s="203"/>
      <c r="C243" s="133"/>
      <c r="D243" s="115"/>
      <c r="E243" s="196" t="s">
        <v>371</v>
      </c>
      <c r="F243" s="383">
        <v>99990085</v>
      </c>
      <c r="G243" s="383" t="s">
        <v>558</v>
      </c>
      <c r="H243" s="403">
        <v>138</v>
      </c>
      <c r="I243" s="131"/>
    </row>
    <row r="244" spans="2:32" ht="22.5" hidden="1">
      <c r="B244" s="203"/>
      <c r="C244" s="133"/>
      <c r="D244" s="115"/>
      <c r="E244" s="196" t="s">
        <v>372</v>
      </c>
      <c r="F244" s="385" t="s">
        <v>640</v>
      </c>
      <c r="G244" s="383"/>
      <c r="H244" s="403">
        <v>434</v>
      </c>
      <c r="I244" s="131"/>
    </row>
    <row r="245" spans="2:32" hidden="1">
      <c r="B245" s="203"/>
      <c r="C245" s="133"/>
      <c r="D245" s="115"/>
      <c r="E245" s="196" t="s">
        <v>374</v>
      </c>
      <c r="F245" s="384" t="s">
        <v>548</v>
      </c>
      <c r="G245" s="383" t="s">
        <v>547</v>
      </c>
      <c r="H245" s="403">
        <v>257</v>
      </c>
      <c r="I245" s="131"/>
    </row>
    <row r="246" spans="2:32" hidden="1">
      <c r="B246" s="203"/>
      <c r="C246" s="133"/>
      <c r="D246" s="115"/>
      <c r="E246" s="196" t="s">
        <v>370</v>
      </c>
      <c r="F246" s="384" t="s">
        <v>507</v>
      </c>
      <c r="G246" s="383" t="s">
        <v>511</v>
      </c>
      <c r="H246" s="403">
        <v>149</v>
      </c>
      <c r="I246" s="131"/>
    </row>
    <row r="247" spans="2:32" hidden="1">
      <c r="B247" s="203"/>
      <c r="C247" s="133"/>
      <c r="D247" s="115"/>
      <c r="E247" s="196" t="s">
        <v>508</v>
      </c>
      <c r="F247" s="384" t="s">
        <v>509</v>
      </c>
      <c r="G247" s="383" t="s">
        <v>510</v>
      </c>
      <c r="H247" s="403"/>
      <c r="I247" s="131"/>
    </row>
    <row r="248" spans="2:32" hidden="1">
      <c r="B248" s="203"/>
      <c r="C248" s="133"/>
      <c r="D248" s="115"/>
      <c r="E248" s="196" t="s">
        <v>397</v>
      </c>
      <c r="F248" s="384" t="s">
        <v>523</v>
      </c>
      <c r="G248" s="385" t="s">
        <v>525</v>
      </c>
      <c r="H248" s="403">
        <v>325.64999999999998</v>
      </c>
      <c r="I248" s="131"/>
    </row>
    <row r="249" spans="2:32" hidden="1">
      <c r="B249" s="203"/>
      <c r="C249" s="133"/>
      <c r="D249" s="115"/>
      <c r="E249" s="196" t="s">
        <v>398</v>
      </c>
      <c r="F249" s="386" t="s">
        <v>524</v>
      </c>
      <c r="G249" s="383" t="s">
        <v>526</v>
      </c>
      <c r="H249" s="403">
        <v>952.83</v>
      </c>
      <c r="I249" s="131"/>
    </row>
    <row r="250" spans="2:32" hidden="1">
      <c r="B250" s="203"/>
      <c r="C250" s="133"/>
      <c r="D250" s="115"/>
      <c r="E250" s="196" t="s">
        <v>373</v>
      </c>
      <c r="F250" s="384" t="s">
        <v>580</v>
      </c>
      <c r="G250" s="383" t="s">
        <v>581</v>
      </c>
      <c r="H250" s="403">
        <v>12</v>
      </c>
      <c r="I250" s="131"/>
    </row>
    <row r="251" spans="2:32" hidden="1">
      <c r="B251" s="203"/>
      <c r="C251" s="133"/>
      <c r="D251" s="115"/>
      <c r="E251" s="196" t="s">
        <v>375</v>
      </c>
      <c r="F251" s="384" t="s">
        <v>582</v>
      </c>
      <c r="G251" s="383" t="s">
        <v>583</v>
      </c>
      <c r="H251" s="403">
        <v>626</v>
      </c>
      <c r="I251" s="131"/>
      <c r="AA251" s="201"/>
      <c r="AB251" s="201"/>
      <c r="AD251" s="201" t="s">
        <v>656</v>
      </c>
      <c r="AE251" s="201" t="s">
        <v>403</v>
      </c>
      <c r="AF251" s="201"/>
    </row>
    <row r="252" spans="2:32" hidden="1">
      <c r="B252" s="203"/>
      <c r="C252" s="133"/>
      <c r="D252" s="115"/>
      <c r="E252" s="196" t="s">
        <v>369</v>
      </c>
      <c r="F252" s="383" t="s">
        <v>545</v>
      </c>
      <c r="G252" s="383" t="s">
        <v>546</v>
      </c>
      <c r="H252" s="403">
        <v>83</v>
      </c>
      <c r="I252" s="131"/>
      <c r="AA252" s="500">
        <v>1</v>
      </c>
      <c r="AB252" s="201" t="str">
        <f>$K$18</f>
        <v>Ultima Mk7 2M</v>
      </c>
      <c r="AC252" s="112" t="str">
        <f>AA252&amp;AB252</f>
        <v>1Ultima Mk7 2M</v>
      </c>
      <c r="AD252" s="112" t="str">
        <f>IFERROR(VLOOKUP(AC252,SSSS!$E$6:$F$285,2,FALSE),"")</f>
        <v>Ink 1010 Black 10 X 500Ml</v>
      </c>
      <c r="AE252" s="112" t="str">
        <f>IFERROR(VLOOKUP(AD252,$E$293:$N$310,10,FALSE),"")</f>
        <v>Startup Kit - 1010 Ink &amp; 1505 Solvent</v>
      </c>
    </row>
    <row r="253" spans="2:32" hidden="1">
      <c r="B253" s="203"/>
      <c r="C253" s="133"/>
      <c r="D253" s="115"/>
      <c r="E253" s="196"/>
      <c r="F253" s="386"/>
      <c r="G253" s="383"/>
      <c r="H253" s="403"/>
      <c r="I253" s="131"/>
      <c r="AA253" s="500">
        <f>AA252+1</f>
        <v>2</v>
      </c>
      <c r="AB253" s="201" t="str">
        <f t="shared" ref="AB253:AB276" si="22">$K$18</f>
        <v>Ultima Mk7 2M</v>
      </c>
      <c r="AC253" s="112" t="str">
        <f t="shared" ref="AC253:AC273" si="23">AA253&amp;AB253</f>
        <v>2Ultima Mk7 2M</v>
      </c>
      <c r="AD253" s="112" t="str">
        <f>IFERROR(VLOOKUP(AC253,SSSS!$E$6:$F$285,2,FALSE),"")</f>
        <v>Ink 1014 Blk Easypack 2X500Ml</v>
      </c>
      <c r="AE253" s="112" t="str">
        <f t="shared" ref="AE253:AE276" si="24">IFERROR(VLOOKUP(AD253,$E$293:$N$310,10,FALSE),"")</f>
        <v>Startup Kit - 1014 Ink &amp; 1505 Solvent</v>
      </c>
    </row>
    <row r="254" spans="2:32" hidden="1">
      <c r="B254" s="203"/>
      <c r="C254" s="133"/>
      <c r="D254" s="115"/>
      <c r="E254" s="196"/>
      <c r="F254" s="386"/>
      <c r="G254" s="387"/>
      <c r="H254" s="419"/>
      <c r="I254" s="131"/>
      <c r="AA254" s="500">
        <f t="shared" ref="AA254:AA273" si="25">AA253+1</f>
        <v>3</v>
      </c>
      <c r="AB254" s="201" t="str">
        <f t="shared" si="22"/>
        <v>Ultima Mk7 2M</v>
      </c>
      <c r="AC254" s="112" t="str">
        <f t="shared" si="23"/>
        <v>3Ultima Mk7 2M</v>
      </c>
      <c r="AD254" s="112" t="str">
        <f>IFERROR(VLOOKUP(AC254,SSSS!$E$6:$F$285,2,FALSE),"")</f>
        <v>Ink 1016 Blk 10 X 500Ml</v>
      </c>
      <c r="AE254" s="112" t="str">
        <f t="shared" si="24"/>
        <v>Startup Kit - 1016 Ink &amp; 1506 Solvent</v>
      </c>
    </row>
    <row r="255" spans="2:32" hidden="1">
      <c r="B255" s="203"/>
      <c r="C255" s="133"/>
      <c r="D255" s="115"/>
      <c r="E255" s="204"/>
      <c r="F255" s="199"/>
      <c r="G255" s="199"/>
      <c r="H255" s="333"/>
      <c r="I255" s="131"/>
      <c r="AA255" s="500">
        <f t="shared" si="25"/>
        <v>4</v>
      </c>
      <c r="AB255" s="201" t="str">
        <f t="shared" si="22"/>
        <v>Ultima Mk7 2M</v>
      </c>
      <c r="AC255" s="112" t="str">
        <f t="shared" si="23"/>
        <v>4Ultima Mk7 2M</v>
      </c>
      <c r="AD255" s="112" t="str">
        <f>IFERROR(VLOOKUP(AC255,SSSS!$E$6:$F$285,2,FALSE),"")</f>
        <v>Ink 1056 Blk 10 X 500Ml</v>
      </c>
      <c r="AE255" s="112" t="str">
        <f t="shared" si="24"/>
        <v>Startup Kit - 1056 Ink &amp; 1555 Solvent</v>
      </c>
    </row>
    <row r="256" spans="2:32" hidden="1">
      <c r="B256" s="203"/>
      <c r="C256" s="133"/>
      <c r="D256" s="115"/>
      <c r="E256" s="109"/>
      <c r="F256" s="28"/>
      <c r="G256" s="109"/>
      <c r="H256" s="334"/>
      <c r="I256" s="131"/>
      <c r="AA256" s="500">
        <f t="shared" si="25"/>
        <v>5</v>
      </c>
      <c r="AB256" s="201" t="str">
        <f t="shared" si="22"/>
        <v>Ultima Mk7 2M</v>
      </c>
      <c r="AC256" s="112" t="str">
        <f t="shared" si="23"/>
        <v>5Ultima Mk7 2M</v>
      </c>
      <c r="AD256" s="112" t="str">
        <f>IFERROR(VLOOKUP(AC256,SSSS!$E$6:$F$285,2,FALSE),"")</f>
        <v>Ink 1240 Blk 10 X 500Ml</v>
      </c>
      <c r="AE256" s="112" t="str">
        <f t="shared" si="24"/>
        <v>Startup Kit - 1240 Ink &amp; 1512 Solvent</v>
      </c>
    </row>
    <row r="257" spans="2:31" hidden="1">
      <c r="B257" s="203"/>
      <c r="C257" s="132" t="s">
        <v>40</v>
      </c>
      <c r="D257" s="115"/>
      <c r="E257" s="382" t="s">
        <v>560</v>
      </c>
      <c r="F257" s="28"/>
      <c r="G257" s="109"/>
      <c r="H257" s="335"/>
      <c r="I257" s="131"/>
      <c r="AA257" s="500">
        <f t="shared" si="25"/>
        <v>6</v>
      </c>
      <c r="AB257" s="201" t="str">
        <f t="shared" si="22"/>
        <v>Ultima Mk7 2M</v>
      </c>
      <c r="AC257" s="112" t="str">
        <f t="shared" si="23"/>
        <v>6Ultima Mk7 2M</v>
      </c>
      <c r="AD257" s="112" t="str">
        <f>IFERROR(VLOOKUP(AC257,SSSS!$E$6:$F$285,2,FALSE),"")</f>
        <v>Ink 1405 Blk 10 X 500Ml</v>
      </c>
      <c r="AE257" s="112" t="str">
        <f t="shared" si="24"/>
        <v>Startup Kit - 1405 Ink &amp; 1705 Solvent</v>
      </c>
    </row>
    <row r="258" spans="2:31" hidden="1">
      <c r="B258" s="203"/>
      <c r="C258" s="133"/>
      <c r="D258" s="115"/>
      <c r="E258" s="108"/>
      <c r="F258" s="206"/>
      <c r="G258" s="28"/>
      <c r="H258" s="334"/>
      <c r="I258" s="131"/>
      <c r="AA258" s="500">
        <f t="shared" si="25"/>
        <v>7</v>
      </c>
      <c r="AB258" s="201" t="str">
        <f t="shared" si="22"/>
        <v>Ultima Mk7 2M</v>
      </c>
      <c r="AC258" s="112" t="str">
        <f t="shared" si="23"/>
        <v>7Ultima Mk7 2M</v>
      </c>
      <c r="AD258" s="112" t="str">
        <f>IFERROR(VLOOKUP(AC258,SSSS!$E$6:$F$285,2,FALSE),"")</f>
        <v>Ink 2250 Blk 10 X 500Ml</v>
      </c>
      <c r="AE258" s="112" t="str">
        <f t="shared" si="24"/>
        <v>Startup Kit - 2250 Ink &amp; 2750 Solvent</v>
      </c>
    </row>
    <row r="259" spans="2:31" hidden="1">
      <c r="B259" s="203"/>
      <c r="C259" s="133"/>
      <c r="D259" s="115"/>
      <c r="E259" s="108"/>
      <c r="F259" s="206"/>
      <c r="G259" s="28"/>
      <c r="H259" s="334"/>
      <c r="I259" s="131"/>
      <c r="AA259" s="500">
        <f t="shared" si="25"/>
        <v>8</v>
      </c>
      <c r="AB259" s="201" t="str">
        <f t="shared" si="22"/>
        <v>Ultima Mk7 2M</v>
      </c>
      <c r="AC259" s="112" t="str">
        <f t="shared" si="23"/>
        <v>8Ultima Mk7 2M</v>
      </c>
      <c r="AD259" s="112" t="str">
        <f>IFERROR(VLOOKUP(AC259,SSSS!$E$6:$F$285,2,FALSE),"")</f>
        <v>Ink 3103 Black 10 X 500Ml</v>
      </c>
      <c r="AE259" s="112" t="str">
        <f t="shared" si="24"/>
        <v>Startup Kit - 3103 Ink &amp; 3501 Solvent</v>
      </c>
    </row>
    <row r="260" spans="2:31" hidden="1">
      <c r="B260" s="203"/>
      <c r="C260" s="133"/>
      <c r="D260" s="115"/>
      <c r="E260" s="108"/>
      <c r="F260" s="206"/>
      <c r="G260" s="28"/>
      <c r="H260" s="334"/>
      <c r="I260" s="131"/>
      <c r="AA260" s="500">
        <f t="shared" si="25"/>
        <v>9</v>
      </c>
      <c r="AB260" s="201" t="str">
        <f t="shared" si="22"/>
        <v>Ultima Mk7 2M</v>
      </c>
      <c r="AC260" s="112" t="str">
        <f t="shared" si="23"/>
        <v>9Ultima Mk7 2M</v>
      </c>
      <c r="AD260" s="112" t="str">
        <f>IFERROR(VLOOKUP(AC260,SSSS!$E$6:$F$285,2,FALSE),"")</f>
        <v>Ink 3123 Blu Easypack 2X500Ml</v>
      </c>
      <c r="AE260" s="112" t="str">
        <f t="shared" si="24"/>
        <v>Startup Kit - 3123 Ink &amp; 3501 Solvent</v>
      </c>
    </row>
    <row r="261" spans="2:31" hidden="1">
      <c r="B261" s="203"/>
      <c r="C261" s="468" t="s">
        <v>403</v>
      </c>
      <c r="D261" s="115"/>
      <c r="E261" s="382" t="s">
        <v>561</v>
      </c>
      <c r="F261" s="206"/>
      <c r="G261" s="28"/>
      <c r="H261" s="334"/>
      <c r="I261" s="131"/>
      <c r="K261" s="449"/>
      <c r="L261" s="201" t="s">
        <v>619</v>
      </c>
      <c r="O261" s="201" t="s">
        <v>618</v>
      </c>
      <c r="U261" s="201" t="s">
        <v>617</v>
      </c>
      <c r="V261" s="449" t="s">
        <v>562</v>
      </c>
      <c r="AA261" s="500">
        <f t="shared" si="25"/>
        <v>10</v>
      </c>
      <c r="AB261" s="201" t="str">
        <f t="shared" si="22"/>
        <v>Ultima Mk7 2M</v>
      </c>
      <c r="AC261" s="112" t="str">
        <f t="shared" si="23"/>
        <v>10Ultima Mk7 2M</v>
      </c>
      <c r="AD261" s="112" t="str">
        <f>IFERROR(VLOOKUP(AC261,SSSS!$E$6:$F$285,2,FALSE),"")</f>
        <v/>
      </c>
      <c r="AE261" s="112" t="str">
        <f t="shared" si="24"/>
        <v/>
      </c>
    </row>
    <row r="262" spans="2:31" hidden="1">
      <c r="B262" s="203"/>
      <c r="C262" s="133"/>
      <c r="D262" s="115"/>
      <c r="E262" s="157" t="s">
        <v>620</v>
      </c>
      <c r="F262" s="448" t="str">
        <f>VLOOKUP(E262,$N$293:$Y$310,12,FALSE)</f>
        <v>15140020 x 1.5, 16140003 x 0.3</v>
      </c>
      <c r="G262" s="376"/>
      <c r="H262" s="402">
        <v>400</v>
      </c>
      <c r="I262" s="131"/>
      <c r="K262" s="449"/>
      <c r="L262" s="201" t="s">
        <v>404</v>
      </c>
      <c r="O262" s="201" t="s">
        <v>588</v>
      </c>
      <c r="U262" s="512">
        <v>1.5</v>
      </c>
      <c r="V262" s="449">
        <v>1505</v>
      </c>
      <c r="AA262" s="500">
        <f t="shared" si="25"/>
        <v>11</v>
      </c>
      <c r="AB262" s="201" t="str">
        <f t="shared" si="22"/>
        <v>Ultima Mk7 2M</v>
      </c>
      <c r="AC262" s="112" t="str">
        <f t="shared" si="23"/>
        <v>11Ultima Mk7 2M</v>
      </c>
      <c r="AD262" s="112" t="str">
        <f>IFERROR(VLOOKUP(AC262,SSSS!$E$6:$F$285,2,FALSE),"")</f>
        <v/>
      </c>
      <c r="AE262" s="112" t="str">
        <f t="shared" si="24"/>
        <v/>
      </c>
    </row>
    <row r="263" spans="2:31" hidden="1">
      <c r="B263" s="203"/>
      <c r="C263" s="133"/>
      <c r="D263" s="115"/>
      <c r="E263" s="157" t="s">
        <v>621</v>
      </c>
      <c r="F263" s="448" t="str">
        <f t="shared" ref="F263:F279" si="26">VLOOKUP(E263,$N$293:$Y$310,12,FALSE)</f>
        <v>15140022 x 0.3, 16140003 x 0.3</v>
      </c>
      <c r="G263" s="376"/>
      <c r="H263" s="402">
        <v>400</v>
      </c>
      <c r="I263" s="131"/>
      <c r="K263" s="449"/>
      <c r="L263" s="201" t="s">
        <v>405</v>
      </c>
      <c r="O263" s="201" t="s">
        <v>589</v>
      </c>
      <c r="U263" s="512">
        <v>0.3</v>
      </c>
      <c r="V263" s="449">
        <v>1505</v>
      </c>
      <c r="AA263" s="500">
        <f t="shared" si="25"/>
        <v>12</v>
      </c>
      <c r="AB263" s="201" t="str">
        <f t="shared" si="22"/>
        <v>Ultima Mk7 2M</v>
      </c>
      <c r="AC263" s="112" t="str">
        <f t="shared" si="23"/>
        <v>12Ultima Mk7 2M</v>
      </c>
      <c r="AD263" s="112" t="str">
        <f>IFERROR(VLOOKUP(AC263,SSSS!$E$6:$F$285,2,FALSE),"")</f>
        <v/>
      </c>
      <c r="AE263" s="112" t="str">
        <f t="shared" si="24"/>
        <v/>
      </c>
    </row>
    <row r="264" spans="2:31" hidden="1">
      <c r="B264" s="203"/>
      <c r="C264" s="133"/>
      <c r="D264" s="115"/>
      <c r="E264" s="157" t="s">
        <v>622</v>
      </c>
      <c r="F264" s="448" t="str">
        <f t="shared" si="26"/>
        <v>15140024 x 1.5, 16140003 x 0.3</v>
      </c>
      <c r="G264" s="376"/>
      <c r="H264" s="402">
        <v>400</v>
      </c>
      <c r="I264" s="131"/>
      <c r="K264" s="449"/>
      <c r="L264" s="201" t="s">
        <v>406</v>
      </c>
      <c r="O264" s="201" t="s">
        <v>590</v>
      </c>
      <c r="U264" s="512">
        <v>1.5</v>
      </c>
      <c r="V264" s="449">
        <v>1505</v>
      </c>
      <c r="AA264" s="500">
        <f t="shared" si="25"/>
        <v>13</v>
      </c>
      <c r="AB264" s="201" t="str">
        <f t="shared" si="22"/>
        <v>Ultima Mk7 2M</v>
      </c>
      <c r="AC264" s="112" t="str">
        <f t="shared" si="23"/>
        <v>13Ultima Mk7 2M</v>
      </c>
      <c r="AD264" s="112" t="str">
        <f>IFERROR(VLOOKUP(AC264,SSSS!$E$6:$F$285,2,FALSE),"")</f>
        <v/>
      </c>
      <c r="AE264" s="112" t="str">
        <f t="shared" si="24"/>
        <v/>
      </c>
    </row>
    <row r="265" spans="2:31" hidden="1">
      <c r="B265" s="203"/>
      <c r="C265" s="133"/>
      <c r="D265" s="115"/>
      <c r="E265" s="157" t="s">
        <v>623</v>
      </c>
      <c r="F265" s="448" t="str">
        <f t="shared" si="26"/>
        <v>15140025 x 0.3, 16140004 x 0.3</v>
      </c>
      <c r="G265" s="376"/>
      <c r="H265" s="402">
        <v>400</v>
      </c>
      <c r="I265" s="131"/>
      <c r="K265" s="449"/>
      <c r="L265" s="201" t="s">
        <v>407</v>
      </c>
      <c r="O265" s="201" t="s">
        <v>591</v>
      </c>
      <c r="U265" s="512">
        <v>0.3</v>
      </c>
      <c r="V265" s="449">
        <v>1506</v>
      </c>
      <c r="AA265" s="500">
        <f t="shared" si="25"/>
        <v>14</v>
      </c>
      <c r="AB265" s="201" t="str">
        <f t="shared" si="22"/>
        <v>Ultima Mk7 2M</v>
      </c>
      <c r="AC265" s="112" t="str">
        <f t="shared" si="23"/>
        <v>14Ultima Mk7 2M</v>
      </c>
      <c r="AD265" s="112" t="str">
        <f>IFERROR(VLOOKUP(AC265,SSSS!$E$6:$F$285,2,FALSE),"")</f>
        <v/>
      </c>
      <c r="AE265" s="112" t="str">
        <f t="shared" si="24"/>
        <v/>
      </c>
    </row>
    <row r="266" spans="2:31" hidden="1">
      <c r="B266" s="203"/>
      <c r="C266" s="133"/>
      <c r="D266" s="115"/>
      <c r="E266" s="157" t="s">
        <v>624</v>
      </c>
      <c r="F266" s="448" t="str">
        <f t="shared" si="26"/>
        <v>15140033 x 0.3, 16140008 x 0.3</v>
      </c>
      <c r="G266" s="376"/>
      <c r="H266" s="402">
        <v>400</v>
      </c>
      <c r="I266" s="131"/>
      <c r="K266" s="449"/>
      <c r="L266" s="201" t="s">
        <v>408</v>
      </c>
      <c r="O266" s="201" t="s">
        <v>592</v>
      </c>
      <c r="U266" s="512">
        <v>0.3</v>
      </c>
      <c r="V266" s="449">
        <v>1555</v>
      </c>
      <c r="AA266" s="500">
        <f t="shared" si="25"/>
        <v>15</v>
      </c>
      <c r="AB266" s="201" t="str">
        <f t="shared" si="22"/>
        <v>Ultima Mk7 2M</v>
      </c>
      <c r="AC266" s="112" t="str">
        <f t="shared" si="23"/>
        <v>15Ultima Mk7 2M</v>
      </c>
      <c r="AD266" s="112" t="str">
        <f>IFERROR(VLOOKUP(AC266,SSSS!$E$6:$F$285,2,FALSE),"")</f>
        <v/>
      </c>
      <c r="AE266" s="112" t="str">
        <f t="shared" si="24"/>
        <v/>
      </c>
    </row>
    <row r="267" spans="2:31" hidden="1">
      <c r="B267" s="203"/>
      <c r="C267" s="133"/>
      <c r="D267" s="115"/>
      <c r="E267" s="157" t="s">
        <v>625</v>
      </c>
      <c r="F267" s="448" t="str">
        <f t="shared" si="26"/>
        <v>15140034 x 1.5, 16140003 x 0.3</v>
      </c>
      <c r="G267" s="376"/>
      <c r="H267" s="402">
        <v>400</v>
      </c>
      <c r="I267" s="131"/>
      <c r="K267" s="449"/>
      <c r="L267" s="201" t="s">
        <v>409</v>
      </c>
      <c r="O267" s="201" t="s">
        <v>593</v>
      </c>
      <c r="U267" s="512">
        <v>1.5</v>
      </c>
      <c r="V267" s="449">
        <v>1505</v>
      </c>
      <c r="AA267" s="500">
        <f t="shared" si="25"/>
        <v>16</v>
      </c>
      <c r="AB267" s="201" t="str">
        <f t="shared" si="22"/>
        <v>Ultima Mk7 2M</v>
      </c>
      <c r="AC267" s="112" t="str">
        <f t="shared" si="23"/>
        <v>16Ultima Mk7 2M</v>
      </c>
      <c r="AD267" s="112" t="str">
        <f>IFERROR(VLOOKUP(AC267,SSSS!$E$6:$F$285,2,FALSE),"")</f>
        <v/>
      </c>
      <c r="AE267" s="112" t="str">
        <f t="shared" si="24"/>
        <v/>
      </c>
    </row>
    <row r="268" spans="2:31" hidden="1">
      <c r="B268" s="203"/>
      <c r="C268" s="133"/>
      <c r="D268" s="115"/>
      <c r="E268" s="157" t="s">
        <v>626</v>
      </c>
      <c r="F268" s="448" t="str">
        <f t="shared" si="26"/>
        <v>15140035 x 0.3, 16140009 x 0.3</v>
      </c>
      <c r="G268" s="376"/>
      <c r="H268" s="402">
        <v>400</v>
      </c>
      <c r="I268" s="131"/>
      <c r="K268" s="449"/>
      <c r="L268" s="201" t="s">
        <v>410</v>
      </c>
      <c r="O268" s="201" t="s">
        <v>594</v>
      </c>
      <c r="U268" s="512">
        <v>0.3</v>
      </c>
      <c r="V268" s="449">
        <v>1560</v>
      </c>
      <c r="AA268" s="500">
        <f t="shared" si="25"/>
        <v>17</v>
      </c>
      <c r="AB268" s="201" t="str">
        <f t="shared" si="22"/>
        <v>Ultima Mk7 2M</v>
      </c>
      <c r="AC268" s="112" t="str">
        <f t="shared" si="23"/>
        <v>17Ultima Mk7 2M</v>
      </c>
      <c r="AD268" s="112" t="str">
        <f>IFERROR(VLOOKUP(AC268,SSSS!$E$6:$F$285,2,FALSE),"")</f>
        <v/>
      </c>
      <c r="AE268" s="112" t="str">
        <f t="shared" si="24"/>
        <v/>
      </c>
    </row>
    <row r="269" spans="2:31" hidden="1">
      <c r="B269" s="203"/>
      <c r="C269" s="133"/>
      <c r="D269" s="115"/>
      <c r="E269" s="157" t="s">
        <v>627</v>
      </c>
      <c r="F269" s="448" t="str">
        <f t="shared" si="26"/>
        <v>15140036 x 0.3, 16140005 x 0.3</v>
      </c>
      <c r="G269" s="376"/>
      <c r="H269" s="402">
        <v>400</v>
      </c>
      <c r="I269" s="131"/>
      <c r="K269" s="449"/>
      <c r="L269" s="201" t="s">
        <v>411</v>
      </c>
      <c r="O269" s="201" t="s">
        <v>595</v>
      </c>
      <c r="U269" s="512">
        <v>0.3</v>
      </c>
      <c r="V269" s="449">
        <v>1512</v>
      </c>
      <c r="AA269" s="500">
        <f t="shared" si="25"/>
        <v>18</v>
      </c>
      <c r="AB269" s="201" t="str">
        <f t="shared" si="22"/>
        <v>Ultima Mk7 2M</v>
      </c>
      <c r="AC269" s="112" t="str">
        <f t="shared" si="23"/>
        <v>18Ultima Mk7 2M</v>
      </c>
      <c r="AD269" s="112" t="str">
        <f>IFERROR(VLOOKUP(AC269,SSSS!$E$6:$F$285,2,FALSE),"")</f>
        <v/>
      </c>
      <c r="AE269" s="112" t="str">
        <f t="shared" si="24"/>
        <v/>
      </c>
    </row>
    <row r="270" spans="2:31" hidden="1">
      <c r="B270" s="203"/>
      <c r="C270" s="133"/>
      <c r="D270" s="115"/>
      <c r="E270" s="157" t="s">
        <v>628</v>
      </c>
      <c r="F270" s="448" t="str">
        <f t="shared" si="26"/>
        <v>15140037 x 0.3, 16140007 x 0.3</v>
      </c>
      <c r="G270" s="376"/>
      <c r="H270" s="402">
        <v>400</v>
      </c>
      <c r="I270" s="131"/>
      <c r="K270" s="449"/>
      <c r="L270" s="201" t="s">
        <v>412</v>
      </c>
      <c r="O270" s="201" t="s">
        <v>596</v>
      </c>
      <c r="U270" s="512">
        <v>0.3</v>
      </c>
      <c r="V270" s="449">
        <v>1540</v>
      </c>
      <c r="AA270" s="500">
        <f t="shared" si="25"/>
        <v>19</v>
      </c>
      <c r="AB270" s="201" t="str">
        <f t="shared" si="22"/>
        <v>Ultima Mk7 2M</v>
      </c>
      <c r="AC270" s="112" t="str">
        <f t="shared" si="23"/>
        <v>19Ultima Mk7 2M</v>
      </c>
      <c r="AD270" s="112" t="str">
        <f>IFERROR(VLOOKUP(AC270,SSSS!$E$6:$F$285,2,FALSE),"")</f>
        <v/>
      </c>
      <c r="AE270" s="112" t="str">
        <f t="shared" si="24"/>
        <v/>
      </c>
    </row>
    <row r="271" spans="2:31" hidden="1">
      <c r="B271" s="203"/>
      <c r="C271" s="133"/>
      <c r="D271" s="115"/>
      <c r="E271" s="157" t="s">
        <v>629</v>
      </c>
      <c r="F271" s="448" t="str">
        <f t="shared" si="26"/>
        <v>15140040 x 0.3, 16140011 x 0.3</v>
      </c>
      <c r="G271" s="376"/>
      <c r="H271" s="402">
        <v>400</v>
      </c>
      <c r="I271" s="131"/>
      <c r="K271" s="449"/>
      <c r="L271" s="201" t="s">
        <v>413</v>
      </c>
      <c r="O271" s="201" t="s">
        <v>597</v>
      </c>
      <c r="U271" s="512">
        <v>0.3</v>
      </c>
      <c r="V271" s="449">
        <v>1705</v>
      </c>
      <c r="AA271" s="500">
        <f t="shared" si="25"/>
        <v>20</v>
      </c>
      <c r="AB271" s="201" t="str">
        <f t="shared" si="22"/>
        <v>Ultima Mk7 2M</v>
      </c>
      <c r="AC271" s="112" t="str">
        <f t="shared" si="23"/>
        <v>20Ultima Mk7 2M</v>
      </c>
      <c r="AD271" s="112" t="str">
        <f>IFERROR(VLOOKUP(AC271,SSSS!$E$6:$F$285,2,FALSE),"")</f>
        <v/>
      </c>
      <c r="AE271" s="112" t="str">
        <f t="shared" si="24"/>
        <v/>
      </c>
    </row>
    <row r="272" spans="2:31" hidden="1">
      <c r="B272" s="203"/>
      <c r="C272" s="133"/>
      <c r="D272" s="115"/>
      <c r="E272" s="157" t="s">
        <v>630</v>
      </c>
      <c r="F272" s="448" t="str">
        <f t="shared" si="26"/>
        <v>15140042 x 0.3, 16140013 x 0.3</v>
      </c>
      <c r="G272" s="376"/>
      <c r="H272" s="402">
        <v>400</v>
      </c>
      <c r="I272" s="131"/>
      <c r="K272" s="449"/>
      <c r="L272" s="201" t="s">
        <v>414</v>
      </c>
      <c r="O272" s="201" t="s">
        <v>598</v>
      </c>
      <c r="U272" s="512">
        <v>0.3</v>
      </c>
      <c r="V272" s="449">
        <v>3501</v>
      </c>
      <c r="AA272" s="500">
        <f t="shared" si="25"/>
        <v>21</v>
      </c>
      <c r="AB272" s="201" t="str">
        <f t="shared" si="22"/>
        <v>Ultima Mk7 2M</v>
      </c>
      <c r="AC272" s="112" t="str">
        <f t="shared" si="23"/>
        <v>21Ultima Mk7 2M</v>
      </c>
      <c r="AD272" s="112" t="str">
        <f>IFERROR(VLOOKUP(AC272,SSSS!$E$6:$F$285,2,FALSE),"")</f>
        <v/>
      </c>
      <c r="AE272" s="112" t="str">
        <f t="shared" si="24"/>
        <v/>
      </c>
    </row>
    <row r="273" spans="2:31" hidden="1">
      <c r="B273" s="203"/>
      <c r="C273" s="133"/>
      <c r="D273" s="115"/>
      <c r="E273" s="157" t="s">
        <v>631</v>
      </c>
      <c r="F273" s="448" t="str">
        <f t="shared" si="26"/>
        <v>15140043 x 1.5, 16140013 x 0.3</v>
      </c>
      <c r="G273" s="376"/>
      <c r="H273" s="402">
        <v>400</v>
      </c>
      <c r="I273" s="131"/>
      <c r="K273" s="449"/>
      <c r="L273" s="201" t="s">
        <v>415</v>
      </c>
      <c r="O273" s="201" t="s">
        <v>599</v>
      </c>
      <c r="U273" s="512">
        <v>1.5</v>
      </c>
      <c r="V273" s="449">
        <v>3501</v>
      </c>
      <c r="AA273" s="500">
        <f t="shared" si="25"/>
        <v>22</v>
      </c>
      <c r="AB273" s="201" t="str">
        <f t="shared" si="22"/>
        <v>Ultima Mk7 2M</v>
      </c>
      <c r="AC273" s="112" t="str">
        <f t="shared" si="23"/>
        <v>22Ultima Mk7 2M</v>
      </c>
      <c r="AD273" s="112" t="str">
        <f>IFERROR(VLOOKUP(AC273,SSSS!$E$6:$F$285,2,FALSE),"")</f>
        <v/>
      </c>
      <c r="AE273" s="112" t="str">
        <f t="shared" si="24"/>
        <v/>
      </c>
    </row>
    <row r="274" spans="2:31" hidden="1">
      <c r="B274" s="203"/>
      <c r="C274" s="133"/>
      <c r="D274" s="115"/>
      <c r="E274" s="157" t="s">
        <v>632</v>
      </c>
      <c r="F274" s="448" t="str">
        <f t="shared" si="26"/>
        <v>15140054 x 1.5, 16140003 x 0.3</v>
      </c>
      <c r="G274" s="376"/>
      <c r="H274" s="402">
        <v>400</v>
      </c>
      <c r="I274" s="131"/>
      <c r="K274" s="449"/>
      <c r="L274" s="201" t="s">
        <v>416</v>
      </c>
      <c r="O274" s="201" t="s">
        <v>600</v>
      </c>
      <c r="U274" s="512">
        <v>1.5</v>
      </c>
      <c r="V274" s="449">
        <v>1505</v>
      </c>
      <c r="AA274" s="500">
        <f t="shared" ref="AA274:AA276" si="27">AA273+1</f>
        <v>23</v>
      </c>
      <c r="AB274" s="201" t="str">
        <f t="shared" si="22"/>
        <v>Ultima Mk7 2M</v>
      </c>
      <c r="AC274" s="112" t="str">
        <f t="shared" ref="AC274:AC276" si="28">AA274&amp;AB274</f>
        <v>23Ultima Mk7 2M</v>
      </c>
      <c r="AE274" s="112" t="str">
        <f t="shared" si="24"/>
        <v/>
      </c>
    </row>
    <row r="275" spans="2:31" hidden="1">
      <c r="B275" s="203"/>
      <c r="C275" s="133"/>
      <c r="D275" s="115"/>
      <c r="E275" s="157" t="s">
        <v>633</v>
      </c>
      <c r="F275" s="448" t="str">
        <f t="shared" si="26"/>
        <v>15140055 x 0.3, 16140051 x 0.3</v>
      </c>
      <c r="G275" s="376"/>
      <c r="H275" s="402">
        <v>400</v>
      </c>
      <c r="I275" s="131"/>
      <c r="K275" s="449"/>
      <c r="L275" s="201" t="s">
        <v>417</v>
      </c>
      <c r="O275" s="201" t="s">
        <v>601</v>
      </c>
      <c r="U275" s="512">
        <v>0.3</v>
      </c>
      <c r="V275" s="449">
        <v>1558</v>
      </c>
      <c r="AA275" s="500">
        <f t="shared" si="27"/>
        <v>24</v>
      </c>
      <c r="AB275" s="201" t="str">
        <f t="shared" si="22"/>
        <v>Ultima Mk7 2M</v>
      </c>
      <c r="AC275" s="112" t="str">
        <f t="shared" si="28"/>
        <v>24Ultima Mk7 2M</v>
      </c>
      <c r="AE275" s="112" t="str">
        <f t="shared" si="24"/>
        <v/>
      </c>
    </row>
    <row r="276" spans="2:31" hidden="1">
      <c r="B276" s="203"/>
      <c r="C276" s="133"/>
      <c r="D276" s="115"/>
      <c r="E276" s="157" t="s">
        <v>634</v>
      </c>
      <c r="F276" s="448" t="str">
        <f t="shared" si="26"/>
        <v>15140057 x 0.3, 16140052 x 0.3</v>
      </c>
      <c r="G276" s="376"/>
      <c r="H276" s="402">
        <v>400</v>
      </c>
      <c r="I276" s="131"/>
      <c r="K276" s="449"/>
      <c r="L276" s="201" t="s">
        <v>418</v>
      </c>
      <c r="O276" s="201" t="s">
        <v>602</v>
      </c>
      <c r="U276" s="512">
        <v>0.3</v>
      </c>
      <c r="V276" s="449">
        <v>2750</v>
      </c>
      <c r="AA276" s="500">
        <f t="shared" si="27"/>
        <v>25</v>
      </c>
      <c r="AB276" s="201" t="str">
        <f t="shared" si="22"/>
        <v>Ultima Mk7 2M</v>
      </c>
      <c r="AC276" s="112" t="str">
        <f t="shared" si="28"/>
        <v>25Ultima Mk7 2M</v>
      </c>
      <c r="AE276" s="112" t="str">
        <f t="shared" si="24"/>
        <v/>
      </c>
    </row>
    <row r="277" spans="2:31" hidden="1">
      <c r="B277" s="203"/>
      <c r="C277" s="133"/>
      <c r="D277" s="115"/>
      <c r="E277" s="157" t="s">
        <v>635</v>
      </c>
      <c r="F277" s="448" t="str">
        <f t="shared" si="26"/>
        <v>15140058 x 0.3, 16140007 x 0.3</v>
      </c>
      <c r="G277" s="376"/>
      <c r="H277" s="402">
        <v>400</v>
      </c>
      <c r="I277" s="131"/>
      <c r="K277" s="449"/>
      <c r="L277" s="201" t="s">
        <v>419</v>
      </c>
      <c r="O277" s="201" t="s">
        <v>603</v>
      </c>
      <c r="U277" s="512">
        <v>0.3</v>
      </c>
      <c r="V277" s="449">
        <v>1540</v>
      </c>
    </row>
    <row r="278" spans="2:31" hidden="1">
      <c r="B278" s="203"/>
      <c r="C278" s="133"/>
      <c r="D278" s="115"/>
      <c r="E278" s="157" t="s">
        <v>636</v>
      </c>
      <c r="F278" s="448" t="str">
        <f t="shared" si="26"/>
        <v>15140061 x 1.5, 16140014 x 0.3</v>
      </c>
      <c r="G278" s="376"/>
      <c r="H278" s="402">
        <v>400</v>
      </c>
      <c r="I278" s="131"/>
      <c r="K278" s="449"/>
      <c r="L278" s="201" t="s">
        <v>420</v>
      </c>
      <c r="O278" s="201" t="s">
        <v>604</v>
      </c>
      <c r="U278" s="512">
        <v>1.5</v>
      </c>
      <c r="V278" s="449">
        <v>1606</v>
      </c>
    </row>
    <row r="279" spans="2:31" hidden="1">
      <c r="B279" s="203"/>
      <c r="C279" s="133"/>
      <c r="D279" s="115"/>
      <c r="E279" s="157" t="s">
        <v>637</v>
      </c>
      <c r="F279" s="448" t="str">
        <f t="shared" si="26"/>
        <v>15140062 x 1.5, 16140014 x 0.3</v>
      </c>
      <c r="G279" s="376"/>
      <c r="H279" s="402">
        <v>400</v>
      </c>
      <c r="I279" s="131"/>
      <c r="K279" s="449"/>
      <c r="L279" s="201" t="s">
        <v>421</v>
      </c>
      <c r="O279" s="201" t="s">
        <v>605</v>
      </c>
      <c r="U279" s="512">
        <v>1.5</v>
      </c>
      <c r="V279" s="449">
        <v>1606</v>
      </c>
    </row>
    <row r="280" spans="2:31" hidden="1">
      <c r="B280" s="203"/>
      <c r="C280" s="468" t="s">
        <v>641</v>
      </c>
      <c r="D280" s="115"/>
      <c r="E280" s="157"/>
      <c r="F280" s="376"/>
      <c r="G280" s="376"/>
      <c r="H280" s="402"/>
      <c r="I280" s="131"/>
      <c r="U280" s="512"/>
    </row>
    <row r="281" spans="2:31" hidden="1">
      <c r="B281" s="203"/>
      <c r="C281" s="133"/>
      <c r="D281" s="115">
        <v>1505</v>
      </c>
      <c r="E281" s="157" t="s">
        <v>606</v>
      </c>
      <c r="F281" s="376" t="s">
        <v>450</v>
      </c>
      <c r="G281" s="376" t="s">
        <v>479</v>
      </c>
      <c r="H281" s="402">
        <v>243</v>
      </c>
      <c r="I281" s="131"/>
      <c r="L281" s="201" t="s">
        <v>422</v>
      </c>
      <c r="O281" s="201" t="s">
        <v>606</v>
      </c>
      <c r="U281" s="512">
        <v>0.3</v>
      </c>
    </row>
    <row r="282" spans="2:31" hidden="1">
      <c r="B282" s="203"/>
      <c r="C282" s="133"/>
      <c r="D282" s="115">
        <v>1506</v>
      </c>
      <c r="E282" s="157" t="s">
        <v>607</v>
      </c>
      <c r="F282" s="376" t="s">
        <v>451</v>
      </c>
      <c r="G282" s="376" t="s">
        <v>480</v>
      </c>
      <c r="H282" s="402">
        <v>243</v>
      </c>
      <c r="I282" s="131"/>
      <c r="L282" s="201" t="s">
        <v>423</v>
      </c>
      <c r="O282" s="201" t="s">
        <v>607</v>
      </c>
      <c r="U282" s="512">
        <v>0.3</v>
      </c>
    </row>
    <row r="283" spans="2:31" hidden="1">
      <c r="B283" s="203"/>
      <c r="C283" s="133"/>
      <c r="D283" s="115">
        <v>1512</v>
      </c>
      <c r="E283" s="157" t="s">
        <v>608</v>
      </c>
      <c r="F283" s="376" t="s">
        <v>452</v>
      </c>
      <c r="G283" s="376" t="s">
        <v>481</v>
      </c>
      <c r="H283" s="402">
        <v>211</v>
      </c>
      <c r="I283" s="131"/>
      <c r="L283" s="201" t="s">
        <v>424</v>
      </c>
      <c r="O283" s="201" t="s">
        <v>608</v>
      </c>
      <c r="U283" s="512">
        <v>0.3</v>
      </c>
    </row>
    <row r="284" spans="2:31" hidden="1">
      <c r="B284" s="203"/>
      <c r="C284" s="133"/>
      <c r="D284" s="115">
        <v>1540</v>
      </c>
      <c r="E284" s="157" t="s">
        <v>609</v>
      </c>
      <c r="F284" s="376" t="s">
        <v>453</v>
      </c>
      <c r="G284" s="376" t="s">
        <v>482</v>
      </c>
      <c r="H284" s="402">
        <v>546</v>
      </c>
      <c r="I284" s="131"/>
      <c r="L284" s="201" t="s">
        <v>425</v>
      </c>
      <c r="O284" s="201" t="s">
        <v>609</v>
      </c>
      <c r="U284" s="512">
        <v>0.3</v>
      </c>
    </row>
    <row r="285" spans="2:31" hidden="1">
      <c r="B285" s="203"/>
      <c r="C285" s="133"/>
      <c r="D285" s="115">
        <v>1555</v>
      </c>
      <c r="E285" s="157" t="s">
        <v>610</v>
      </c>
      <c r="F285" s="376" t="s">
        <v>454</v>
      </c>
      <c r="G285" s="376" t="s">
        <v>483</v>
      </c>
      <c r="H285" s="402">
        <v>243</v>
      </c>
      <c r="I285" s="131"/>
      <c r="L285" s="201" t="s">
        <v>426</v>
      </c>
      <c r="O285" s="201" t="s">
        <v>610</v>
      </c>
      <c r="U285" s="512">
        <v>0.3</v>
      </c>
    </row>
    <row r="286" spans="2:31" hidden="1">
      <c r="B286" s="203"/>
      <c r="C286" s="133"/>
      <c r="D286" s="115">
        <v>1560</v>
      </c>
      <c r="E286" s="157" t="s">
        <v>611</v>
      </c>
      <c r="F286" s="376" t="s">
        <v>455</v>
      </c>
      <c r="G286" s="376" t="s">
        <v>484</v>
      </c>
      <c r="H286" s="402">
        <v>546</v>
      </c>
      <c r="I286" s="131"/>
      <c r="L286" s="201" t="s">
        <v>427</v>
      </c>
      <c r="O286" s="201" t="s">
        <v>611</v>
      </c>
      <c r="U286" s="512">
        <v>0.3</v>
      </c>
    </row>
    <row r="287" spans="2:31" hidden="1">
      <c r="B287" s="203"/>
      <c r="C287" s="133"/>
      <c r="D287" s="115">
        <v>1705</v>
      </c>
      <c r="E287" s="157" t="s">
        <v>612</v>
      </c>
      <c r="F287" s="376" t="s">
        <v>456</v>
      </c>
      <c r="G287" s="376" t="s">
        <v>485</v>
      </c>
      <c r="H287" s="402">
        <v>164</v>
      </c>
      <c r="I287" s="131"/>
      <c r="L287" s="201" t="s">
        <v>428</v>
      </c>
      <c r="O287" s="201" t="s">
        <v>612</v>
      </c>
      <c r="U287" s="512">
        <v>0.3</v>
      </c>
    </row>
    <row r="288" spans="2:31" hidden="1">
      <c r="B288" s="203"/>
      <c r="C288" s="133"/>
      <c r="D288" s="115">
        <v>3501</v>
      </c>
      <c r="E288" s="157" t="s">
        <v>613</v>
      </c>
      <c r="F288" s="376" t="s">
        <v>457</v>
      </c>
      <c r="G288" s="376" t="s">
        <v>486</v>
      </c>
      <c r="H288" s="402">
        <v>211</v>
      </c>
      <c r="I288" s="131"/>
      <c r="L288" s="201" t="s">
        <v>429</v>
      </c>
      <c r="O288" s="201" t="s">
        <v>613</v>
      </c>
      <c r="U288" s="512">
        <v>0.3</v>
      </c>
    </row>
    <row r="289" spans="2:30" hidden="1">
      <c r="B289" s="203"/>
      <c r="C289" s="133"/>
      <c r="D289" s="115">
        <v>1606</v>
      </c>
      <c r="E289" s="157" t="s">
        <v>614</v>
      </c>
      <c r="F289" s="376" t="s">
        <v>458</v>
      </c>
      <c r="G289" s="376" t="s">
        <v>487</v>
      </c>
      <c r="H289" s="402">
        <v>243</v>
      </c>
      <c r="I289" s="131"/>
      <c r="L289" s="201" t="s">
        <v>430</v>
      </c>
      <c r="O289" s="201" t="s">
        <v>614</v>
      </c>
      <c r="U289" s="512">
        <v>0.3</v>
      </c>
    </row>
    <row r="290" spans="2:30" hidden="1">
      <c r="B290" s="203"/>
      <c r="C290" s="133"/>
      <c r="D290" s="115">
        <v>1558</v>
      </c>
      <c r="E290" s="157" t="s">
        <v>615</v>
      </c>
      <c r="F290" s="376" t="s">
        <v>459</v>
      </c>
      <c r="G290" s="376" t="s">
        <v>488</v>
      </c>
      <c r="H290" s="402">
        <v>259</v>
      </c>
      <c r="I290" s="131"/>
      <c r="L290" s="201" t="s">
        <v>431</v>
      </c>
      <c r="O290" s="201" t="s">
        <v>615</v>
      </c>
      <c r="U290" s="512">
        <v>0.3</v>
      </c>
    </row>
    <row r="291" spans="2:30" hidden="1">
      <c r="B291" s="203"/>
      <c r="C291" s="133"/>
      <c r="D291" s="115">
        <v>2750</v>
      </c>
      <c r="E291" s="157" t="s">
        <v>616</v>
      </c>
      <c r="F291" s="376" t="s">
        <v>460</v>
      </c>
      <c r="G291" s="376" t="s">
        <v>489</v>
      </c>
      <c r="H291" s="402">
        <v>313</v>
      </c>
      <c r="I291" s="131"/>
      <c r="L291" s="201" t="s">
        <v>432</v>
      </c>
      <c r="O291" s="201" t="s">
        <v>616</v>
      </c>
      <c r="U291" s="512">
        <v>0.3</v>
      </c>
    </row>
    <row r="292" spans="2:30" hidden="1">
      <c r="B292" s="203"/>
      <c r="C292" s="133"/>
      <c r="D292" s="115"/>
      <c r="E292" s="157"/>
      <c r="F292" s="376"/>
      <c r="G292" s="376"/>
      <c r="H292" s="402"/>
      <c r="I292" s="131"/>
    </row>
    <row r="293" spans="2:30" hidden="1">
      <c r="B293" s="203"/>
      <c r="C293" s="133"/>
      <c r="D293" s="115">
        <v>1039</v>
      </c>
      <c r="E293" s="157" t="s">
        <v>588</v>
      </c>
      <c r="F293" s="376">
        <v>15140020</v>
      </c>
      <c r="G293" s="376" t="s">
        <v>461</v>
      </c>
      <c r="H293" s="402">
        <v>472</v>
      </c>
      <c r="I293" s="131"/>
      <c r="K293" s="449">
        <f>VLOOKUP(E293,$O$262:$V$279,8,FALSE)</f>
        <v>1505</v>
      </c>
      <c r="L293" s="201" t="str">
        <f>VLOOKUP(K293,$D$281:$G$291,3,FALSE)</f>
        <v>16140003</v>
      </c>
      <c r="M293" s="201" t="str">
        <f>VLOOKUP(K293,$D$281:$G$291,4,FALSE)</f>
        <v>FA91505</v>
      </c>
      <c r="N293" s="201" t="str">
        <f>"Startup Kit "&amp;"- "&amp;D293&amp;" Ink &amp; "&amp;K293&amp;" Solvent"</f>
        <v>Startup Kit - 1039 Ink &amp; 1505 Solvent</v>
      </c>
      <c r="U293" s="449">
        <f>VLOOKUP(E293,$O$262:$U$291,7,FALSE)</f>
        <v>1.5</v>
      </c>
      <c r="V293" s="449">
        <f>VLOOKUP(K293,$D$281:$U$291,18,FALSE)</f>
        <v>0.3</v>
      </c>
      <c r="W293" s="201" t="str">
        <f>F293&amp;" x "&amp;U293</f>
        <v>15140020 x 1.5</v>
      </c>
      <c r="X293" s="112" t="str">
        <f>L293&amp;" x "&amp;V293</f>
        <v>16140003 x 0.3</v>
      </c>
      <c r="Y293" s="447" t="str">
        <f>W293&amp;", "&amp;X293</f>
        <v>15140020 x 1.5, 16140003 x 0.3</v>
      </c>
      <c r="AD293" s="112" t="str">
        <f>VLOOKUP(K293,$D$281:$E$291,2,FALSE)</f>
        <v>Solvent 1505 Clr 10 X 500Ml</v>
      </c>
    </row>
    <row r="294" spans="2:30" hidden="1">
      <c r="B294" s="203"/>
      <c r="C294" s="133"/>
      <c r="D294" s="115">
        <v>1010</v>
      </c>
      <c r="E294" s="157" t="s">
        <v>589</v>
      </c>
      <c r="F294" s="376" t="s">
        <v>433</v>
      </c>
      <c r="G294" s="376" t="s">
        <v>462</v>
      </c>
      <c r="H294" s="402">
        <v>1017</v>
      </c>
      <c r="I294" s="131"/>
      <c r="K294" s="449">
        <f t="shared" ref="K294:K310" si="29">VLOOKUP(E294,$O$262:$V$279,8,FALSE)</f>
        <v>1505</v>
      </c>
      <c r="L294" s="201" t="str">
        <f t="shared" ref="L294:L310" si="30">VLOOKUP(K294,$D$281:$G$291,3,FALSE)</f>
        <v>16140003</v>
      </c>
      <c r="M294" s="201" t="str">
        <f t="shared" ref="M294:M310" si="31">VLOOKUP(K294,$D$281:$G$291,4,FALSE)</f>
        <v>FA91505</v>
      </c>
      <c r="N294" s="201" t="str">
        <f t="shared" ref="N294:N310" si="32">"Startup Kit "&amp;"- "&amp;D294&amp;" Ink &amp; "&amp;K294&amp;" Solvent"</f>
        <v>Startup Kit - 1010 Ink &amp; 1505 Solvent</v>
      </c>
      <c r="U294" s="449">
        <f t="shared" ref="U294:U310" si="33">VLOOKUP(E294,$O$262:$U$291,7,FALSE)</f>
        <v>0.3</v>
      </c>
      <c r="V294" s="449">
        <f t="shared" ref="V294:V310" si="34">VLOOKUP(K294,$D$281:$U$291,18,FALSE)</f>
        <v>0.3</v>
      </c>
      <c r="W294" s="201" t="str">
        <f t="shared" ref="W294:W310" si="35">F294&amp;" x "&amp;U294</f>
        <v>15140022 x 0.3</v>
      </c>
      <c r="X294" s="112" t="str">
        <f t="shared" ref="X294:X310" si="36">L294&amp;" x "&amp;V294</f>
        <v>16140003 x 0.3</v>
      </c>
      <c r="Y294" s="447" t="str">
        <f t="shared" ref="Y294:Y310" si="37">W294&amp;", "&amp;X294</f>
        <v>15140022 x 0.3, 16140003 x 0.3</v>
      </c>
      <c r="AD294" s="112" t="str">
        <f t="shared" ref="AD294:AD310" si="38">VLOOKUP(K294,$D$281:$E$291,2,FALSE)</f>
        <v>Solvent 1505 Clr 10 X 500Ml</v>
      </c>
    </row>
    <row r="295" spans="2:30" hidden="1">
      <c r="B295" s="203"/>
      <c r="C295" s="133"/>
      <c r="D295" s="115">
        <v>1014</v>
      </c>
      <c r="E295" s="157" t="s">
        <v>590</v>
      </c>
      <c r="F295" s="376" t="s">
        <v>434</v>
      </c>
      <c r="G295" s="376" t="s">
        <v>463</v>
      </c>
      <c r="H295" s="402">
        <v>250</v>
      </c>
      <c r="I295" s="131"/>
      <c r="K295" s="449">
        <f t="shared" si="29"/>
        <v>1505</v>
      </c>
      <c r="L295" s="201" t="str">
        <f t="shared" si="30"/>
        <v>16140003</v>
      </c>
      <c r="M295" s="201" t="str">
        <f t="shared" si="31"/>
        <v>FA91505</v>
      </c>
      <c r="N295" s="201" t="str">
        <f t="shared" si="32"/>
        <v>Startup Kit - 1014 Ink &amp; 1505 Solvent</v>
      </c>
      <c r="U295" s="449">
        <f t="shared" si="33"/>
        <v>1.5</v>
      </c>
      <c r="V295" s="449">
        <f t="shared" si="34"/>
        <v>0.3</v>
      </c>
      <c r="W295" s="201" t="str">
        <f t="shared" si="35"/>
        <v>15140024 x 1.5</v>
      </c>
      <c r="X295" s="112" t="str">
        <f t="shared" si="36"/>
        <v>16140003 x 0.3</v>
      </c>
      <c r="Y295" s="447" t="str">
        <f t="shared" si="37"/>
        <v>15140024 x 1.5, 16140003 x 0.3</v>
      </c>
      <c r="AD295" s="112" t="str">
        <f t="shared" si="38"/>
        <v>Solvent 1505 Clr 10 X 500Ml</v>
      </c>
    </row>
    <row r="296" spans="2:30" hidden="1">
      <c r="B296" s="203"/>
      <c r="C296" s="133"/>
      <c r="D296" s="115">
        <v>1016</v>
      </c>
      <c r="E296" s="157" t="s">
        <v>591</v>
      </c>
      <c r="F296" s="376" t="s">
        <v>435</v>
      </c>
      <c r="G296" s="376" t="s">
        <v>464</v>
      </c>
      <c r="H296" s="402">
        <v>1157</v>
      </c>
      <c r="I296" s="131"/>
      <c r="K296" s="449">
        <f t="shared" si="29"/>
        <v>1506</v>
      </c>
      <c r="L296" s="201" t="str">
        <f t="shared" si="30"/>
        <v>16140004</v>
      </c>
      <c r="M296" s="201" t="str">
        <f t="shared" si="31"/>
        <v>FA91506</v>
      </c>
      <c r="N296" s="201" t="str">
        <f t="shared" si="32"/>
        <v>Startup Kit - 1016 Ink &amp; 1506 Solvent</v>
      </c>
      <c r="U296" s="449">
        <f t="shared" si="33"/>
        <v>0.3</v>
      </c>
      <c r="V296" s="449">
        <f t="shared" si="34"/>
        <v>0.3</v>
      </c>
      <c r="W296" s="201" t="str">
        <f t="shared" si="35"/>
        <v>15140025 x 0.3</v>
      </c>
      <c r="X296" s="112" t="str">
        <f t="shared" si="36"/>
        <v>16140004 x 0.3</v>
      </c>
      <c r="Y296" s="447" t="str">
        <f t="shared" si="37"/>
        <v>15140025 x 0.3, 16140004 x 0.3</v>
      </c>
      <c r="AD296" s="112" t="str">
        <f t="shared" si="38"/>
        <v>Solvent 1506 Clr 10 X 500Ml</v>
      </c>
    </row>
    <row r="297" spans="2:30" hidden="1">
      <c r="B297" s="203"/>
      <c r="C297" s="133"/>
      <c r="D297" s="115">
        <v>1056</v>
      </c>
      <c r="E297" s="157" t="s">
        <v>592</v>
      </c>
      <c r="F297" s="376" t="s">
        <v>436</v>
      </c>
      <c r="G297" s="376" t="s">
        <v>465</v>
      </c>
      <c r="H297" s="402">
        <v>1116</v>
      </c>
      <c r="I297" s="131"/>
      <c r="K297" s="449">
        <f t="shared" si="29"/>
        <v>1555</v>
      </c>
      <c r="L297" s="201" t="str">
        <f t="shared" si="30"/>
        <v>16140008</v>
      </c>
      <c r="M297" s="201" t="str">
        <f t="shared" si="31"/>
        <v>FA91555</v>
      </c>
      <c r="N297" s="201" t="str">
        <f t="shared" si="32"/>
        <v>Startup Kit - 1056 Ink &amp; 1555 Solvent</v>
      </c>
      <c r="U297" s="449">
        <f t="shared" si="33"/>
        <v>0.3</v>
      </c>
      <c r="V297" s="449">
        <f t="shared" si="34"/>
        <v>0.3</v>
      </c>
      <c r="W297" s="201" t="str">
        <f t="shared" si="35"/>
        <v>15140033 x 0.3</v>
      </c>
      <c r="X297" s="112" t="str">
        <f t="shared" si="36"/>
        <v>16140008 x 0.3</v>
      </c>
      <c r="Y297" s="447" t="str">
        <f t="shared" si="37"/>
        <v>15140033 x 0.3, 16140008 x 0.3</v>
      </c>
      <c r="AD297" s="112" t="str">
        <f t="shared" si="38"/>
        <v>Solvent 1555 Clr 10 X 500Ml</v>
      </c>
    </row>
    <row r="298" spans="2:30" hidden="1">
      <c r="B298" s="203"/>
      <c r="C298" s="133"/>
      <c r="D298" s="115">
        <v>1059</v>
      </c>
      <c r="E298" s="157" t="s">
        <v>593</v>
      </c>
      <c r="F298" s="376" t="s">
        <v>437</v>
      </c>
      <c r="G298" s="376" t="s">
        <v>466</v>
      </c>
      <c r="H298" s="402">
        <v>460</v>
      </c>
      <c r="I298" s="131"/>
      <c r="K298" s="449">
        <f t="shared" si="29"/>
        <v>1505</v>
      </c>
      <c r="L298" s="201" t="str">
        <f t="shared" si="30"/>
        <v>16140003</v>
      </c>
      <c r="M298" s="201" t="str">
        <f t="shared" si="31"/>
        <v>FA91505</v>
      </c>
      <c r="N298" s="201" t="str">
        <f t="shared" si="32"/>
        <v>Startup Kit - 1059 Ink &amp; 1505 Solvent</v>
      </c>
      <c r="U298" s="449">
        <f t="shared" si="33"/>
        <v>1.5</v>
      </c>
      <c r="V298" s="449">
        <f t="shared" si="34"/>
        <v>0.3</v>
      </c>
      <c r="W298" s="201" t="str">
        <f t="shared" si="35"/>
        <v>15140034 x 1.5</v>
      </c>
      <c r="X298" s="112" t="str">
        <f t="shared" si="36"/>
        <v>16140003 x 0.3</v>
      </c>
      <c r="Y298" s="447" t="str">
        <f t="shared" si="37"/>
        <v>15140034 x 1.5, 16140003 x 0.3</v>
      </c>
      <c r="AD298" s="112" t="str">
        <f t="shared" si="38"/>
        <v>Solvent 1505 Clr 10 X 500Ml</v>
      </c>
    </row>
    <row r="299" spans="2:30" hidden="1">
      <c r="B299" s="203"/>
      <c r="C299" s="133"/>
      <c r="D299" s="115">
        <v>1070</v>
      </c>
      <c r="E299" s="157" t="s">
        <v>594</v>
      </c>
      <c r="F299" s="376" t="s">
        <v>438</v>
      </c>
      <c r="G299" s="376" t="s">
        <v>467</v>
      </c>
      <c r="H299" s="402">
        <v>1236</v>
      </c>
      <c r="I299" s="131"/>
      <c r="K299" s="449">
        <f t="shared" si="29"/>
        <v>1560</v>
      </c>
      <c r="L299" s="201" t="str">
        <f t="shared" si="30"/>
        <v>16140009</v>
      </c>
      <c r="M299" s="201" t="str">
        <f t="shared" si="31"/>
        <v>FA91560/5L</v>
      </c>
      <c r="N299" s="201" t="str">
        <f t="shared" si="32"/>
        <v>Startup Kit - 1070 Ink &amp; 1560 Solvent</v>
      </c>
      <c r="U299" s="449">
        <f t="shared" si="33"/>
        <v>0.3</v>
      </c>
      <c r="V299" s="449">
        <f t="shared" si="34"/>
        <v>0.3</v>
      </c>
      <c r="W299" s="201" t="str">
        <f t="shared" si="35"/>
        <v>15140035 x 0.3</v>
      </c>
      <c r="X299" s="112" t="str">
        <f t="shared" si="36"/>
        <v>16140009 x 0.3</v>
      </c>
      <c r="Y299" s="447" t="str">
        <f t="shared" si="37"/>
        <v>15140035 x 0.3, 16140009 x 0.3</v>
      </c>
      <c r="AD299" s="112" t="str">
        <f t="shared" si="38"/>
        <v>Solvent 1560 Clr 10 X 500Ml</v>
      </c>
    </row>
    <row r="300" spans="2:30" hidden="1">
      <c r="B300" s="203"/>
      <c r="C300" s="133"/>
      <c r="D300" s="115">
        <v>1240</v>
      </c>
      <c r="E300" s="157" t="s">
        <v>595</v>
      </c>
      <c r="F300" s="376" t="s">
        <v>439</v>
      </c>
      <c r="G300" s="376" t="s">
        <v>468</v>
      </c>
      <c r="H300" s="402">
        <v>793</v>
      </c>
      <c r="I300" s="131"/>
      <c r="K300" s="449">
        <f t="shared" si="29"/>
        <v>1512</v>
      </c>
      <c r="L300" s="201" t="str">
        <f t="shared" si="30"/>
        <v>16140005</v>
      </c>
      <c r="M300" s="201" t="str">
        <f t="shared" si="31"/>
        <v>FA91512</v>
      </c>
      <c r="N300" s="201" t="str">
        <f t="shared" si="32"/>
        <v>Startup Kit - 1240 Ink &amp; 1512 Solvent</v>
      </c>
      <c r="U300" s="449">
        <f t="shared" si="33"/>
        <v>0.3</v>
      </c>
      <c r="V300" s="449">
        <f t="shared" si="34"/>
        <v>0.3</v>
      </c>
      <c r="W300" s="201" t="str">
        <f t="shared" si="35"/>
        <v>15140036 x 0.3</v>
      </c>
      <c r="X300" s="112" t="str">
        <f t="shared" si="36"/>
        <v>16140005 x 0.3</v>
      </c>
      <c r="Y300" s="447" t="str">
        <f t="shared" si="37"/>
        <v>15140036 x 0.3, 16140005 x 0.3</v>
      </c>
      <c r="AD300" s="112" t="str">
        <f t="shared" si="38"/>
        <v>Solvent 1512 Clr 10 X 500Ml</v>
      </c>
    </row>
    <row r="301" spans="2:30" hidden="1">
      <c r="B301" s="203"/>
      <c r="C301" s="133"/>
      <c r="D301" s="115">
        <v>1290</v>
      </c>
      <c r="E301" s="157" t="s">
        <v>596</v>
      </c>
      <c r="F301" s="376" t="s">
        <v>440</v>
      </c>
      <c r="G301" s="376" t="s">
        <v>469</v>
      </c>
      <c r="H301" s="402">
        <v>1120</v>
      </c>
      <c r="I301" s="131"/>
      <c r="K301" s="449">
        <f t="shared" si="29"/>
        <v>1540</v>
      </c>
      <c r="L301" s="201" t="str">
        <f t="shared" si="30"/>
        <v>16140007</v>
      </c>
      <c r="M301" s="201" t="str">
        <f t="shared" si="31"/>
        <v>FA91540</v>
      </c>
      <c r="N301" s="201" t="str">
        <f t="shared" si="32"/>
        <v>Startup Kit - 1290 Ink &amp; 1540 Solvent</v>
      </c>
      <c r="U301" s="449">
        <f t="shared" si="33"/>
        <v>0.3</v>
      </c>
      <c r="V301" s="449">
        <f t="shared" si="34"/>
        <v>0.3</v>
      </c>
      <c r="W301" s="201" t="str">
        <f t="shared" si="35"/>
        <v>15140037 x 0.3</v>
      </c>
      <c r="X301" s="112" t="str">
        <f t="shared" si="36"/>
        <v>16140007 x 0.3</v>
      </c>
      <c r="Y301" s="447" t="str">
        <f t="shared" si="37"/>
        <v>15140037 x 0.3, 16140007 x 0.3</v>
      </c>
      <c r="AD301" s="112" t="str">
        <f t="shared" si="38"/>
        <v>Solvent 1540 Clr 10 X 500Ml</v>
      </c>
    </row>
    <row r="302" spans="2:30" hidden="1">
      <c r="B302" s="203"/>
      <c r="C302" s="133"/>
      <c r="D302" s="115">
        <v>1405</v>
      </c>
      <c r="E302" s="157" t="s">
        <v>597</v>
      </c>
      <c r="F302" s="376" t="s">
        <v>441</v>
      </c>
      <c r="G302" s="376" t="s">
        <v>470</v>
      </c>
      <c r="H302" s="402">
        <v>738</v>
      </c>
      <c r="I302" s="131"/>
      <c r="K302" s="449">
        <f t="shared" si="29"/>
        <v>1705</v>
      </c>
      <c r="L302" s="201" t="str">
        <f t="shared" si="30"/>
        <v>16140011</v>
      </c>
      <c r="M302" s="201" t="str">
        <f t="shared" si="31"/>
        <v>FA91705/5L</v>
      </c>
      <c r="N302" s="201" t="str">
        <f t="shared" si="32"/>
        <v>Startup Kit - 1405 Ink &amp; 1705 Solvent</v>
      </c>
      <c r="U302" s="449">
        <f t="shared" si="33"/>
        <v>0.3</v>
      </c>
      <c r="V302" s="449">
        <f t="shared" si="34"/>
        <v>0.3</v>
      </c>
      <c r="W302" s="201" t="str">
        <f t="shared" si="35"/>
        <v>15140040 x 0.3</v>
      </c>
      <c r="X302" s="112" t="str">
        <f t="shared" si="36"/>
        <v>16140011 x 0.3</v>
      </c>
      <c r="Y302" s="447" t="str">
        <f t="shared" si="37"/>
        <v>15140040 x 0.3, 16140011 x 0.3</v>
      </c>
      <c r="AD302" s="112" t="str">
        <f t="shared" si="38"/>
        <v>Solvent 1705 Clr 10 X 500Ml</v>
      </c>
    </row>
    <row r="303" spans="2:30" hidden="1">
      <c r="B303" s="203"/>
      <c r="C303" s="133"/>
      <c r="D303" s="115">
        <v>3103</v>
      </c>
      <c r="E303" s="157" t="s">
        <v>598</v>
      </c>
      <c r="F303" s="376" t="s">
        <v>442</v>
      </c>
      <c r="G303" s="376" t="s">
        <v>471</v>
      </c>
      <c r="H303" s="402">
        <v>811</v>
      </c>
      <c r="I303" s="131"/>
      <c r="K303" s="449">
        <f t="shared" si="29"/>
        <v>3501</v>
      </c>
      <c r="L303" s="201" t="str">
        <f t="shared" si="30"/>
        <v>16140013</v>
      </c>
      <c r="M303" s="201" t="str">
        <f t="shared" si="31"/>
        <v>FA93501</v>
      </c>
      <c r="N303" s="201" t="str">
        <f t="shared" si="32"/>
        <v>Startup Kit - 3103 Ink &amp; 3501 Solvent</v>
      </c>
      <c r="U303" s="449">
        <f t="shared" si="33"/>
        <v>0.3</v>
      </c>
      <c r="V303" s="449">
        <f t="shared" si="34"/>
        <v>0.3</v>
      </c>
      <c r="W303" s="201" t="str">
        <f t="shared" si="35"/>
        <v>15140042 x 0.3</v>
      </c>
      <c r="X303" s="112" t="str">
        <f t="shared" si="36"/>
        <v>16140013 x 0.3</v>
      </c>
      <c r="Y303" s="447" t="str">
        <f t="shared" si="37"/>
        <v>15140042 x 0.3, 16140013 x 0.3</v>
      </c>
      <c r="AD303" s="112" t="str">
        <f t="shared" si="38"/>
        <v>Solvent 3501 Clr 10 X 500Ml</v>
      </c>
    </row>
    <row r="304" spans="2:30" hidden="1">
      <c r="B304" s="203"/>
      <c r="C304" s="133"/>
      <c r="D304" s="115">
        <v>3123</v>
      </c>
      <c r="E304" s="157" t="s">
        <v>599</v>
      </c>
      <c r="F304" s="376" t="s">
        <v>443</v>
      </c>
      <c r="G304" s="376" t="s">
        <v>472</v>
      </c>
      <c r="H304" s="402">
        <v>252</v>
      </c>
      <c r="I304" s="131"/>
      <c r="K304" s="449">
        <f t="shared" si="29"/>
        <v>3501</v>
      </c>
      <c r="L304" s="201" t="str">
        <f t="shared" si="30"/>
        <v>16140013</v>
      </c>
      <c r="M304" s="201" t="str">
        <f t="shared" si="31"/>
        <v>FA93501</v>
      </c>
      <c r="N304" s="201" t="str">
        <f t="shared" si="32"/>
        <v>Startup Kit - 3123 Ink &amp; 3501 Solvent</v>
      </c>
      <c r="U304" s="449">
        <f t="shared" si="33"/>
        <v>1.5</v>
      </c>
      <c r="V304" s="449">
        <f t="shared" si="34"/>
        <v>0.3</v>
      </c>
      <c r="W304" s="201" t="str">
        <f t="shared" si="35"/>
        <v>15140043 x 1.5</v>
      </c>
      <c r="X304" s="112" t="str">
        <f t="shared" si="36"/>
        <v>16140013 x 0.3</v>
      </c>
      <c r="Y304" s="447" t="str">
        <f t="shared" si="37"/>
        <v>15140043 x 1.5, 16140013 x 0.3</v>
      </c>
      <c r="AD304" s="112" t="str">
        <f t="shared" si="38"/>
        <v>Solvent 3501 Clr 10 X 500Ml</v>
      </c>
    </row>
    <row r="305" spans="2:30" hidden="1">
      <c r="B305" s="203"/>
      <c r="C305" s="133"/>
      <c r="D305" s="115">
        <v>1043</v>
      </c>
      <c r="E305" s="157" t="s">
        <v>600</v>
      </c>
      <c r="F305" s="376" t="s">
        <v>444</v>
      </c>
      <c r="G305" s="376" t="s">
        <v>473</v>
      </c>
      <c r="H305" s="402">
        <v>527</v>
      </c>
      <c r="I305" s="131"/>
      <c r="K305" s="449">
        <f t="shared" si="29"/>
        <v>1505</v>
      </c>
      <c r="L305" s="201" t="str">
        <f t="shared" si="30"/>
        <v>16140003</v>
      </c>
      <c r="M305" s="201" t="str">
        <f t="shared" si="31"/>
        <v>FA91505</v>
      </c>
      <c r="N305" s="201" t="str">
        <f t="shared" si="32"/>
        <v>Startup Kit - 1043 Ink &amp; 1505 Solvent</v>
      </c>
      <c r="U305" s="449">
        <f t="shared" si="33"/>
        <v>1.5</v>
      </c>
      <c r="V305" s="449">
        <f t="shared" si="34"/>
        <v>0.3</v>
      </c>
      <c r="W305" s="201" t="str">
        <f t="shared" si="35"/>
        <v>15140054 x 1.5</v>
      </c>
      <c r="X305" s="112" t="str">
        <f t="shared" si="36"/>
        <v>16140003 x 0.3</v>
      </c>
      <c r="Y305" s="447" t="str">
        <f t="shared" si="37"/>
        <v>15140054 x 1.5, 16140003 x 0.3</v>
      </c>
      <c r="AD305" s="112" t="str">
        <f t="shared" si="38"/>
        <v>Solvent 1505 Clr 10 X 500Ml</v>
      </c>
    </row>
    <row r="306" spans="2:30" hidden="1">
      <c r="B306" s="203"/>
      <c r="C306" s="133"/>
      <c r="D306" s="115">
        <v>1058</v>
      </c>
      <c r="E306" s="157" t="s">
        <v>601</v>
      </c>
      <c r="F306" s="376" t="s">
        <v>445</v>
      </c>
      <c r="G306" s="376" t="s">
        <v>474</v>
      </c>
      <c r="H306" s="402">
        <v>1107</v>
      </c>
      <c r="I306" s="131"/>
      <c r="K306" s="449">
        <f t="shared" si="29"/>
        <v>1558</v>
      </c>
      <c r="L306" s="201" t="str">
        <f t="shared" si="30"/>
        <v>16140051</v>
      </c>
      <c r="M306" s="201" t="str">
        <f t="shared" si="31"/>
        <v>FA91558/5L</v>
      </c>
      <c r="N306" s="201" t="str">
        <f t="shared" si="32"/>
        <v>Startup Kit - 1058 Ink &amp; 1558 Solvent</v>
      </c>
      <c r="U306" s="449">
        <f t="shared" si="33"/>
        <v>0.3</v>
      </c>
      <c r="V306" s="449">
        <f t="shared" si="34"/>
        <v>0.3</v>
      </c>
      <c r="W306" s="201" t="str">
        <f t="shared" si="35"/>
        <v>15140055 x 0.3</v>
      </c>
      <c r="X306" s="112" t="str">
        <f t="shared" si="36"/>
        <v>16140051 x 0.3</v>
      </c>
      <c r="Y306" s="447" t="str">
        <f t="shared" si="37"/>
        <v>15140055 x 0.3, 16140051 x 0.3</v>
      </c>
      <c r="AD306" s="112" t="str">
        <f t="shared" si="38"/>
        <v>Solvent 1558 Clr 10 X 500Ml</v>
      </c>
    </row>
    <row r="307" spans="2:30" hidden="1">
      <c r="B307" s="203"/>
      <c r="C307" s="133"/>
      <c r="D307" s="115">
        <v>2250</v>
      </c>
      <c r="E307" s="157" t="s">
        <v>602</v>
      </c>
      <c r="F307" s="376" t="s">
        <v>446</v>
      </c>
      <c r="G307" s="376" t="s">
        <v>475</v>
      </c>
      <c r="H307" s="402">
        <v>840</v>
      </c>
      <c r="I307" s="131"/>
      <c r="K307" s="449">
        <f t="shared" si="29"/>
        <v>2750</v>
      </c>
      <c r="L307" s="201" t="str">
        <f t="shared" si="30"/>
        <v>16140052</v>
      </c>
      <c r="M307" s="201" t="str">
        <f t="shared" si="31"/>
        <v>FA92750</v>
      </c>
      <c r="N307" s="201" t="str">
        <f t="shared" si="32"/>
        <v>Startup Kit - 2250 Ink &amp; 2750 Solvent</v>
      </c>
      <c r="U307" s="449">
        <f t="shared" si="33"/>
        <v>0.3</v>
      </c>
      <c r="V307" s="449">
        <f t="shared" si="34"/>
        <v>0.3</v>
      </c>
      <c r="W307" s="201" t="str">
        <f t="shared" si="35"/>
        <v>15140057 x 0.3</v>
      </c>
      <c r="X307" s="112" t="str">
        <f t="shared" si="36"/>
        <v>16140052 x 0.3</v>
      </c>
      <c r="Y307" s="447" t="str">
        <f t="shared" si="37"/>
        <v>15140057 x 0.3, 16140052 x 0.3</v>
      </c>
      <c r="AD307" s="112" t="str">
        <f t="shared" si="38"/>
        <v>Solvent 2750 Clr 10 X 500Ml</v>
      </c>
    </row>
    <row r="308" spans="2:30" hidden="1">
      <c r="B308" s="203"/>
      <c r="C308" s="133"/>
      <c r="D308" s="115">
        <v>1280</v>
      </c>
      <c r="E308" s="157" t="s">
        <v>603</v>
      </c>
      <c r="F308" s="376" t="s">
        <v>447</v>
      </c>
      <c r="G308" s="376" t="s">
        <v>476</v>
      </c>
      <c r="H308" s="402">
        <v>1120</v>
      </c>
      <c r="I308" s="131"/>
      <c r="K308" s="449">
        <f t="shared" si="29"/>
        <v>1540</v>
      </c>
      <c r="L308" s="201" t="str">
        <f t="shared" si="30"/>
        <v>16140007</v>
      </c>
      <c r="M308" s="201" t="str">
        <f t="shared" si="31"/>
        <v>FA91540</v>
      </c>
      <c r="N308" s="201" t="str">
        <f t="shared" si="32"/>
        <v>Startup Kit - 1280 Ink &amp; 1540 Solvent</v>
      </c>
      <c r="U308" s="449">
        <f t="shared" si="33"/>
        <v>0.3</v>
      </c>
      <c r="V308" s="449">
        <f t="shared" si="34"/>
        <v>0.3</v>
      </c>
      <c r="W308" s="201" t="str">
        <f t="shared" si="35"/>
        <v>15140058 x 0.3</v>
      </c>
      <c r="X308" s="112" t="str">
        <f t="shared" si="36"/>
        <v>16140007 x 0.3</v>
      </c>
      <c r="Y308" s="447" t="str">
        <f t="shared" si="37"/>
        <v>15140058 x 0.3, 16140007 x 0.3</v>
      </c>
      <c r="AD308" s="112" t="str">
        <f t="shared" si="38"/>
        <v>Solvent 1540 Clr 10 X 500Ml</v>
      </c>
    </row>
    <row r="309" spans="2:30" hidden="1">
      <c r="B309" s="203"/>
      <c r="C309" s="133"/>
      <c r="D309" s="115">
        <v>1306</v>
      </c>
      <c r="E309" s="157" t="s">
        <v>604</v>
      </c>
      <c r="F309" s="376" t="s">
        <v>448</v>
      </c>
      <c r="G309" s="376" t="s">
        <v>477</v>
      </c>
      <c r="H309" s="402">
        <v>520</v>
      </c>
      <c r="I309" s="131"/>
      <c r="K309" s="449">
        <f t="shared" si="29"/>
        <v>1606</v>
      </c>
      <c r="L309" s="201" t="str">
        <f t="shared" si="30"/>
        <v>16140014</v>
      </c>
      <c r="M309" s="201" t="str">
        <f t="shared" si="31"/>
        <v>FA91606/5L</v>
      </c>
      <c r="N309" s="201" t="str">
        <f t="shared" si="32"/>
        <v>Startup Kit - 1306 Ink &amp; 1606 Solvent</v>
      </c>
      <c r="U309" s="449">
        <f t="shared" si="33"/>
        <v>1.5</v>
      </c>
      <c r="V309" s="449">
        <f t="shared" si="34"/>
        <v>0.3</v>
      </c>
      <c r="W309" s="201" t="str">
        <f t="shared" si="35"/>
        <v>15140061 x 1.5</v>
      </c>
      <c r="X309" s="112" t="str">
        <f t="shared" si="36"/>
        <v>16140014 x 0.3</v>
      </c>
      <c r="Y309" s="447" t="str">
        <f t="shared" si="37"/>
        <v>15140061 x 1.5, 16140014 x 0.3</v>
      </c>
      <c r="AD309" s="112" t="str">
        <f t="shared" si="38"/>
        <v>Solvent 1606 Clr 10 X 500Ml</v>
      </c>
    </row>
    <row r="310" spans="2:30" hidden="1">
      <c r="B310" s="203"/>
      <c r="C310" s="133"/>
      <c r="D310" s="115">
        <v>1311</v>
      </c>
      <c r="E310" s="157" t="s">
        <v>605</v>
      </c>
      <c r="F310" s="376" t="s">
        <v>449</v>
      </c>
      <c r="G310" s="376" t="s">
        <v>478</v>
      </c>
      <c r="H310" s="402">
        <v>520</v>
      </c>
      <c r="I310" s="131"/>
      <c r="K310" s="449">
        <f t="shared" si="29"/>
        <v>1606</v>
      </c>
      <c r="L310" s="201" t="str">
        <f t="shared" si="30"/>
        <v>16140014</v>
      </c>
      <c r="M310" s="201" t="str">
        <f t="shared" si="31"/>
        <v>FA91606/5L</v>
      </c>
      <c r="N310" s="201" t="str">
        <f t="shared" si="32"/>
        <v>Startup Kit - 1311 Ink &amp; 1606 Solvent</v>
      </c>
      <c r="U310" s="449">
        <f t="shared" si="33"/>
        <v>1.5</v>
      </c>
      <c r="V310" s="449">
        <f t="shared" si="34"/>
        <v>0.3</v>
      </c>
      <c r="W310" s="201" t="str">
        <f t="shared" si="35"/>
        <v>15140062 x 1.5</v>
      </c>
      <c r="X310" s="112" t="str">
        <f t="shared" si="36"/>
        <v>16140014 x 0.3</v>
      </c>
      <c r="Y310" s="447" t="str">
        <f t="shared" si="37"/>
        <v>15140062 x 1.5, 16140014 x 0.3</v>
      </c>
      <c r="AD310" s="112" t="str">
        <f t="shared" si="38"/>
        <v>Solvent 1606 Clr 10 X 500Ml</v>
      </c>
    </row>
    <row r="311" spans="2:30" hidden="1">
      <c r="B311" s="203"/>
      <c r="C311" s="133"/>
      <c r="D311" s="115"/>
      <c r="E311" s="157"/>
      <c r="F311" s="207"/>
      <c r="G311" s="207"/>
      <c r="H311" s="402"/>
      <c r="I311" s="131"/>
    </row>
    <row r="312" spans="2:30" hidden="1">
      <c r="B312" s="203"/>
      <c r="C312" s="133"/>
      <c r="D312" s="115"/>
      <c r="E312" s="157"/>
      <c r="F312" s="207"/>
      <c r="G312" s="207"/>
      <c r="H312" s="402"/>
      <c r="I312" s="131"/>
    </row>
    <row r="313" spans="2:30" hidden="1">
      <c r="B313" s="203"/>
      <c r="C313" s="133"/>
      <c r="D313" s="115"/>
      <c r="E313" s="157" t="s">
        <v>559</v>
      </c>
      <c r="F313" s="207"/>
      <c r="G313" s="207"/>
      <c r="H313" s="402">
        <v>150.30000000000001</v>
      </c>
      <c r="I313" s="131"/>
    </row>
    <row r="314" spans="2:30" hidden="1">
      <c r="B314" s="203"/>
      <c r="C314" s="133"/>
      <c r="D314" s="115"/>
      <c r="E314" s="108"/>
      <c r="F314" s="206"/>
      <c r="G314" s="28"/>
      <c r="H314" s="334"/>
      <c r="I314" s="131"/>
    </row>
    <row r="315" spans="2:30" hidden="1">
      <c r="B315" s="203"/>
      <c r="C315" s="133"/>
      <c r="D315" s="115"/>
      <c r="E315" s="108"/>
      <c r="F315" s="206"/>
      <c r="G315" s="28"/>
      <c r="H315" s="334"/>
      <c r="I315" s="131"/>
    </row>
    <row r="316" spans="2:30" hidden="1">
      <c r="B316" s="203"/>
      <c r="C316" s="133"/>
      <c r="D316" s="115"/>
      <c r="E316" s="108"/>
      <c r="F316" s="206"/>
      <c r="G316" s="28"/>
      <c r="H316" s="334"/>
      <c r="I316" s="131"/>
    </row>
    <row r="317" spans="2:30" hidden="1">
      <c r="B317" s="203"/>
      <c r="C317" s="132" t="s">
        <v>106</v>
      </c>
      <c r="D317" s="115"/>
      <c r="E317" s="157" t="s">
        <v>499</v>
      </c>
      <c r="F317" s="377">
        <v>2020126</v>
      </c>
      <c r="G317" s="377" t="s">
        <v>491</v>
      </c>
      <c r="H317" s="420">
        <v>74</v>
      </c>
      <c r="I317" s="131"/>
    </row>
    <row r="318" spans="2:30" hidden="1">
      <c r="B318" s="203"/>
      <c r="C318" s="133"/>
      <c r="D318" s="115"/>
      <c r="E318" s="157" t="s">
        <v>500</v>
      </c>
      <c r="F318" s="377">
        <v>2020125</v>
      </c>
      <c r="G318" s="424" t="s">
        <v>492</v>
      </c>
      <c r="H318" s="420">
        <v>69</v>
      </c>
      <c r="I318" s="131"/>
    </row>
    <row r="319" spans="2:30" hidden="1">
      <c r="B319" s="203"/>
      <c r="C319" s="133"/>
      <c r="D319" s="115"/>
      <c r="E319" s="157" t="s">
        <v>501</v>
      </c>
      <c r="F319" s="377">
        <v>2020127</v>
      </c>
      <c r="G319" s="377" t="s">
        <v>493</v>
      </c>
      <c r="H319" s="420">
        <v>97</v>
      </c>
      <c r="I319" s="131"/>
    </row>
    <row r="320" spans="2:30" hidden="1">
      <c r="B320" s="203"/>
      <c r="C320" s="133"/>
      <c r="D320" s="115"/>
      <c r="E320" s="157" t="s">
        <v>502</v>
      </c>
      <c r="F320" s="377">
        <v>2020128</v>
      </c>
      <c r="G320" s="377" t="s">
        <v>494</v>
      </c>
      <c r="H320" s="420">
        <v>128</v>
      </c>
      <c r="I320" s="131"/>
    </row>
    <row r="321" spans="2:9" hidden="1">
      <c r="B321" s="203"/>
      <c r="C321" s="133"/>
      <c r="D321" s="115"/>
      <c r="E321" s="157" t="s">
        <v>503</v>
      </c>
      <c r="F321" s="377">
        <v>2020124</v>
      </c>
      <c r="G321" s="377" t="s">
        <v>495</v>
      </c>
      <c r="H321" s="420">
        <v>87</v>
      </c>
      <c r="I321" s="131"/>
    </row>
    <row r="322" spans="2:9" hidden="1">
      <c r="B322" s="203"/>
      <c r="C322" s="115"/>
      <c r="D322" s="115"/>
      <c r="E322" s="157" t="s">
        <v>367</v>
      </c>
      <c r="F322" s="377">
        <v>13080029</v>
      </c>
      <c r="G322" s="377" t="s">
        <v>529</v>
      </c>
      <c r="H322" s="420">
        <v>63</v>
      </c>
      <c r="I322" s="131"/>
    </row>
    <row r="323" spans="2:9" hidden="1">
      <c r="B323" s="203"/>
      <c r="C323" s="115"/>
      <c r="D323" s="115"/>
      <c r="E323" s="157" t="s">
        <v>504</v>
      </c>
      <c r="F323" s="377" t="s">
        <v>530</v>
      </c>
      <c r="G323" s="377" t="s">
        <v>496</v>
      </c>
      <c r="H323" s="420">
        <v>330</v>
      </c>
      <c r="I323" s="131"/>
    </row>
    <row r="324" spans="2:9" hidden="1">
      <c r="B324" s="203"/>
      <c r="C324" s="115"/>
      <c r="D324" s="115"/>
      <c r="E324" s="157" t="s">
        <v>505</v>
      </c>
      <c r="F324" s="377" t="s">
        <v>531</v>
      </c>
      <c r="G324" s="377" t="s">
        <v>497</v>
      </c>
      <c r="H324" s="420">
        <v>242</v>
      </c>
      <c r="I324" s="131"/>
    </row>
    <row r="325" spans="2:9" hidden="1">
      <c r="B325" s="203"/>
      <c r="C325" s="115"/>
      <c r="D325" s="115"/>
      <c r="E325" s="157" t="s">
        <v>506</v>
      </c>
      <c r="F325" s="377" t="s">
        <v>532</v>
      </c>
      <c r="G325" s="377" t="s">
        <v>498</v>
      </c>
      <c r="H325" s="420">
        <v>189</v>
      </c>
      <c r="I325" s="131"/>
    </row>
    <row r="326" spans="2:9" hidden="1">
      <c r="B326" s="203"/>
      <c r="C326" s="115"/>
      <c r="D326" s="115"/>
      <c r="E326" s="157" t="s">
        <v>366</v>
      </c>
      <c r="F326" s="377" t="s">
        <v>533</v>
      </c>
      <c r="G326" s="377" t="s">
        <v>534</v>
      </c>
      <c r="H326" s="420">
        <v>48</v>
      </c>
      <c r="I326" s="131"/>
    </row>
    <row r="327" spans="2:9" hidden="1">
      <c r="B327" s="203"/>
      <c r="C327" s="115"/>
      <c r="D327" s="115"/>
      <c r="E327" s="157" t="s">
        <v>365</v>
      </c>
      <c r="F327" s="377" t="s">
        <v>535</v>
      </c>
      <c r="G327" s="377" t="s">
        <v>534</v>
      </c>
      <c r="H327" s="420">
        <v>15</v>
      </c>
      <c r="I327" s="131"/>
    </row>
    <row r="328" spans="2:9" hidden="1">
      <c r="B328" s="203"/>
      <c r="C328" s="115"/>
      <c r="D328" s="115"/>
      <c r="E328" s="157" t="s">
        <v>364</v>
      </c>
      <c r="F328" s="377">
        <v>13110001</v>
      </c>
      <c r="G328" s="377">
        <v>16304</v>
      </c>
      <c r="H328" s="420">
        <v>1031</v>
      </c>
      <c r="I328" s="131"/>
    </row>
    <row r="329" spans="2:9" hidden="1">
      <c r="B329" s="203"/>
      <c r="C329" s="115"/>
      <c r="D329" s="115"/>
      <c r="E329" s="157" t="s">
        <v>490</v>
      </c>
      <c r="F329" s="377"/>
      <c r="G329" s="377" t="s">
        <v>574</v>
      </c>
      <c r="H329" s="420">
        <v>1370</v>
      </c>
      <c r="I329" s="131"/>
    </row>
    <row r="330" spans="2:9" hidden="1">
      <c r="B330" s="203"/>
      <c r="C330" s="115"/>
      <c r="D330" s="115"/>
      <c r="E330" s="157" t="s">
        <v>1028</v>
      </c>
      <c r="F330" s="377" t="s">
        <v>1025</v>
      </c>
      <c r="G330" s="377"/>
      <c r="H330" s="420">
        <v>2495</v>
      </c>
      <c r="I330" s="131"/>
    </row>
    <row r="331" spans="2:9" hidden="1">
      <c r="B331" s="203"/>
      <c r="C331" s="115"/>
      <c r="D331" s="115"/>
      <c r="E331" s="157" t="s">
        <v>1027</v>
      </c>
      <c r="F331" s="887" t="s">
        <v>1026</v>
      </c>
      <c r="G331" s="377"/>
      <c r="H331" s="420">
        <v>2945</v>
      </c>
      <c r="I331" s="131"/>
    </row>
    <row r="332" spans="2:9" hidden="1">
      <c r="B332" s="203"/>
      <c r="C332" s="115"/>
      <c r="D332" s="115"/>
      <c r="E332" s="157"/>
      <c r="F332" s="377"/>
      <c r="G332" s="377"/>
      <c r="H332" s="420"/>
      <c r="I332" s="131"/>
    </row>
    <row r="333" spans="2:9" hidden="1">
      <c r="B333" s="203"/>
      <c r="C333" s="115"/>
      <c r="D333" s="115"/>
      <c r="E333" s="157"/>
      <c r="F333" s="3"/>
      <c r="G333" s="3"/>
      <c r="H333" s="420"/>
      <c r="I333" s="131"/>
    </row>
    <row r="334" spans="2:9" hidden="1">
      <c r="B334" s="203"/>
      <c r="C334" s="115"/>
      <c r="D334" s="115"/>
      <c r="E334" s="109"/>
      <c r="F334" s="28"/>
      <c r="G334" s="109"/>
      <c r="H334" s="335"/>
      <c r="I334" s="131"/>
    </row>
    <row r="335" spans="2:9" hidden="1">
      <c r="B335" s="203"/>
      <c r="C335" s="115"/>
      <c r="D335" s="115"/>
      <c r="E335" s="109"/>
      <c r="F335" s="28"/>
      <c r="G335" s="109"/>
      <c r="H335" s="335"/>
      <c r="I335" s="131"/>
    </row>
    <row r="336" spans="2:9" hidden="1">
      <c r="B336" s="203"/>
      <c r="C336" s="115"/>
      <c r="D336" s="115"/>
      <c r="E336" s="109"/>
      <c r="F336" s="28"/>
      <c r="G336" s="109"/>
      <c r="H336" s="335"/>
      <c r="I336" s="131"/>
    </row>
    <row r="337" spans="2:23" hidden="1">
      <c r="B337" s="203"/>
      <c r="C337" s="115"/>
      <c r="D337" s="115"/>
      <c r="E337" s="109"/>
      <c r="F337" s="28"/>
      <c r="G337" s="109"/>
      <c r="H337" s="335"/>
      <c r="I337" s="131"/>
    </row>
    <row r="338" spans="2:23" ht="12" hidden="1" customHeight="1">
      <c r="B338" s="203"/>
      <c r="C338" s="132" t="s">
        <v>27</v>
      </c>
      <c r="D338" s="115"/>
      <c r="E338" s="109" t="s">
        <v>67</v>
      </c>
      <c r="F338" s="28"/>
      <c r="G338" s="109"/>
      <c r="H338" s="335"/>
      <c r="I338" s="131"/>
    </row>
    <row r="339" spans="2:23" ht="12" hidden="1" customHeight="1">
      <c r="B339" s="203"/>
      <c r="C339" s="132"/>
      <c r="D339" s="115"/>
      <c r="E339" s="157" t="s">
        <v>87</v>
      </c>
      <c r="F339" s="376">
        <v>11050023</v>
      </c>
      <c r="G339" s="376" t="s">
        <v>88</v>
      </c>
      <c r="H339" s="402">
        <v>397</v>
      </c>
      <c r="I339" s="131"/>
    </row>
    <row r="340" spans="2:23" hidden="1">
      <c r="B340" s="203"/>
      <c r="C340" s="133"/>
      <c r="D340" s="115"/>
      <c r="E340" s="157" t="s">
        <v>98</v>
      </c>
      <c r="F340" s="376">
        <v>11990007</v>
      </c>
      <c r="G340" s="376">
        <v>5318678</v>
      </c>
      <c r="H340" s="420">
        <v>95</v>
      </c>
      <c r="I340" s="131"/>
    </row>
    <row r="341" spans="2:23" hidden="1">
      <c r="B341" s="203"/>
      <c r="C341" s="133"/>
      <c r="D341" s="115"/>
      <c r="E341" s="157" t="s">
        <v>89</v>
      </c>
      <c r="F341" s="376" t="s">
        <v>91</v>
      </c>
      <c r="G341" s="376" t="s">
        <v>92</v>
      </c>
      <c r="H341" s="420">
        <v>70</v>
      </c>
      <c r="I341" s="131"/>
    </row>
    <row r="342" spans="2:23" s="113" customFormat="1" hidden="1">
      <c r="B342" s="203"/>
      <c r="C342" s="133"/>
      <c r="D342" s="115"/>
      <c r="E342" s="157" t="s">
        <v>90</v>
      </c>
      <c r="F342" s="377" t="s">
        <v>94</v>
      </c>
      <c r="G342" s="377" t="s">
        <v>93</v>
      </c>
      <c r="H342" s="420">
        <v>200</v>
      </c>
      <c r="I342" s="131"/>
      <c r="J342" s="201"/>
      <c r="K342" s="201"/>
      <c r="L342" s="201"/>
      <c r="M342" s="256"/>
      <c r="N342" s="256"/>
      <c r="O342" s="256"/>
      <c r="P342" s="256"/>
      <c r="Q342" s="256"/>
      <c r="R342" s="256"/>
      <c r="S342" s="256"/>
      <c r="T342" s="256"/>
      <c r="U342" s="256"/>
      <c r="V342" s="256"/>
      <c r="W342" s="256"/>
    </row>
    <row r="343" spans="2:23" s="113" customFormat="1" hidden="1">
      <c r="B343" s="203"/>
      <c r="C343" s="133"/>
      <c r="D343" s="115"/>
      <c r="E343" s="154"/>
      <c r="F343" s="377"/>
      <c r="G343" s="425"/>
      <c r="H343" s="402"/>
      <c r="I343" s="131"/>
      <c r="J343" s="201"/>
      <c r="K343" s="201"/>
      <c r="L343" s="201"/>
      <c r="M343" s="256"/>
      <c r="N343" s="256"/>
      <c r="O343" s="256"/>
      <c r="P343" s="256"/>
      <c r="Q343" s="256"/>
      <c r="R343" s="256"/>
      <c r="S343" s="256"/>
      <c r="T343" s="256"/>
      <c r="U343" s="256"/>
      <c r="V343" s="256"/>
      <c r="W343" s="256"/>
    </row>
    <row r="344" spans="2:23" s="113" customFormat="1" hidden="1">
      <c r="B344" s="203"/>
      <c r="C344" s="133"/>
      <c r="D344" s="115"/>
      <c r="E344" s="153"/>
      <c r="F344" s="426"/>
      <c r="G344" s="427"/>
      <c r="H344" s="421"/>
      <c r="I344" s="131"/>
      <c r="J344" s="201"/>
      <c r="K344" s="201"/>
      <c r="L344" s="201"/>
      <c r="M344" s="256"/>
      <c r="N344" s="256"/>
      <c r="O344" s="256"/>
      <c r="P344" s="256"/>
      <c r="Q344" s="256"/>
      <c r="R344" s="256"/>
      <c r="S344" s="256"/>
      <c r="T344" s="256"/>
      <c r="U344" s="256"/>
      <c r="V344" s="256"/>
      <c r="W344" s="256"/>
    </row>
    <row r="345" spans="2:23" s="113" customFormat="1" hidden="1">
      <c r="B345" s="127"/>
      <c r="C345" s="133"/>
      <c r="D345" s="115"/>
      <c r="E345" s="157" t="s">
        <v>100</v>
      </c>
      <c r="F345" s="376">
        <v>13120007</v>
      </c>
      <c r="G345" s="376" t="s">
        <v>99</v>
      </c>
      <c r="H345" s="402">
        <v>650</v>
      </c>
      <c r="I345" s="131"/>
      <c r="J345" s="201"/>
      <c r="K345" s="201"/>
      <c r="L345" s="201"/>
      <c r="M345" s="256"/>
      <c r="N345" s="256"/>
      <c r="O345" s="256"/>
      <c r="P345" s="256"/>
      <c r="Q345" s="256"/>
      <c r="R345" s="256"/>
      <c r="S345" s="256"/>
      <c r="T345" s="256"/>
      <c r="U345" s="256"/>
      <c r="V345" s="256"/>
      <c r="W345" s="256"/>
    </row>
    <row r="346" spans="2:23" s="113" customFormat="1" hidden="1">
      <c r="B346" s="127"/>
      <c r="C346" s="133"/>
      <c r="D346" s="115"/>
      <c r="E346" s="157" t="s">
        <v>396</v>
      </c>
      <c r="F346" s="376">
        <v>13120016</v>
      </c>
      <c r="G346" s="376" t="s">
        <v>544</v>
      </c>
      <c r="H346" s="402">
        <v>255</v>
      </c>
      <c r="I346" s="131"/>
      <c r="J346" s="201"/>
      <c r="K346" s="201"/>
      <c r="L346" s="201"/>
      <c r="M346" s="256"/>
      <c r="N346" s="256"/>
      <c r="O346" s="256"/>
      <c r="P346" s="256"/>
      <c r="Q346" s="256"/>
      <c r="R346" s="256"/>
      <c r="S346" s="256"/>
      <c r="T346" s="256"/>
      <c r="U346" s="256"/>
      <c r="V346" s="256"/>
      <c r="W346" s="256"/>
    </row>
    <row r="347" spans="2:23" s="113" customFormat="1" hidden="1">
      <c r="B347" s="127"/>
      <c r="C347" s="133"/>
      <c r="D347" s="115"/>
      <c r="E347" s="157"/>
      <c r="F347" s="376"/>
      <c r="G347" s="376"/>
      <c r="H347" s="402"/>
      <c r="I347" s="131"/>
      <c r="J347" s="201"/>
      <c r="K347" s="201"/>
      <c r="L347" s="201"/>
      <c r="M347" s="256"/>
      <c r="N347" s="256"/>
      <c r="O347" s="256"/>
      <c r="P347" s="256"/>
      <c r="Q347" s="256"/>
      <c r="R347" s="256"/>
      <c r="S347" s="256"/>
      <c r="T347" s="256"/>
      <c r="U347" s="256"/>
      <c r="V347" s="256"/>
      <c r="W347" s="256"/>
    </row>
    <row r="348" spans="2:23" s="113" customFormat="1" hidden="1">
      <c r="B348" s="127"/>
      <c r="C348" s="133"/>
      <c r="D348" s="115"/>
      <c r="E348" s="153"/>
      <c r="F348" s="426"/>
      <c r="G348" s="427"/>
      <c r="H348" s="334"/>
      <c r="I348" s="131"/>
      <c r="J348" s="201"/>
      <c r="K348" s="201"/>
      <c r="L348" s="201"/>
      <c r="M348" s="256"/>
      <c r="N348" s="256"/>
      <c r="O348" s="256"/>
      <c r="P348" s="256"/>
      <c r="Q348" s="256"/>
      <c r="R348" s="256"/>
      <c r="S348" s="256"/>
      <c r="T348" s="256"/>
      <c r="U348" s="256"/>
      <c r="V348" s="256"/>
      <c r="W348" s="256"/>
    </row>
    <row r="349" spans="2:23" s="113" customFormat="1" hidden="1">
      <c r="B349" s="127"/>
      <c r="C349" s="133"/>
      <c r="D349" s="115"/>
      <c r="E349" s="153"/>
      <c r="F349" s="426"/>
      <c r="G349" s="427"/>
      <c r="H349" s="334"/>
      <c r="I349" s="131"/>
      <c r="J349" s="201"/>
      <c r="K349" s="201"/>
      <c r="L349" s="201"/>
      <c r="M349" s="256"/>
      <c r="N349" s="256"/>
      <c r="O349" s="256"/>
      <c r="P349" s="256"/>
      <c r="Q349" s="256"/>
      <c r="R349" s="256"/>
      <c r="S349" s="256"/>
      <c r="T349" s="256"/>
      <c r="U349" s="256"/>
      <c r="V349" s="256"/>
      <c r="W349" s="256"/>
    </row>
    <row r="350" spans="2:23" hidden="1">
      <c r="B350" s="127"/>
      <c r="C350" s="115"/>
      <c r="D350" s="115"/>
      <c r="E350" s="109"/>
      <c r="F350" s="426"/>
      <c r="G350" s="427"/>
      <c r="H350" s="335"/>
      <c r="I350" s="131"/>
      <c r="K350" s="1647" t="s">
        <v>536</v>
      </c>
      <c r="L350" s="1647"/>
      <c r="M350" s="1647"/>
      <c r="N350" s="1647" t="s">
        <v>537</v>
      </c>
      <c r="O350" s="1647"/>
      <c r="P350" s="1647"/>
    </row>
    <row r="351" spans="2:23" s="113" customFormat="1" hidden="1">
      <c r="B351" s="127"/>
      <c r="C351" s="132" t="s">
        <v>28</v>
      </c>
      <c r="D351" s="115"/>
      <c r="E351" s="109" t="s">
        <v>68</v>
      </c>
      <c r="F351" s="426"/>
      <c r="G351" s="427"/>
      <c r="H351" s="335"/>
      <c r="I351" s="131"/>
      <c r="J351" s="201"/>
      <c r="K351" s="381" t="s">
        <v>70</v>
      </c>
      <c r="L351" s="381" t="s">
        <v>71</v>
      </c>
      <c r="M351" s="381" t="s">
        <v>72</v>
      </c>
      <c r="N351" s="381" t="s">
        <v>70</v>
      </c>
      <c r="O351" s="381" t="s">
        <v>71</v>
      </c>
      <c r="P351" s="381" t="s">
        <v>72</v>
      </c>
      <c r="Q351" s="381"/>
      <c r="R351" s="256"/>
      <c r="S351" s="256"/>
      <c r="T351" s="256"/>
      <c r="U351" s="256"/>
      <c r="V351" s="256"/>
      <c r="W351" s="256"/>
    </row>
    <row r="352" spans="2:23" s="113" customFormat="1" hidden="1">
      <c r="B352" s="127"/>
      <c r="C352" s="133">
        <v>1</v>
      </c>
      <c r="D352" s="115"/>
      <c r="E352" s="157" t="s">
        <v>399</v>
      </c>
      <c r="F352" s="377">
        <v>11060101</v>
      </c>
      <c r="G352" s="377">
        <v>6033185</v>
      </c>
      <c r="H352" s="402">
        <v>183</v>
      </c>
      <c r="I352" s="131"/>
      <c r="J352" s="201"/>
      <c r="K352" s="381">
        <v>11020007</v>
      </c>
      <c r="L352" s="381">
        <v>0</v>
      </c>
      <c r="M352" s="381">
        <v>0</v>
      </c>
      <c r="N352" s="381" t="s">
        <v>1009</v>
      </c>
      <c r="O352" s="381">
        <v>0</v>
      </c>
      <c r="P352" s="381">
        <v>0</v>
      </c>
      <c r="Q352" s="256"/>
      <c r="R352" s="256"/>
      <c r="S352" s="256"/>
      <c r="T352" s="256"/>
      <c r="U352" s="256"/>
      <c r="V352" s="256"/>
      <c r="W352" s="256"/>
    </row>
    <row r="353" spans="2:23" s="113" customFormat="1" hidden="1">
      <c r="B353" s="127"/>
      <c r="C353" s="133">
        <v>2</v>
      </c>
      <c r="D353" s="115"/>
      <c r="E353" s="157" t="s">
        <v>400</v>
      </c>
      <c r="F353" s="377">
        <v>11060102</v>
      </c>
      <c r="G353" s="377">
        <v>6033206</v>
      </c>
      <c r="H353" s="402">
        <v>199</v>
      </c>
      <c r="I353" s="131"/>
      <c r="J353" s="201"/>
      <c r="K353" s="381">
        <v>11020007</v>
      </c>
      <c r="L353" s="381">
        <v>11060096</v>
      </c>
      <c r="M353" s="381">
        <v>0</v>
      </c>
      <c r="N353" s="381" t="s">
        <v>1009</v>
      </c>
      <c r="O353" s="381" t="s">
        <v>540</v>
      </c>
      <c r="P353" s="381">
        <v>0</v>
      </c>
      <c r="Q353" s="256"/>
      <c r="R353" s="256"/>
      <c r="S353" s="256"/>
      <c r="T353" s="256"/>
      <c r="U353" s="256"/>
      <c r="V353" s="256"/>
      <c r="W353" s="256"/>
    </row>
    <row r="354" spans="2:23" s="113" customFormat="1" hidden="1">
      <c r="B354" s="127"/>
      <c r="C354" s="133"/>
      <c r="D354" s="115"/>
      <c r="E354" s="157" t="s">
        <v>401</v>
      </c>
      <c r="F354" s="377">
        <v>11060103</v>
      </c>
      <c r="G354" s="377">
        <v>6029517</v>
      </c>
      <c r="H354" s="402">
        <v>267</v>
      </c>
      <c r="I354" s="131"/>
      <c r="J354" s="201"/>
      <c r="K354" s="381">
        <v>11020007</v>
      </c>
      <c r="L354" s="381">
        <v>11060045</v>
      </c>
      <c r="M354" s="381">
        <v>0</v>
      </c>
      <c r="N354" s="381" t="s">
        <v>1009</v>
      </c>
      <c r="O354" s="381">
        <v>5308074</v>
      </c>
      <c r="P354" s="381">
        <v>0</v>
      </c>
      <c r="Q354" s="256"/>
      <c r="R354" s="256"/>
      <c r="S354" s="256"/>
      <c r="T354" s="256"/>
      <c r="U354" s="256"/>
      <c r="V354" s="256"/>
      <c r="W354" s="256"/>
    </row>
    <row r="355" spans="2:23" s="113" customFormat="1" hidden="1">
      <c r="B355" s="127"/>
      <c r="C355" s="133">
        <v>3</v>
      </c>
      <c r="D355" s="115"/>
      <c r="E355" s="157" t="s">
        <v>402</v>
      </c>
      <c r="F355" s="377">
        <v>11060010</v>
      </c>
      <c r="G355" s="377">
        <v>6013254</v>
      </c>
      <c r="H355" s="402">
        <v>156</v>
      </c>
      <c r="I355" s="131"/>
      <c r="J355" s="201"/>
      <c r="K355" s="381">
        <v>11060039</v>
      </c>
      <c r="L355" s="381" t="s">
        <v>541</v>
      </c>
      <c r="M355" s="381">
        <v>0</v>
      </c>
      <c r="N355" s="381">
        <v>7030536</v>
      </c>
      <c r="O355" s="381" t="s">
        <v>542</v>
      </c>
      <c r="P355" s="381">
        <v>0</v>
      </c>
      <c r="Q355" s="256"/>
      <c r="R355" s="256"/>
      <c r="S355" s="256"/>
      <c r="T355" s="256"/>
      <c r="U355" s="256"/>
      <c r="V355" s="256"/>
      <c r="W355" s="256"/>
    </row>
    <row r="356" spans="2:23" s="113" customFormat="1" hidden="1">
      <c r="B356" s="127"/>
      <c r="C356" s="133">
        <v>4</v>
      </c>
      <c r="D356" s="115"/>
      <c r="E356" s="157"/>
      <c r="F356" s="377"/>
      <c r="G356" s="377"/>
      <c r="H356" s="402"/>
      <c r="I356" s="131"/>
      <c r="J356" s="201"/>
      <c r="K356" s="201"/>
      <c r="L356" s="201"/>
      <c r="M356" s="256"/>
      <c r="N356" s="256"/>
      <c r="O356" s="256"/>
      <c r="P356" s="256"/>
      <c r="Q356" s="256"/>
      <c r="R356" s="256"/>
      <c r="S356" s="256"/>
      <c r="T356" s="256"/>
      <c r="U356" s="256"/>
      <c r="V356" s="256"/>
      <c r="W356" s="256"/>
    </row>
    <row r="357" spans="2:23" s="113" customFormat="1" hidden="1">
      <c r="B357" s="127"/>
      <c r="C357" s="133">
        <v>5</v>
      </c>
      <c r="D357" s="115"/>
      <c r="E357" s="157"/>
      <c r="F357" s="377"/>
      <c r="G357" s="377"/>
      <c r="H357" s="402"/>
      <c r="I357" s="131"/>
      <c r="J357" s="201"/>
      <c r="K357" s="201"/>
      <c r="L357" s="201"/>
      <c r="M357" s="256"/>
      <c r="N357" s="256"/>
      <c r="O357" s="256"/>
      <c r="P357" s="256"/>
      <c r="Q357" s="256"/>
      <c r="R357" s="256"/>
      <c r="S357" s="256"/>
      <c r="T357" s="256"/>
      <c r="U357" s="256"/>
      <c r="V357" s="256"/>
      <c r="W357" s="256"/>
    </row>
    <row r="358" spans="2:23" s="113" customFormat="1" hidden="1">
      <c r="B358" s="127"/>
      <c r="C358" s="133">
        <v>6</v>
      </c>
      <c r="D358" s="115"/>
      <c r="E358" s="157"/>
      <c r="F358" s="377"/>
      <c r="G358" s="377"/>
      <c r="H358" s="402"/>
      <c r="I358" s="131"/>
      <c r="J358" s="201"/>
      <c r="K358" s="201"/>
      <c r="L358" s="201"/>
      <c r="M358" s="256"/>
      <c r="N358" s="256"/>
      <c r="O358" s="256"/>
      <c r="P358" s="256"/>
      <c r="Q358" s="256"/>
      <c r="R358" s="256"/>
      <c r="S358" s="256"/>
      <c r="T358" s="256"/>
      <c r="U358" s="256"/>
      <c r="V358" s="256"/>
      <c r="W358" s="256"/>
    </row>
    <row r="359" spans="2:23" s="113" customFormat="1" ht="12" hidden="1" customHeight="1">
      <c r="B359" s="127"/>
      <c r="C359" s="133">
        <v>7</v>
      </c>
      <c r="D359" s="115"/>
      <c r="E359" s="154"/>
      <c r="F359" s="377"/>
      <c r="G359" s="377"/>
      <c r="H359" s="402"/>
      <c r="I359" s="131"/>
      <c r="J359" s="201"/>
      <c r="K359" s="201"/>
      <c r="L359" s="201"/>
      <c r="M359" s="256"/>
      <c r="N359" s="256"/>
      <c r="O359" s="256"/>
      <c r="P359" s="256"/>
      <c r="Q359" s="256"/>
      <c r="R359" s="256"/>
      <c r="S359" s="256"/>
      <c r="T359" s="256"/>
      <c r="U359" s="256"/>
      <c r="V359" s="256"/>
      <c r="W359" s="256"/>
    </row>
    <row r="360" spans="2:23" hidden="1">
      <c r="B360" s="127"/>
      <c r="C360" s="115"/>
      <c r="D360" s="115"/>
      <c r="E360" s="109"/>
      <c r="F360" s="28"/>
      <c r="G360" s="109"/>
      <c r="H360" s="335"/>
      <c r="I360" s="131"/>
    </row>
    <row r="361" spans="2:23" s="113" customFormat="1" hidden="1">
      <c r="B361" s="127"/>
      <c r="C361" s="132" t="s">
        <v>29</v>
      </c>
      <c r="D361" s="115"/>
      <c r="E361" s="382" t="s">
        <v>543</v>
      </c>
      <c r="F361" s="28"/>
      <c r="G361" s="109"/>
      <c r="H361" s="335"/>
      <c r="I361" s="131"/>
      <c r="J361" s="201"/>
      <c r="K361" s="201"/>
      <c r="L361" s="201"/>
      <c r="M361" s="256"/>
      <c r="N361" s="256"/>
      <c r="O361" s="256"/>
      <c r="P361" s="256"/>
      <c r="Q361" s="256"/>
      <c r="R361" s="256"/>
      <c r="S361" s="256"/>
      <c r="T361" s="256"/>
      <c r="U361" s="256"/>
      <c r="V361" s="256"/>
      <c r="W361" s="256"/>
    </row>
    <row r="362" spans="2:23" s="113" customFormat="1" hidden="1">
      <c r="B362" s="127"/>
      <c r="C362" s="428" t="str">
        <f t="shared" ref="C362:C373" si="39">D362&amp;E362</f>
        <v>Reflective Sensor -WL8G-N2131 (inc bracket &amp; refector)PE Cable - 3m</v>
      </c>
      <c r="D362" s="428" t="str">
        <f>E352</f>
        <v>Reflective Sensor -WL8G-N2131 (inc bracket &amp; refector)</v>
      </c>
      <c r="E362" s="100" t="s">
        <v>70</v>
      </c>
      <c r="F362" s="377">
        <v>11020007</v>
      </c>
      <c r="G362" s="377" t="s">
        <v>1009</v>
      </c>
      <c r="H362" s="402">
        <v>15</v>
      </c>
      <c r="I362" s="131"/>
      <c r="J362" s="201"/>
      <c r="K362" s="201"/>
      <c r="L362" s="201"/>
      <c r="M362" s="256"/>
      <c r="N362" s="256"/>
      <c r="O362" s="256"/>
      <c r="P362" s="256"/>
      <c r="Q362" s="256"/>
      <c r="R362" s="256"/>
      <c r="S362" s="256"/>
      <c r="T362" s="256"/>
      <c r="U362" s="256"/>
      <c r="V362" s="256"/>
      <c r="W362" s="256"/>
    </row>
    <row r="363" spans="2:23" s="113" customFormat="1" hidden="1">
      <c r="B363" s="127"/>
      <c r="C363" s="428" t="str">
        <f t="shared" si="39"/>
        <v>Reflective Sensor -WL8G-N2131 (inc bracket &amp; refector)PE Cable - 5m</v>
      </c>
      <c r="D363" s="428" t="str">
        <f>D362</f>
        <v>Reflective Sensor -WL8G-N2131 (inc bracket &amp; refector)</v>
      </c>
      <c r="E363" s="100" t="s">
        <v>71</v>
      </c>
      <c r="F363" s="377" t="s">
        <v>575</v>
      </c>
      <c r="G363" s="377" t="s">
        <v>575</v>
      </c>
      <c r="H363" s="402" t="s">
        <v>69</v>
      </c>
      <c r="I363" s="131"/>
      <c r="J363" s="201"/>
      <c r="K363" s="201"/>
      <c r="L363" s="201"/>
      <c r="M363" s="256"/>
      <c r="N363" s="256"/>
      <c r="O363" s="256"/>
      <c r="P363" s="256"/>
      <c r="Q363" s="256"/>
      <c r="R363" s="256"/>
      <c r="S363" s="256"/>
      <c r="T363" s="256"/>
      <c r="U363" s="256"/>
      <c r="V363" s="256"/>
      <c r="W363" s="256"/>
    </row>
    <row r="364" spans="2:23" s="113" customFormat="1" hidden="1">
      <c r="B364" s="127"/>
      <c r="C364" s="428" t="str">
        <f t="shared" si="39"/>
        <v>Reflective Sensor -WL8G-N2131 (inc bracket &amp; refector)PE Cable - Custom</v>
      </c>
      <c r="D364" s="428" t="str">
        <f>D362</f>
        <v>Reflective Sensor -WL8G-N2131 (inc bracket &amp; refector)</v>
      </c>
      <c r="E364" s="100" t="s">
        <v>72</v>
      </c>
      <c r="F364" s="377" t="s">
        <v>576</v>
      </c>
      <c r="G364" s="377" t="s">
        <v>576</v>
      </c>
      <c r="H364" s="402" t="s">
        <v>69</v>
      </c>
      <c r="I364" s="131"/>
      <c r="J364" s="201"/>
      <c r="K364" s="201"/>
      <c r="L364" s="201"/>
      <c r="M364" s="256"/>
      <c r="N364" s="256"/>
      <c r="O364" s="256"/>
      <c r="P364" s="256"/>
      <c r="Q364" s="256"/>
      <c r="R364" s="256"/>
      <c r="S364" s="256"/>
      <c r="T364" s="256"/>
      <c r="U364" s="256"/>
      <c r="V364" s="256"/>
      <c r="W364" s="256"/>
    </row>
    <row r="365" spans="2:23" s="113" customFormat="1" hidden="1">
      <c r="B365" s="127"/>
      <c r="C365" s="428" t="str">
        <f t="shared" si="39"/>
        <v>Proximity Sensor - WTB8-N2131 (incl bracket)PE Cable - 3m</v>
      </c>
      <c r="D365" s="428" t="str">
        <f>E353</f>
        <v>Proximity Sensor - WTB8-N2131 (incl bracket)</v>
      </c>
      <c r="E365" s="100" t="s">
        <v>70</v>
      </c>
      <c r="F365" s="377">
        <v>11020007</v>
      </c>
      <c r="G365" s="377" t="s">
        <v>1009</v>
      </c>
      <c r="H365" s="402">
        <v>15</v>
      </c>
      <c r="I365" s="131"/>
      <c r="J365" s="201"/>
      <c r="K365" s="201"/>
      <c r="L365" s="201"/>
      <c r="M365" s="256"/>
      <c r="N365" s="256"/>
      <c r="O365" s="256"/>
      <c r="P365" s="256"/>
      <c r="Q365" s="256"/>
      <c r="R365" s="256"/>
      <c r="S365" s="256"/>
      <c r="T365" s="256"/>
      <c r="U365" s="256"/>
      <c r="V365" s="256"/>
      <c r="W365" s="256"/>
    </row>
    <row r="366" spans="2:23" s="113" customFormat="1" hidden="1">
      <c r="B366" s="127"/>
      <c r="C366" s="428" t="str">
        <f t="shared" si="39"/>
        <v>Proximity Sensor - WTB8-N2131 (incl bracket)PE Cable - 5m</v>
      </c>
      <c r="D366" s="428" t="str">
        <f>D365</f>
        <v>Proximity Sensor - WTB8-N2131 (incl bracket)</v>
      </c>
      <c r="E366" s="100" t="s">
        <v>71</v>
      </c>
      <c r="F366" s="377">
        <v>11060096</v>
      </c>
      <c r="G366" s="377" t="s">
        <v>540</v>
      </c>
      <c r="H366" s="402">
        <v>21</v>
      </c>
      <c r="I366" s="131"/>
      <c r="J366" s="201"/>
      <c r="K366" s="201"/>
      <c r="L366" s="201"/>
      <c r="M366" s="256"/>
      <c r="N366" s="256"/>
      <c r="O366" s="256"/>
      <c r="P366" s="256"/>
      <c r="Q366" s="256"/>
      <c r="R366" s="256"/>
      <c r="S366" s="256"/>
      <c r="T366" s="256"/>
      <c r="U366" s="256"/>
      <c r="V366" s="256"/>
      <c r="W366" s="256"/>
    </row>
    <row r="367" spans="2:23" s="113" customFormat="1" hidden="1">
      <c r="B367" s="127"/>
      <c r="C367" s="428" t="str">
        <f t="shared" si="39"/>
        <v>Proximity Sensor - WTB8-N2131 (incl bracket)PE Cable - Custom</v>
      </c>
      <c r="D367" s="428" t="str">
        <f>D366</f>
        <v>Proximity Sensor - WTB8-N2131 (incl bracket)</v>
      </c>
      <c r="E367" s="100" t="s">
        <v>72</v>
      </c>
      <c r="F367" s="377" t="s">
        <v>577</v>
      </c>
      <c r="G367" s="377" t="s">
        <v>577</v>
      </c>
      <c r="H367" s="402" t="s">
        <v>69</v>
      </c>
      <c r="I367" s="131"/>
      <c r="J367" s="201"/>
      <c r="K367" s="201"/>
      <c r="L367" s="201"/>
      <c r="M367" s="256"/>
      <c r="N367" s="256"/>
      <c r="O367" s="256"/>
      <c r="P367" s="256"/>
      <c r="Q367" s="256"/>
      <c r="R367" s="256"/>
      <c r="S367" s="256"/>
      <c r="T367" s="256"/>
      <c r="U367" s="256"/>
      <c r="V367" s="256"/>
      <c r="W367" s="256"/>
    </row>
    <row r="368" spans="2:23" s="113" customFormat="1" hidden="1">
      <c r="B368" s="127"/>
      <c r="C368" s="428" t="str">
        <f t="shared" si="39"/>
        <v>Fibre Optic Amplifier - WLL170-2N330PE Cable - 3m</v>
      </c>
      <c r="D368" s="428" t="str">
        <f>E354</f>
        <v>Fibre Optic Amplifier - WLL170-2N330</v>
      </c>
      <c r="E368" s="100" t="s">
        <v>70</v>
      </c>
      <c r="F368" s="377">
        <v>11020007</v>
      </c>
      <c r="G368" s="377" t="s">
        <v>1009</v>
      </c>
      <c r="H368" s="429">
        <v>15</v>
      </c>
      <c r="I368" s="131"/>
      <c r="J368" s="201"/>
      <c r="K368" s="201"/>
      <c r="L368" s="201"/>
      <c r="M368" s="256"/>
      <c r="N368" s="256"/>
      <c r="O368" s="256"/>
      <c r="P368" s="256"/>
      <c r="Q368" s="256"/>
      <c r="R368" s="256"/>
      <c r="S368" s="256"/>
      <c r="T368" s="256"/>
      <c r="U368" s="256"/>
      <c r="V368" s="256"/>
      <c r="W368" s="256"/>
    </row>
    <row r="369" spans="2:23" s="113" customFormat="1" hidden="1">
      <c r="B369" s="127"/>
      <c r="C369" s="428" t="str">
        <f t="shared" si="39"/>
        <v>Fibre Optic Amplifier - WLL170-2N330PE Cable - 5m</v>
      </c>
      <c r="D369" s="428" t="str">
        <f>D368</f>
        <v>Fibre Optic Amplifier - WLL170-2N330</v>
      </c>
      <c r="E369" s="100" t="s">
        <v>71</v>
      </c>
      <c r="F369" s="377">
        <v>11060045</v>
      </c>
      <c r="G369" s="377">
        <v>5308074</v>
      </c>
      <c r="H369" s="402">
        <v>79</v>
      </c>
      <c r="I369" s="131"/>
      <c r="J369" s="201"/>
      <c r="K369" s="201"/>
      <c r="L369" s="201"/>
      <c r="M369" s="256"/>
      <c r="N369" s="256"/>
      <c r="O369" s="256"/>
      <c r="P369" s="256"/>
      <c r="Q369" s="256"/>
      <c r="R369" s="256"/>
      <c r="S369" s="256"/>
      <c r="T369" s="256"/>
      <c r="U369" s="256"/>
      <c r="V369" s="256"/>
      <c r="W369" s="256"/>
    </row>
    <row r="370" spans="2:23" s="113" customFormat="1" hidden="1">
      <c r="B370" s="127"/>
      <c r="C370" s="428" t="str">
        <f t="shared" si="39"/>
        <v>Fibre Optic Amplifier - WLL170-2N330PE Cable - Custom</v>
      </c>
      <c r="D370" s="428" t="str">
        <f>D369</f>
        <v>Fibre Optic Amplifier - WLL170-2N330</v>
      </c>
      <c r="E370" s="100" t="s">
        <v>72</v>
      </c>
      <c r="F370" s="377" t="s">
        <v>578</v>
      </c>
      <c r="G370" s="377" t="s">
        <v>578</v>
      </c>
      <c r="H370" s="402" t="s">
        <v>69</v>
      </c>
      <c r="I370" s="131"/>
      <c r="J370" s="201"/>
      <c r="K370" s="201"/>
      <c r="L370" s="201"/>
      <c r="M370" s="256"/>
      <c r="N370" s="256"/>
      <c r="O370" s="256"/>
      <c r="P370" s="256"/>
      <c r="Q370" s="256"/>
      <c r="R370" s="256"/>
      <c r="S370" s="256"/>
      <c r="T370" s="256"/>
      <c r="U370" s="256"/>
      <c r="V370" s="256"/>
      <c r="W370" s="256"/>
    </row>
    <row r="371" spans="2:23" s="113" customFormat="1" hidden="1">
      <c r="B371" s="127"/>
      <c r="C371" s="428" t="str">
        <f t="shared" si="39"/>
        <v>P/E Proximity Energetic - VTE18-4N4240 (Barrel 18mm)PE Cable - 3m</v>
      </c>
      <c r="D371" s="428" t="str">
        <f>E355</f>
        <v>P/E Proximity Energetic - VTE18-4N4240 (Barrel 18mm)</v>
      </c>
      <c r="E371" s="100" t="s">
        <v>70</v>
      </c>
      <c r="F371" s="377">
        <v>11060107</v>
      </c>
      <c r="G371" s="377" t="s">
        <v>1029</v>
      </c>
      <c r="H371" s="402">
        <v>20</v>
      </c>
      <c r="I371" s="131"/>
      <c r="J371" s="201"/>
      <c r="K371" s="201"/>
      <c r="L371" s="201"/>
      <c r="M371" s="256"/>
      <c r="N371" s="256"/>
      <c r="O371" s="256"/>
      <c r="P371" s="256"/>
      <c r="Q371" s="256"/>
      <c r="R371" s="256"/>
      <c r="S371" s="256"/>
      <c r="T371" s="256"/>
      <c r="U371" s="256"/>
      <c r="V371" s="256"/>
      <c r="W371" s="256"/>
    </row>
    <row r="372" spans="2:23" s="113" customFormat="1" hidden="1">
      <c r="B372" s="127"/>
      <c r="C372" s="428" t="str">
        <f t="shared" si="39"/>
        <v>P/E Proximity Energetic - VTE18-4N4240 (Barrel 18mm)PE Cable - 5m</v>
      </c>
      <c r="D372" s="428" t="str">
        <f t="shared" ref="D372:D373" si="40">D371</f>
        <v>P/E Proximity Energetic - VTE18-4N4240 (Barrel 18mm)</v>
      </c>
      <c r="E372" s="100" t="s">
        <v>71</v>
      </c>
      <c r="F372" s="377" t="s">
        <v>541</v>
      </c>
      <c r="G372" s="377" t="s">
        <v>542</v>
      </c>
      <c r="H372" s="402">
        <v>27</v>
      </c>
      <c r="I372" s="131"/>
      <c r="J372" s="201"/>
      <c r="K372" s="201"/>
      <c r="L372" s="201"/>
      <c r="M372" s="256"/>
      <c r="N372" s="256"/>
      <c r="O372" s="256"/>
      <c r="P372" s="256"/>
      <c r="Q372" s="256"/>
      <c r="R372" s="256"/>
      <c r="S372" s="256"/>
      <c r="T372" s="256"/>
      <c r="U372" s="256"/>
      <c r="V372" s="256"/>
      <c r="W372" s="256"/>
    </row>
    <row r="373" spans="2:23" s="113" customFormat="1" hidden="1">
      <c r="B373" s="127"/>
      <c r="C373" s="428" t="str">
        <f t="shared" si="39"/>
        <v>P/E Proximity Energetic - VTE18-4N4240 (Barrel 18mm)PE Cable - Custom</v>
      </c>
      <c r="D373" s="428" t="str">
        <f t="shared" si="40"/>
        <v>P/E Proximity Energetic - VTE18-4N4240 (Barrel 18mm)</v>
      </c>
      <c r="E373" s="100" t="s">
        <v>72</v>
      </c>
      <c r="F373" s="377" t="s">
        <v>579</v>
      </c>
      <c r="G373" s="377" t="s">
        <v>579</v>
      </c>
      <c r="H373" s="402" t="s">
        <v>69</v>
      </c>
      <c r="I373" s="131"/>
      <c r="J373" s="201"/>
      <c r="K373" s="201"/>
      <c r="L373" s="201"/>
      <c r="M373" s="256"/>
      <c r="N373" s="256"/>
      <c r="O373" s="256"/>
      <c r="P373" s="256"/>
      <c r="Q373" s="256"/>
      <c r="R373" s="256"/>
      <c r="S373" s="256"/>
      <c r="T373" s="256"/>
      <c r="U373" s="256"/>
      <c r="V373" s="256"/>
      <c r="W373" s="256"/>
    </row>
    <row r="374" spans="2:23" s="113" customFormat="1" hidden="1">
      <c r="B374" s="127"/>
      <c r="C374" s="133"/>
      <c r="D374" s="133"/>
      <c r="E374" s="133"/>
      <c r="F374" s="133"/>
      <c r="G374" s="133"/>
      <c r="H374" s="337"/>
      <c r="I374" s="131"/>
      <c r="J374" s="201"/>
      <c r="K374" s="201"/>
      <c r="L374" s="201"/>
      <c r="M374" s="256"/>
      <c r="N374" s="256"/>
      <c r="O374" s="256"/>
      <c r="P374" s="256"/>
      <c r="Q374" s="256"/>
      <c r="R374" s="256"/>
      <c r="S374" s="256"/>
      <c r="T374" s="256"/>
      <c r="U374" s="256"/>
      <c r="V374" s="256"/>
      <c r="W374" s="256"/>
    </row>
    <row r="375" spans="2:23" s="113" customFormat="1" hidden="1">
      <c r="B375" s="127"/>
      <c r="C375" s="133"/>
      <c r="D375" s="133"/>
      <c r="E375" s="133"/>
      <c r="F375" s="133"/>
      <c r="G375" s="133"/>
      <c r="H375" s="337"/>
      <c r="I375" s="131"/>
      <c r="J375" s="201"/>
      <c r="K375" s="201"/>
      <c r="L375" s="201"/>
      <c r="M375" s="256"/>
      <c r="N375" s="256"/>
      <c r="O375" s="256"/>
      <c r="P375" s="256"/>
      <c r="Q375" s="256"/>
      <c r="R375" s="256"/>
      <c r="S375" s="256"/>
      <c r="T375" s="256"/>
      <c r="U375" s="256"/>
      <c r="V375" s="256"/>
      <c r="W375" s="256"/>
    </row>
    <row r="376" spans="2:23" s="113" customFormat="1" hidden="1">
      <c r="B376" s="127"/>
      <c r="C376" s="133"/>
      <c r="D376" s="133"/>
      <c r="E376" s="133"/>
      <c r="F376" s="133"/>
      <c r="G376" s="133"/>
      <c r="H376" s="337"/>
      <c r="I376" s="131"/>
      <c r="J376" s="201"/>
      <c r="K376" s="201"/>
      <c r="L376" s="201"/>
      <c r="M376" s="256"/>
      <c r="N376" s="256"/>
      <c r="O376" s="256"/>
      <c r="P376" s="256"/>
      <c r="Q376" s="256"/>
      <c r="R376" s="256"/>
      <c r="S376" s="256"/>
      <c r="T376" s="256"/>
      <c r="U376" s="256"/>
      <c r="V376" s="256"/>
      <c r="W376" s="256"/>
    </row>
    <row r="377" spans="2:23" s="113" customFormat="1" hidden="1">
      <c r="B377" s="127"/>
      <c r="C377" s="133"/>
      <c r="D377" s="133"/>
      <c r="E377" s="133"/>
      <c r="F377" s="133"/>
      <c r="G377" s="133"/>
      <c r="H377" s="337"/>
      <c r="I377" s="131"/>
      <c r="J377" s="201"/>
      <c r="K377" s="201"/>
      <c r="L377" s="201"/>
      <c r="M377" s="256"/>
      <c r="N377" s="256"/>
      <c r="O377" s="256"/>
      <c r="P377" s="256"/>
      <c r="Q377" s="256"/>
      <c r="R377" s="256"/>
      <c r="S377" s="256"/>
      <c r="T377" s="256"/>
      <c r="U377" s="256"/>
      <c r="V377" s="256"/>
      <c r="W377" s="256"/>
    </row>
    <row r="378" spans="2:23" s="113" customFormat="1" hidden="1">
      <c r="B378" s="127"/>
      <c r="C378" s="133"/>
      <c r="D378" s="133"/>
      <c r="E378" s="133"/>
      <c r="F378" s="133"/>
      <c r="G378" s="133"/>
      <c r="H378" s="337"/>
      <c r="I378" s="131"/>
      <c r="J378" s="201"/>
      <c r="K378" s="201"/>
      <c r="L378" s="201"/>
      <c r="M378" s="256"/>
      <c r="N378" s="256"/>
      <c r="O378" s="256"/>
      <c r="P378" s="256"/>
      <c r="Q378" s="256"/>
      <c r="R378" s="256"/>
      <c r="S378" s="256"/>
      <c r="T378" s="256"/>
      <c r="U378" s="256"/>
      <c r="V378" s="256"/>
      <c r="W378" s="256"/>
    </row>
    <row r="379" spans="2:23" s="113" customFormat="1" hidden="1">
      <c r="B379" s="127"/>
      <c r="C379" s="133"/>
      <c r="D379" s="133"/>
      <c r="E379" s="133"/>
      <c r="F379" s="133"/>
      <c r="G379" s="133"/>
      <c r="H379" s="337"/>
      <c r="I379" s="131"/>
      <c r="J379" s="201"/>
      <c r="K379" s="201"/>
      <c r="L379" s="201"/>
      <c r="M379" s="256"/>
      <c r="N379" s="256"/>
      <c r="O379" s="256"/>
      <c r="P379" s="256"/>
      <c r="Q379" s="256"/>
      <c r="R379" s="256"/>
      <c r="S379" s="256"/>
      <c r="T379" s="256"/>
      <c r="U379" s="256"/>
      <c r="V379" s="256"/>
      <c r="W379" s="256"/>
    </row>
    <row r="380" spans="2:23" s="113" customFormat="1" hidden="1">
      <c r="B380" s="127"/>
      <c r="C380" s="133"/>
      <c r="D380" s="133"/>
      <c r="E380" s="133"/>
      <c r="F380" s="133"/>
      <c r="G380" s="133"/>
      <c r="H380" s="337"/>
      <c r="I380" s="131"/>
      <c r="J380" s="201"/>
      <c r="K380" s="201"/>
      <c r="L380" s="201"/>
      <c r="M380" s="256"/>
      <c r="N380" s="256"/>
      <c r="O380" s="256"/>
      <c r="P380" s="256"/>
      <c r="Q380" s="256"/>
      <c r="R380" s="256"/>
      <c r="S380" s="256"/>
      <c r="T380" s="256"/>
      <c r="U380" s="256"/>
      <c r="V380" s="256"/>
      <c r="W380" s="256"/>
    </row>
    <row r="381" spans="2:23" s="113" customFormat="1" hidden="1">
      <c r="B381" s="127"/>
      <c r="C381" s="133"/>
      <c r="D381" s="133"/>
      <c r="E381" s="133"/>
      <c r="F381" s="133"/>
      <c r="G381" s="133"/>
      <c r="H381" s="337"/>
      <c r="I381" s="131"/>
      <c r="J381" s="201"/>
      <c r="K381" s="201"/>
      <c r="L381" s="201"/>
      <c r="M381" s="256"/>
      <c r="N381" s="256"/>
      <c r="O381" s="256"/>
      <c r="P381" s="256"/>
      <c r="Q381" s="256"/>
      <c r="R381" s="256"/>
      <c r="S381" s="256"/>
      <c r="T381" s="256"/>
      <c r="U381" s="256"/>
      <c r="V381" s="256"/>
      <c r="W381" s="256"/>
    </row>
    <row r="382" spans="2:23" s="113" customFormat="1" hidden="1">
      <c r="B382" s="127"/>
      <c r="C382" s="133"/>
      <c r="D382" s="133"/>
      <c r="E382" s="133"/>
      <c r="F382" s="133"/>
      <c r="G382" s="133"/>
      <c r="H382" s="337"/>
      <c r="I382" s="131"/>
      <c r="J382" s="201"/>
      <c r="K382" s="201"/>
      <c r="L382" s="201"/>
      <c r="M382" s="256"/>
      <c r="N382" s="256"/>
      <c r="O382" s="256"/>
      <c r="P382" s="256"/>
      <c r="Q382" s="256"/>
      <c r="R382" s="256"/>
      <c r="S382" s="256"/>
      <c r="T382" s="256"/>
      <c r="U382" s="256"/>
      <c r="V382" s="256"/>
      <c r="W382" s="256"/>
    </row>
    <row r="383" spans="2:23" s="113" customFormat="1" hidden="1">
      <c r="B383" s="127"/>
      <c r="C383" s="133"/>
      <c r="D383" s="115"/>
      <c r="E383" s="109"/>
      <c r="F383" s="28"/>
      <c r="G383" s="109"/>
      <c r="H383" s="335"/>
      <c r="I383" s="131"/>
      <c r="J383" s="201"/>
      <c r="K383" s="201"/>
      <c r="L383" s="201"/>
      <c r="M383" s="256"/>
      <c r="N383" s="256"/>
      <c r="O383" s="256"/>
      <c r="P383" s="256"/>
      <c r="Q383" s="256"/>
      <c r="R383" s="256"/>
      <c r="S383" s="256"/>
      <c r="T383" s="256"/>
      <c r="U383" s="256"/>
      <c r="V383" s="256"/>
      <c r="W383" s="256"/>
    </row>
    <row r="384" spans="2:23" s="113" customFormat="1" hidden="1">
      <c r="B384" s="127"/>
      <c r="C384" s="115"/>
      <c r="D384" s="115"/>
      <c r="E384" s="109"/>
      <c r="F384" s="28"/>
      <c r="G384" s="109"/>
      <c r="H384" s="335"/>
      <c r="I384" s="131"/>
      <c r="J384" s="201"/>
      <c r="K384" s="201"/>
      <c r="L384" s="201"/>
      <c r="M384" s="256"/>
      <c r="N384" s="256"/>
      <c r="O384" s="256"/>
      <c r="P384" s="256"/>
      <c r="Q384" s="256"/>
      <c r="R384" s="256"/>
      <c r="S384" s="256"/>
      <c r="T384" s="256"/>
      <c r="U384" s="256"/>
      <c r="V384" s="256"/>
      <c r="W384" s="256"/>
    </row>
    <row r="385" spans="2:23" hidden="1">
      <c r="B385" s="127"/>
      <c r="C385" s="115"/>
      <c r="D385" s="115"/>
      <c r="E385" s="109"/>
      <c r="F385" s="28"/>
      <c r="G385" s="109"/>
      <c r="H385" s="335"/>
      <c r="I385" s="131"/>
    </row>
    <row r="386" spans="2:23" s="113" customFormat="1" hidden="1">
      <c r="B386" s="127"/>
      <c r="C386" s="132" t="s">
        <v>44</v>
      </c>
      <c r="D386" s="115"/>
      <c r="E386" s="109"/>
      <c r="F386" s="28"/>
      <c r="G386" s="109"/>
      <c r="H386" s="335"/>
      <c r="I386" s="131"/>
      <c r="J386" s="201"/>
      <c r="K386" s="201"/>
      <c r="L386" s="201"/>
      <c r="M386" s="256"/>
      <c r="N386" s="256"/>
      <c r="O386" s="256"/>
      <c r="P386" s="256"/>
      <c r="Q386" s="256"/>
      <c r="R386" s="256"/>
      <c r="S386" s="256"/>
      <c r="T386" s="256"/>
      <c r="U386" s="256"/>
      <c r="V386" s="256"/>
      <c r="W386" s="256"/>
    </row>
    <row r="387" spans="2:23" s="113" customFormat="1" hidden="1">
      <c r="B387" s="127"/>
      <c r="C387" s="115"/>
      <c r="D387" s="133" t="s">
        <v>62</v>
      </c>
      <c r="E387" s="196" t="s">
        <v>390</v>
      </c>
      <c r="F387" s="142"/>
      <c r="G387" s="98"/>
      <c r="H387" s="336"/>
      <c r="I387" s="131"/>
      <c r="J387" s="201"/>
      <c r="K387" s="201"/>
      <c r="L387" s="201"/>
      <c r="M387" s="256"/>
      <c r="N387" s="256"/>
      <c r="O387" s="256"/>
      <c r="P387" s="256"/>
      <c r="Q387" s="256"/>
      <c r="R387" s="256"/>
      <c r="S387" s="256"/>
      <c r="T387" s="256"/>
      <c r="U387" s="256"/>
      <c r="V387" s="256"/>
      <c r="W387" s="256"/>
    </row>
    <row r="388" spans="2:23" s="113" customFormat="1" hidden="1">
      <c r="B388" s="127"/>
      <c r="C388" s="115"/>
      <c r="D388" s="133"/>
      <c r="E388" s="133"/>
      <c r="F388" s="191">
        <v>1</v>
      </c>
      <c r="G388" s="3">
        <v>2</v>
      </c>
      <c r="H388" s="422">
        <v>950</v>
      </c>
      <c r="I388" s="131"/>
      <c r="J388" s="201"/>
      <c r="K388" s="201"/>
      <c r="L388" s="201"/>
      <c r="M388" s="256"/>
      <c r="N388" s="256"/>
      <c r="O388" s="256"/>
      <c r="P388" s="256"/>
      <c r="Q388" s="256"/>
      <c r="R388" s="256"/>
      <c r="S388" s="256"/>
      <c r="T388" s="256"/>
      <c r="U388" s="256"/>
      <c r="V388" s="256"/>
      <c r="W388" s="256"/>
    </row>
    <row r="389" spans="2:23" s="113" customFormat="1" hidden="1">
      <c r="B389" s="127"/>
      <c r="C389" s="115"/>
      <c r="D389" s="133"/>
      <c r="E389" s="133"/>
      <c r="F389" s="191">
        <v>2</v>
      </c>
      <c r="G389" s="3">
        <v>4</v>
      </c>
      <c r="H389" s="422">
        <f>H388*F389</f>
        <v>1900</v>
      </c>
      <c r="I389" s="131"/>
      <c r="J389" s="201"/>
      <c r="K389" s="201"/>
      <c r="L389" s="201"/>
      <c r="M389" s="256"/>
      <c r="N389" s="256"/>
      <c r="O389" s="256"/>
      <c r="P389" s="256"/>
      <c r="Q389" s="256"/>
      <c r="R389" s="256"/>
      <c r="S389" s="256"/>
      <c r="T389" s="256"/>
      <c r="U389" s="256"/>
      <c r="V389" s="256"/>
      <c r="W389" s="256"/>
    </row>
    <row r="390" spans="2:23" s="113" customFormat="1" hidden="1">
      <c r="B390" s="127"/>
      <c r="C390" s="115"/>
      <c r="D390" s="133"/>
      <c r="E390" s="133"/>
      <c r="F390" s="191">
        <v>3</v>
      </c>
      <c r="G390" s="3">
        <v>6</v>
      </c>
      <c r="H390" s="422">
        <f>H388*F390</f>
        <v>2850</v>
      </c>
      <c r="I390" s="131"/>
      <c r="J390" s="201"/>
      <c r="K390" s="201"/>
      <c r="L390" s="201"/>
      <c r="M390" s="256"/>
      <c r="N390" s="256"/>
      <c r="O390" s="256"/>
      <c r="P390" s="256"/>
      <c r="Q390" s="256"/>
      <c r="R390" s="256"/>
      <c r="S390" s="256"/>
      <c r="T390" s="256"/>
      <c r="U390" s="256"/>
      <c r="V390" s="256"/>
      <c r="W390" s="256"/>
    </row>
    <row r="391" spans="2:23" s="113" customFormat="1" hidden="1">
      <c r="B391" s="127"/>
      <c r="C391" s="115"/>
      <c r="D391" s="133"/>
      <c r="E391" s="133"/>
      <c r="F391" s="194">
        <v>4</v>
      </c>
      <c r="G391" s="195">
        <v>8</v>
      </c>
      <c r="H391" s="422">
        <f>$H$388*F391</f>
        <v>3800</v>
      </c>
      <c r="I391" s="131"/>
      <c r="J391" s="201"/>
      <c r="K391" s="201"/>
      <c r="L391" s="201"/>
      <c r="M391" s="256"/>
      <c r="N391" s="256"/>
      <c r="O391" s="256"/>
      <c r="P391" s="256"/>
      <c r="Q391" s="256"/>
      <c r="R391" s="256"/>
      <c r="S391" s="256"/>
      <c r="T391" s="256"/>
      <c r="U391" s="256"/>
      <c r="V391" s="256"/>
      <c r="W391" s="256"/>
    </row>
    <row r="392" spans="2:23" s="113" customFormat="1" hidden="1">
      <c r="B392" s="127"/>
      <c r="C392" s="115"/>
      <c r="D392" s="133"/>
      <c r="E392" s="133"/>
      <c r="F392" s="194">
        <v>5</v>
      </c>
      <c r="G392" s="195"/>
      <c r="H392" s="422">
        <f t="shared" ref="H392:H403" si="41">$H$388*F392</f>
        <v>4750</v>
      </c>
      <c r="I392" s="131"/>
      <c r="J392" s="201"/>
      <c r="K392" s="201"/>
      <c r="L392" s="201"/>
      <c r="M392" s="256"/>
      <c r="N392" s="256"/>
      <c r="O392" s="256"/>
      <c r="P392" s="256"/>
      <c r="Q392" s="256"/>
      <c r="R392" s="256"/>
      <c r="S392" s="256"/>
      <c r="T392" s="256"/>
      <c r="U392" s="256"/>
      <c r="V392" s="256"/>
      <c r="W392" s="256"/>
    </row>
    <row r="393" spans="2:23" s="113" customFormat="1" hidden="1">
      <c r="B393" s="127"/>
      <c r="C393" s="115"/>
      <c r="D393" s="133"/>
      <c r="E393" s="133"/>
      <c r="F393" s="194">
        <v>6</v>
      </c>
      <c r="G393" s="195"/>
      <c r="H393" s="422">
        <f t="shared" si="41"/>
        <v>5700</v>
      </c>
      <c r="I393" s="131"/>
      <c r="J393" s="201"/>
      <c r="K393" s="201"/>
      <c r="L393" s="201"/>
      <c r="M393" s="256"/>
      <c r="N393" s="256"/>
      <c r="O393" s="256"/>
      <c r="P393" s="256"/>
      <c r="Q393" s="256"/>
      <c r="R393" s="256"/>
      <c r="S393" s="256"/>
      <c r="T393" s="256"/>
      <c r="U393" s="256"/>
      <c r="V393" s="256"/>
      <c r="W393" s="256"/>
    </row>
    <row r="394" spans="2:23" s="113" customFormat="1" hidden="1">
      <c r="B394" s="127"/>
      <c r="C394" s="115"/>
      <c r="D394" s="133"/>
      <c r="E394" s="133"/>
      <c r="F394" s="194">
        <v>7</v>
      </c>
      <c r="G394" s="195"/>
      <c r="H394" s="422">
        <f t="shared" si="41"/>
        <v>6650</v>
      </c>
      <c r="I394" s="131"/>
      <c r="J394" s="201"/>
      <c r="K394" s="201"/>
      <c r="L394" s="201"/>
      <c r="M394" s="256"/>
      <c r="N394" s="256"/>
      <c r="O394" s="256"/>
      <c r="P394" s="256"/>
      <c r="Q394" s="256"/>
      <c r="R394" s="256"/>
      <c r="S394" s="256"/>
      <c r="T394" s="256"/>
      <c r="U394" s="256"/>
      <c r="V394" s="256"/>
      <c r="W394" s="256"/>
    </row>
    <row r="395" spans="2:23" s="113" customFormat="1" hidden="1">
      <c r="B395" s="127"/>
      <c r="C395" s="115"/>
      <c r="D395" s="133"/>
      <c r="E395" s="133"/>
      <c r="F395" s="194">
        <v>8</v>
      </c>
      <c r="G395" s="195"/>
      <c r="H395" s="422">
        <f t="shared" si="41"/>
        <v>7600</v>
      </c>
      <c r="I395" s="131"/>
      <c r="J395" s="201"/>
      <c r="K395" s="201"/>
      <c r="L395" s="201"/>
      <c r="M395" s="256"/>
      <c r="N395" s="256"/>
      <c r="O395" s="256"/>
      <c r="P395" s="256"/>
      <c r="Q395" s="256"/>
      <c r="R395" s="256"/>
      <c r="S395" s="256"/>
      <c r="T395" s="256"/>
      <c r="U395" s="256"/>
      <c r="V395" s="256"/>
      <c r="W395" s="256"/>
    </row>
    <row r="396" spans="2:23" s="113" customFormat="1" hidden="1">
      <c r="B396" s="127"/>
      <c r="C396" s="115"/>
      <c r="D396" s="133"/>
      <c r="E396" s="133"/>
      <c r="F396" s="194">
        <v>9</v>
      </c>
      <c r="G396" s="195"/>
      <c r="H396" s="422">
        <f t="shared" si="41"/>
        <v>8550</v>
      </c>
      <c r="I396" s="131"/>
      <c r="J396" s="201"/>
      <c r="K396" s="201"/>
      <c r="L396" s="201"/>
      <c r="M396" s="256"/>
      <c r="N396" s="256"/>
      <c r="O396" s="256"/>
      <c r="P396" s="256"/>
      <c r="Q396" s="256"/>
      <c r="R396" s="256"/>
      <c r="S396" s="256"/>
      <c r="T396" s="256"/>
      <c r="U396" s="256"/>
      <c r="V396" s="256"/>
      <c r="W396" s="256"/>
    </row>
    <row r="397" spans="2:23" s="113" customFormat="1" hidden="1">
      <c r="B397" s="127"/>
      <c r="C397" s="115"/>
      <c r="D397" s="133"/>
      <c r="E397" s="133"/>
      <c r="F397" s="194">
        <v>10</v>
      </c>
      <c r="G397" s="195"/>
      <c r="H397" s="422">
        <f t="shared" si="41"/>
        <v>9500</v>
      </c>
      <c r="I397" s="131"/>
      <c r="J397" s="201"/>
      <c r="K397" s="201"/>
      <c r="L397" s="201"/>
      <c r="M397" s="256"/>
      <c r="N397" s="256"/>
      <c r="O397" s="256"/>
      <c r="P397" s="256"/>
      <c r="Q397" s="256"/>
      <c r="R397" s="256"/>
      <c r="S397" s="256"/>
      <c r="T397" s="256"/>
      <c r="U397" s="256"/>
      <c r="V397" s="256"/>
      <c r="W397" s="256"/>
    </row>
    <row r="398" spans="2:23" s="113" customFormat="1" hidden="1">
      <c r="B398" s="127"/>
      <c r="C398" s="115"/>
      <c r="D398" s="133"/>
      <c r="E398" s="133"/>
      <c r="F398" s="194">
        <v>11</v>
      </c>
      <c r="G398" s="195"/>
      <c r="H398" s="422">
        <f t="shared" si="41"/>
        <v>10450</v>
      </c>
      <c r="I398" s="131"/>
      <c r="J398" s="201"/>
      <c r="K398" s="201"/>
      <c r="L398" s="201"/>
      <c r="M398" s="256"/>
      <c r="N398" s="256"/>
      <c r="O398" s="256"/>
      <c r="P398" s="256"/>
      <c r="Q398" s="256"/>
      <c r="R398" s="256"/>
      <c r="S398" s="256"/>
      <c r="T398" s="256"/>
      <c r="U398" s="256"/>
      <c r="V398" s="256"/>
      <c r="W398" s="256"/>
    </row>
    <row r="399" spans="2:23" s="113" customFormat="1" hidden="1">
      <c r="B399" s="127"/>
      <c r="C399" s="115"/>
      <c r="D399" s="133"/>
      <c r="E399" s="133"/>
      <c r="F399" s="194">
        <f>F398+1</f>
        <v>12</v>
      </c>
      <c r="G399" s="195"/>
      <c r="H399" s="422">
        <f t="shared" si="41"/>
        <v>11400</v>
      </c>
      <c r="I399" s="131"/>
      <c r="J399" s="201"/>
      <c r="K399" s="201"/>
      <c r="L399" s="201"/>
      <c r="M399" s="256"/>
      <c r="N399" s="256"/>
      <c r="O399" s="256"/>
      <c r="P399" s="256"/>
      <c r="Q399" s="256"/>
      <c r="R399" s="256"/>
      <c r="S399" s="256"/>
      <c r="T399" s="256"/>
      <c r="U399" s="256"/>
      <c r="V399" s="256"/>
      <c r="W399" s="256"/>
    </row>
    <row r="400" spans="2:23" s="113" customFormat="1" hidden="1">
      <c r="B400" s="127"/>
      <c r="C400" s="115"/>
      <c r="D400" s="133"/>
      <c r="E400" s="133"/>
      <c r="F400" s="194">
        <f>F399+1</f>
        <v>13</v>
      </c>
      <c r="G400" s="195"/>
      <c r="H400" s="422">
        <f t="shared" si="41"/>
        <v>12350</v>
      </c>
      <c r="I400" s="131"/>
      <c r="J400" s="201"/>
      <c r="K400" s="201"/>
      <c r="L400" s="201"/>
      <c r="M400" s="256"/>
      <c r="N400" s="256"/>
      <c r="O400" s="256"/>
      <c r="P400" s="256"/>
      <c r="Q400" s="256"/>
      <c r="R400" s="256"/>
      <c r="S400" s="256"/>
      <c r="T400" s="256"/>
      <c r="U400" s="256"/>
      <c r="V400" s="256"/>
      <c r="W400" s="256"/>
    </row>
    <row r="401" spans="2:23" s="113" customFormat="1" hidden="1">
      <c r="B401" s="127"/>
      <c r="C401" s="115"/>
      <c r="D401" s="133"/>
      <c r="E401" s="133"/>
      <c r="F401" s="194">
        <f>F400+1</f>
        <v>14</v>
      </c>
      <c r="G401" s="195"/>
      <c r="H401" s="422">
        <f t="shared" si="41"/>
        <v>13300</v>
      </c>
      <c r="I401" s="131"/>
      <c r="J401" s="201"/>
      <c r="K401" s="201"/>
      <c r="L401" s="201"/>
      <c r="M401" s="256"/>
      <c r="N401" s="256"/>
      <c r="O401" s="256"/>
      <c r="P401" s="256"/>
      <c r="Q401" s="256"/>
      <c r="R401" s="256"/>
      <c r="S401" s="256"/>
      <c r="T401" s="256"/>
      <c r="U401" s="256"/>
      <c r="V401" s="256"/>
      <c r="W401" s="256"/>
    </row>
    <row r="402" spans="2:23" s="113" customFormat="1" hidden="1">
      <c r="B402" s="127"/>
      <c r="C402" s="115"/>
      <c r="D402" s="133"/>
      <c r="E402" s="133"/>
      <c r="F402" s="194">
        <f>F401+1</f>
        <v>15</v>
      </c>
      <c r="G402" s="195"/>
      <c r="H402" s="422">
        <f t="shared" si="41"/>
        <v>14250</v>
      </c>
      <c r="I402" s="131"/>
      <c r="J402" s="201"/>
      <c r="K402" s="201"/>
      <c r="L402" s="201"/>
      <c r="M402" s="256"/>
      <c r="N402" s="256"/>
      <c r="O402" s="256"/>
      <c r="P402" s="256"/>
      <c r="Q402" s="256"/>
      <c r="R402" s="256"/>
      <c r="S402" s="256"/>
      <c r="T402" s="256"/>
      <c r="U402" s="256"/>
      <c r="V402" s="256"/>
      <c r="W402" s="256"/>
    </row>
    <row r="403" spans="2:23" s="113" customFormat="1" hidden="1">
      <c r="B403" s="127"/>
      <c r="C403" s="115"/>
      <c r="D403" s="133"/>
      <c r="E403" s="133"/>
      <c r="F403" s="194">
        <f>F402+1</f>
        <v>16</v>
      </c>
      <c r="G403" s="195"/>
      <c r="H403" s="422">
        <f t="shared" si="41"/>
        <v>15200</v>
      </c>
      <c r="I403" s="131"/>
      <c r="J403" s="201"/>
      <c r="K403" s="201"/>
      <c r="L403" s="201"/>
      <c r="M403" s="256"/>
      <c r="N403" s="256"/>
      <c r="O403" s="256"/>
      <c r="P403" s="256"/>
      <c r="Q403" s="256"/>
      <c r="R403" s="256"/>
      <c r="S403" s="256"/>
      <c r="T403" s="256"/>
      <c r="U403" s="256"/>
      <c r="V403" s="256"/>
      <c r="W403" s="256"/>
    </row>
    <row r="404" spans="2:23" s="113" customFormat="1" hidden="1">
      <c r="B404" s="127"/>
      <c r="C404" s="115"/>
      <c r="D404" s="133"/>
      <c r="E404" s="196" t="s">
        <v>105</v>
      </c>
      <c r="F404" s="191"/>
      <c r="G404" s="192"/>
      <c r="H404" s="423">
        <v>125</v>
      </c>
      <c r="I404" s="131"/>
      <c r="J404" s="201"/>
      <c r="K404" s="201"/>
      <c r="L404" s="201"/>
      <c r="M404" s="256"/>
      <c r="N404" s="256"/>
      <c r="O404" s="256"/>
      <c r="P404" s="256"/>
      <c r="Q404" s="256"/>
      <c r="R404" s="256"/>
      <c r="S404" s="256"/>
      <c r="T404" s="256"/>
      <c r="U404" s="256"/>
      <c r="V404" s="256"/>
      <c r="W404" s="256"/>
    </row>
    <row r="405" spans="2:23" s="113" customFormat="1" hidden="1">
      <c r="B405" s="127"/>
      <c r="C405" s="115"/>
      <c r="D405" s="133"/>
      <c r="E405" s="196" t="s">
        <v>1015</v>
      </c>
      <c r="F405" s="874"/>
      <c r="G405" s="98"/>
      <c r="H405" s="874">
        <v>160</v>
      </c>
      <c r="I405" s="131"/>
      <c r="J405" s="201"/>
      <c r="K405" s="201"/>
      <c r="L405" s="201"/>
      <c r="M405" s="256"/>
      <c r="N405" s="256"/>
      <c r="O405" s="256"/>
      <c r="P405" s="256"/>
      <c r="Q405" s="256"/>
      <c r="R405" s="256"/>
      <c r="S405" s="256"/>
      <c r="T405" s="256"/>
      <c r="U405" s="256"/>
      <c r="V405" s="256"/>
      <c r="W405" s="256"/>
    </row>
    <row r="406" spans="2:23" s="113" customFormat="1" hidden="1">
      <c r="B406" s="127"/>
      <c r="C406" s="115"/>
      <c r="D406" s="133"/>
      <c r="E406" s="196" t="s">
        <v>1016</v>
      </c>
      <c r="F406" s="874"/>
      <c r="G406" s="98"/>
      <c r="H406" s="874">
        <v>240</v>
      </c>
      <c r="I406" s="131"/>
      <c r="J406" s="201"/>
      <c r="K406" s="201"/>
      <c r="L406" s="201"/>
      <c r="M406" s="256"/>
      <c r="N406" s="256"/>
      <c r="O406" s="256"/>
      <c r="P406" s="256"/>
      <c r="Q406" s="256"/>
      <c r="R406" s="256"/>
      <c r="S406" s="256"/>
      <c r="T406" s="256"/>
      <c r="U406" s="256"/>
      <c r="V406" s="256"/>
      <c r="W406" s="256"/>
    </row>
    <row r="407" spans="2:23" s="113" customFormat="1" hidden="1">
      <c r="B407" s="127"/>
      <c r="C407" s="115"/>
      <c r="D407" s="133"/>
      <c r="E407" s="133"/>
      <c r="F407" s="120"/>
      <c r="G407" s="109"/>
      <c r="H407" s="110"/>
      <c r="I407" s="131"/>
      <c r="J407" s="201"/>
      <c r="K407" s="201"/>
      <c r="L407" s="201"/>
      <c r="M407" s="256"/>
      <c r="N407" s="256"/>
      <c r="O407" s="256"/>
      <c r="P407" s="256"/>
      <c r="Q407" s="256"/>
      <c r="R407" s="256"/>
      <c r="S407" s="256"/>
      <c r="T407" s="256"/>
      <c r="U407" s="256"/>
      <c r="V407" s="256"/>
      <c r="W407" s="256"/>
    </row>
    <row r="408" spans="2:23" s="113" customFormat="1" hidden="1">
      <c r="B408" s="127"/>
      <c r="C408" s="115"/>
      <c r="D408" s="133"/>
      <c r="E408" s="133"/>
      <c r="F408" s="120"/>
      <c r="G408" s="109"/>
      <c r="H408" s="110"/>
      <c r="I408" s="131"/>
      <c r="J408" s="201"/>
      <c r="K408" s="201"/>
      <c r="L408" s="201"/>
      <c r="M408" s="256"/>
      <c r="N408" s="256"/>
      <c r="O408" s="256"/>
      <c r="P408" s="256"/>
      <c r="Q408" s="256"/>
      <c r="R408" s="256"/>
      <c r="S408" s="256"/>
      <c r="T408" s="256"/>
      <c r="U408" s="256"/>
      <c r="V408" s="256"/>
      <c r="W408" s="256"/>
    </row>
    <row r="409" spans="2:23" s="113" customFormat="1" hidden="1">
      <c r="B409" s="127"/>
      <c r="C409" s="115"/>
      <c r="D409" s="133"/>
      <c r="E409" s="133"/>
      <c r="F409" s="120"/>
      <c r="G409" s="109"/>
      <c r="H409" s="110"/>
      <c r="I409" s="131"/>
      <c r="J409" s="201"/>
      <c r="K409" s="201"/>
      <c r="L409" s="201"/>
      <c r="M409" s="256"/>
      <c r="N409" s="256"/>
      <c r="O409" s="256"/>
      <c r="P409" s="256"/>
      <c r="Q409" s="256"/>
      <c r="R409" s="256"/>
      <c r="S409" s="256"/>
      <c r="T409" s="256"/>
      <c r="U409" s="256"/>
      <c r="V409" s="256"/>
      <c r="W409" s="256"/>
    </row>
    <row r="410" spans="2:23" s="113" customFormat="1" hidden="1">
      <c r="B410" s="127"/>
      <c r="C410" s="115"/>
      <c r="D410" s="133"/>
      <c r="E410" s="133"/>
      <c r="F410" s="120"/>
      <c r="G410" s="109"/>
      <c r="H410" s="110"/>
      <c r="I410" s="131"/>
      <c r="J410" s="201"/>
      <c r="K410" s="201"/>
      <c r="L410" s="201"/>
      <c r="M410" s="256"/>
      <c r="N410" s="256"/>
      <c r="O410" s="256"/>
      <c r="P410" s="256"/>
      <c r="Q410" s="256"/>
      <c r="R410" s="256"/>
      <c r="S410" s="256"/>
      <c r="T410" s="256"/>
      <c r="U410" s="256"/>
      <c r="V410" s="256"/>
      <c r="W410" s="256"/>
    </row>
    <row r="411" spans="2:23" hidden="1">
      <c r="B411" s="127"/>
      <c r="C411" s="115"/>
      <c r="D411" s="115"/>
      <c r="E411" s="109"/>
      <c r="F411" s="28"/>
      <c r="G411" s="109"/>
      <c r="H411" s="109"/>
      <c r="I411" s="131"/>
    </row>
    <row r="412" spans="2:23" hidden="1">
      <c r="B412" s="127"/>
      <c r="C412" s="115"/>
      <c r="D412" s="115"/>
      <c r="E412" s="153"/>
      <c r="F412" s="28"/>
      <c r="G412" s="109"/>
      <c r="H412" s="109"/>
      <c r="I412" s="131"/>
    </row>
    <row r="413" spans="2:23" hidden="1">
      <c r="B413" s="127"/>
      <c r="C413" s="115"/>
      <c r="D413" s="115"/>
      <c r="E413" s="109"/>
      <c r="F413" s="28"/>
      <c r="G413" s="109"/>
      <c r="H413" s="109"/>
      <c r="I413" s="131"/>
    </row>
    <row r="414" spans="2:23" ht="13.5" hidden="1" thickBot="1">
      <c r="B414" s="136"/>
      <c r="C414" s="18"/>
      <c r="D414" s="18"/>
      <c r="E414" s="19"/>
      <c r="F414" s="20"/>
      <c r="G414" s="19"/>
      <c r="H414" s="19"/>
      <c r="I414" s="137"/>
    </row>
    <row r="415" spans="2:23" hidden="1">
      <c r="C415" s="112"/>
      <c r="D415" s="112"/>
      <c r="F415" s="112"/>
    </row>
    <row r="416" spans="2:23" hidden="1">
      <c r="C416" s="112"/>
      <c r="D416" s="112"/>
      <c r="F416" s="112"/>
    </row>
    <row r="417" spans="3:6" hidden="1">
      <c r="C417" s="112"/>
      <c r="D417" s="112"/>
      <c r="F417" s="112"/>
    </row>
    <row r="418" spans="3:6" hidden="1">
      <c r="C418" s="112"/>
      <c r="D418" s="112"/>
      <c r="F418" s="112"/>
    </row>
    <row r="419" spans="3:6" hidden="1">
      <c r="C419" s="112"/>
      <c r="D419" s="112"/>
      <c r="F419" s="112"/>
    </row>
    <row r="420" spans="3:6" hidden="1">
      <c r="C420" s="112"/>
      <c r="D420" s="112"/>
      <c r="F420" s="112"/>
    </row>
    <row r="421" spans="3:6" hidden="1">
      <c r="C421" s="112"/>
      <c r="D421" s="112"/>
      <c r="F421" s="112"/>
    </row>
    <row r="422" spans="3:6" hidden="1">
      <c r="C422" s="112"/>
      <c r="D422" s="112"/>
      <c r="F422" s="112"/>
    </row>
    <row r="423" spans="3:6" hidden="1">
      <c r="C423" s="112"/>
      <c r="D423" s="112"/>
      <c r="F423" s="112"/>
    </row>
    <row r="424" spans="3:6" hidden="1">
      <c r="C424" s="112"/>
      <c r="D424" s="112"/>
      <c r="F424" s="112"/>
    </row>
    <row r="425" spans="3:6" hidden="1">
      <c r="C425" s="112"/>
      <c r="D425" s="112"/>
      <c r="F425" s="112"/>
    </row>
    <row r="426" spans="3:6" hidden="1">
      <c r="C426" s="112"/>
      <c r="D426" s="112"/>
      <c r="F426" s="112"/>
    </row>
    <row r="427" spans="3:6" hidden="1">
      <c r="C427" s="112"/>
      <c r="D427" s="112"/>
      <c r="F427" s="112"/>
    </row>
    <row r="428" spans="3:6" hidden="1">
      <c r="C428" s="112"/>
      <c r="D428" s="112"/>
      <c r="F428" s="112"/>
    </row>
    <row r="429" spans="3:6" hidden="1">
      <c r="C429" s="112"/>
      <c r="D429" s="112"/>
      <c r="F429" s="112"/>
    </row>
    <row r="430" spans="3:6" hidden="1">
      <c r="C430" s="112"/>
      <c r="D430" s="112"/>
      <c r="F430" s="112"/>
    </row>
    <row r="431" spans="3:6" hidden="1">
      <c r="C431" s="112"/>
      <c r="D431" s="112"/>
      <c r="F431" s="112"/>
    </row>
    <row r="432" spans="3:6" hidden="1">
      <c r="C432" s="112"/>
      <c r="D432" s="112"/>
      <c r="F432" s="112"/>
    </row>
    <row r="433" spans="3:6" hidden="1">
      <c r="C433" s="112"/>
      <c r="D433" s="112"/>
      <c r="F433" s="112"/>
    </row>
    <row r="434" spans="3:6" hidden="1">
      <c r="C434" s="112"/>
      <c r="D434" s="112"/>
      <c r="F434" s="112"/>
    </row>
    <row r="435" spans="3:6" hidden="1">
      <c r="C435" s="112"/>
      <c r="D435" s="112"/>
      <c r="F435" s="112"/>
    </row>
    <row r="436" spans="3:6" hidden="1">
      <c r="C436" s="112"/>
      <c r="D436" s="112"/>
      <c r="F436" s="112"/>
    </row>
    <row r="437" spans="3:6" hidden="1">
      <c r="C437" s="112"/>
      <c r="D437" s="112"/>
      <c r="F437" s="112"/>
    </row>
    <row r="438" spans="3:6">
      <c r="C438" s="112"/>
      <c r="D438" s="112"/>
      <c r="F438" s="112"/>
    </row>
    <row r="439" spans="3:6">
      <c r="C439" s="112"/>
      <c r="D439" s="112"/>
      <c r="F439" s="112"/>
    </row>
    <row r="440" spans="3:6">
      <c r="C440" s="112"/>
      <c r="D440" s="112"/>
      <c r="F440" s="112"/>
    </row>
    <row r="441" spans="3:6">
      <c r="C441" s="112"/>
      <c r="D441" s="112"/>
      <c r="F441" s="112"/>
    </row>
    <row r="442" spans="3:6">
      <c r="C442" s="112"/>
      <c r="D442" s="112"/>
      <c r="F442" s="112"/>
    </row>
    <row r="443" spans="3:6">
      <c r="C443" s="112"/>
      <c r="D443" s="112"/>
      <c r="F443" s="112"/>
    </row>
    <row r="444" spans="3:6">
      <c r="C444" s="112"/>
      <c r="D444" s="112"/>
      <c r="F444" s="112"/>
    </row>
    <row r="445" spans="3:6">
      <c r="C445" s="112"/>
      <c r="D445" s="112"/>
      <c r="F445" s="112"/>
    </row>
    <row r="446" spans="3:6">
      <c r="C446" s="112"/>
      <c r="D446" s="112"/>
      <c r="F446" s="112"/>
    </row>
    <row r="447" spans="3:6">
      <c r="C447" s="112"/>
      <c r="D447" s="112"/>
      <c r="F447" s="112"/>
    </row>
    <row r="448" spans="3:6">
      <c r="C448" s="112"/>
      <c r="D448" s="112"/>
      <c r="F448" s="112"/>
    </row>
    <row r="449" spans="3:6">
      <c r="C449" s="112"/>
      <c r="D449" s="112"/>
      <c r="F449" s="112"/>
    </row>
    <row r="450" spans="3:6">
      <c r="C450" s="112"/>
      <c r="D450" s="112"/>
      <c r="F450" s="112"/>
    </row>
    <row r="451" spans="3:6">
      <c r="C451" s="112"/>
      <c r="D451" s="112"/>
      <c r="F451" s="112"/>
    </row>
    <row r="452" spans="3:6">
      <c r="C452" s="112"/>
      <c r="D452" s="112"/>
      <c r="F452" s="112"/>
    </row>
    <row r="453" spans="3:6">
      <c r="C453" s="112"/>
      <c r="D453" s="112"/>
      <c r="F453" s="112"/>
    </row>
    <row r="454" spans="3:6">
      <c r="C454" s="112"/>
      <c r="D454" s="112"/>
      <c r="F454" s="112"/>
    </row>
    <row r="455" spans="3:6">
      <c r="C455" s="112"/>
      <c r="D455" s="112"/>
      <c r="F455" s="112"/>
    </row>
    <row r="456" spans="3:6">
      <c r="C456" s="112"/>
      <c r="D456" s="112"/>
      <c r="F456" s="112"/>
    </row>
    <row r="457" spans="3:6">
      <c r="C457" s="112"/>
      <c r="D457" s="112"/>
      <c r="F457" s="112"/>
    </row>
    <row r="458" spans="3:6">
      <c r="C458" s="112"/>
      <c r="D458" s="112"/>
      <c r="F458" s="112"/>
    </row>
    <row r="459" spans="3:6">
      <c r="C459" s="112"/>
      <c r="D459" s="112"/>
      <c r="F459" s="112"/>
    </row>
    <row r="460" spans="3:6">
      <c r="C460" s="112"/>
      <c r="D460" s="112"/>
      <c r="F460" s="112"/>
    </row>
    <row r="461" spans="3:6">
      <c r="C461" s="112"/>
      <c r="D461" s="112"/>
      <c r="F461" s="112"/>
    </row>
    <row r="462" spans="3:6">
      <c r="C462" s="112"/>
      <c r="D462" s="112"/>
      <c r="F462" s="112"/>
    </row>
    <row r="463" spans="3:6">
      <c r="C463" s="112"/>
      <c r="D463" s="112"/>
      <c r="F463" s="112"/>
    </row>
    <row r="464" spans="3:6">
      <c r="C464" s="112"/>
      <c r="D464" s="112"/>
      <c r="F464" s="112"/>
    </row>
    <row r="465" spans="3:6">
      <c r="C465" s="112"/>
      <c r="D465" s="112"/>
      <c r="F465" s="112"/>
    </row>
    <row r="466" spans="3:6">
      <c r="C466" s="112"/>
      <c r="D466" s="112"/>
      <c r="F466" s="112"/>
    </row>
    <row r="467" spans="3:6">
      <c r="C467" s="112"/>
      <c r="D467" s="112"/>
      <c r="F467" s="112"/>
    </row>
    <row r="468" spans="3:6">
      <c r="C468" s="112"/>
      <c r="D468" s="112"/>
      <c r="F468" s="112"/>
    </row>
    <row r="469" spans="3:6">
      <c r="C469" s="112"/>
      <c r="D469" s="112"/>
      <c r="F469" s="112"/>
    </row>
    <row r="470" spans="3:6">
      <c r="C470" s="112"/>
      <c r="D470" s="112"/>
      <c r="F470" s="112"/>
    </row>
    <row r="471" spans="3:6">
      <c r="C471" s="112"/>
      <c r="D471" s="112"/>
      <c r="F471" s="112"/>
    </row>
    <row r="472" spans="3:6">
      <c r="C472" s="112"/>
      <c r="D472" s="112"/>
      <c r="F472" s="112"/>
    </row>
    <row r="473" spans="3:6">
      <c r="C473" s="112"/>
      <c r="D473" s="112"/>
      <c r="F473" s="112"/>
    </row>
    <row r="474" spans="3:6">
      <c r="C474" s="112"/>
      <c r="D474" s="112"/>
      <c r="F474" s="112"/>
    </row>
    <row r="475" spans="3:6">
      <c r="C475" s="112"/>
      <c r="D475" s="112"/>
      <c r="F475" s="112"/>
    </row>
    <row r="476" spans="3:6">
      <c r="C476" s="112"/>
      <c r="D476" s="112"/>
      <c r="F476" s="112"/>
    </row>
    <row r="477" spans="3:6">
      <c r="C477" s="112"/>
      <c r="D477" s="112"/>
      <c r="F477" s="112"/>
    </row>
    <row r="478" spans="3:6">
      <c r="C478" s="112"/>
      <c r="D478" s="112"/>
      <c r="F478" s="112"/>
    </row>
    <row r="479" spans="3:6">
      <c r="C479" s="112"/>
      <c r="D479" s="112"/>
      <c r="F479" s="112"/>
    </row>
    <row r="480" spans="3:6">
      <c r="C480" s="112"/>
      <c r="D480" s="112"/>
      <c r="F480" s="112"/>
    </row>
    <row r="481" spans="3:6">
      <c r="C481" s="112"/>
      <c r="D481" s="112"/>
      <c r="F481" s="112"/>
    </row>
    <row r="482" spans="3:6">
      <c r="C482" s="112"/>
      <c r="D482" s="112"/>
      <c r="F482" s="112"/>
    </row>
    <row r="483" spans="3:6">
      <c r="C483" s="112"/>
      <c r="D483" s="112"/>
      <c r="F483" s="112"/>
    </row>
    <row r="484" spans="3:6">
      <c r="C484" s="112"/>
      <c r="D484" s="112"/>
      <c r="F484" s="112"/>
    </row>
    <row r="485" spans="3:6">
      <c r="C485" s="112"/>
      <c r="D485" s="112"/>
      <c r="F485" s="112"/>
    </row>
    <row r="486" spans="3:6">
      <c r="C486" s="112"/>
      <c r="D486" s="112"/>
      <c r="F486" s="112"/>
    </row>
    <row r="487" spans="3:6">
      <c r="C487" s="112"/>
      <c r="D487" s="112"/>
      <c r="F487" s="112"/>
    </row>
    <row r="488" spans="3:6">
      <c r="C488" s="112"/>
      <c r="D488" s="112"/>
      <c r="F488" s="112"/>
    </row>
    <row r="489" spans="3:6">
      <c r="C489" s="112"/>
      <c r="D489" s="112"/>
      <c r="F489" s="112"/>
    </row>
    <row r="490" spans="3:6">
      <c r="C490" s="112"/>
      <c r="D490" s="112"/>
      <c r="F490" s="112"/>
    </row>
    <row r="491" spans="3:6">
      <c r="C491" s="112"/>
      <c r="D491" s="112"/>
      <c r="F491" s="112"/>
    </row>
    <row r="492" spans="3:6">
      <c r="C492" s="112"/>
      <c r="D492" s="112"/>
      <c r="F492" s="112"/>
    </row>
    <row r="493" spans="3:6">
      <c r="C493" s="112"/>
      <c r="D493" s="112"/>
      <c r="F493" s="112"/>
    </row>
    <row r="494" spans="3:6">
      <c r="C494" s="112"/>
      <c r="D494" s="112"/>
      <c r="F494" s="112"/>
    </row>
    <row r="495" spans="3:6">
      <c r="C495" s="112"/>
      <c r="D495" s="112"/>
      <c r="F495" s="112"/>
    </row>
    <row r="496" spans="3:6">
      <c r="C496" s="112"/>
      <c r="D496" s="112"/>
      <c r="F496" s="112"/>
    </row>
    <row r="497" spans="3:6">
      <c r="C497" s="112"/>
      <c r="D497" s="112"/>
      <c r="F497" s="112"/>
    </row>
    <row r="498" spans="3:6">
      <c r="C498" s="112"/>
      <c r="D498" s="112"/>
      <c r="F498" s="112"/>
    </row>
    <row r="499" spans="3:6">
      <c r="C499" s="112"/>
      <c r="D499" s="112"/>
      <c r="F499" s="112"/>
    </row>
    <row r="500" spans="3:6">
      <c r="C500" s="112"/>
      <c r="D500" s="112"/>
      <c r="F500" s="112"/>
    </row>
    <row r="501" spans="3:6">
      <c r="C501" s="112"/>
      <c r="D501" s="112"/>
      <c r="F501" s="112"/>
    </row>
    <row r="502" spans="3:6">
      <c r="C502" s="112"/>
      <c r="D502" s="112"/>
      <c r="F502" s="112"/>
    </row>
    <row r="503" spans="3:6">
      <c r="C503" s="112"/>
      <c r="D503" s="112"/>
      <c r="F503" s="112"/>
    </row>
    <row r="504" spans="3:6">
      <c r="C504" s="112"/>
      <c r="D504" s="112"/>
      <c r="F504" s="112"/>
    </row>
    <row r="505" spans="3:6">
      <c r="C505" s="112"/>
      <c r="D505" s="112"/>
      <c r="F505" s="112"/>
    </row>
    <row r="506" spans="3:6">
      <c r="C506" s="112"/>
      <c r="D506" s="112"/>
      <c r="F506" s="112"/>
    </row>
    <row r="507" spans="3:6">
      <c r="C507" s="112"/>
      <c r="D507" s="112"/>
      <c r="F507" s="112"/>
    </row>
    <row r="508" spans="3:6">
      <c r="C508" s="112"/>
      <c r="D508" s="112"/>
      <c r="F508" s="112"/>
    </row>
    <row r="509" spans="3:6">
      <c r="C509" s="112"/>
      <c r="D509" s="112"/>
      <c r="F509" s="112"/>
    </row>
    <row r="510" spans="3:6">
      <c r="C510" s="112"/>
      <c r="D510" s="112"/>
      <c r="F510" s="112"/>
    </row>
    <row r="511" spans="3:6">
      <c r="C511" s="112"/>
      <c r="D511" s="112"/>
      <c r="F511" s="112"/>
    </row>
    <row r="512" spans="3:6">
      <c r="C512" s="112"/>
      <c r="D512" s="112"/>
      <c r="F512" s="112"/>
    </row>
    <row r="513" spans="3:6">
      <c r="C513" s="112"/>
      <c r="D513" s="112"/>
      <c r="F513" s="112"/>
    </row>
    <row r="514" spans="3:6">
      <c r="C514" s="112"/>
      <c r="D514" s="112"/>
      <c r="F514" s="112"/>
    </row>
    <row r="515" spans="3:6">
      <c r="C515" s="112"/>
      <c r="D515" s="112"/>
      <c r="F515" s="112"/>
    </row>
    <row r="516" spans="3:6">
      <c r="C516" s="112"/>
      <c r="D516" s="112"/>
      <c r="F516" s="112"/>
    </row>
  </sheetData>
  <sheetProtection password="CFD5" sheet="1" objects="1" scenarios="1" selectLockedCells="1"/>
  <sortState xmlns:xlrd2="http://schemas.microsoft.com/office/spreadsheetml/2017/richdata2" ref="E265:E274">
    <sortCondition ref="E264"/>
  </sortState>
  <mergeCells count="5">
    <mergeCell ref="C127:H127"/>
    <mergeCell ref="C132:H132"/>
    <mergeCell ref="K350:M350"/>
    <mergeCell ref="N350:P350"/>
    <mergeCell ref="C133:H138"/>
  </mergeCells>
  <dataValidations count="13">
    <dataValidation type="list" allowBlank="1" showInputMessage="1" showErrorMessage="1" sqref="E95" xr:uid="{00000000-0002-0000-0800-000000000000}">
      <formula1>$AE$252:$AE$276</formula1>
    </dataValidation>
    <dataValidation type="list" allowBlank="1" showInputMessage="1" showErrorMessage="1" sqref="E85" xr:uid="{00000000-0002-0000-0800-000001000000}">
      <formula1>$E$391:$E$404</formula1>
    </dataValidation>
    <dataValidation type="list" allowBlank="1" showInputMessage="1" showErrorMessage="1" sqref="E17" xr:uid="{00000000-0002-0000-0800-000002000000}">
      <formula1>$E$187:$E$188</formula1>
    </dataValidation>
    <dataValidation type="list" allowBlank="1" showInputMessage="1" showErrorMessage="1" sqref="D8" xr:uid="{00000000-0002-0000-0800-000003000000}">
      <formula1>"Yes,No"</formula1>
    </dataValidation>
    <dataValidation type="list" allowBlank="1" showInputMessage="1" showErrorMessage="1" sqref="E32" xr:uid="{00000000-0002-0000-0800-000004000000}">
      <formula1>$E$352:$E$359</formula1>
    </dataValidation>
    <dataValidation type="list" allowBlank="1" showInputMessage="1" showErrorMessage="1" sqref="E33:E35 E97 E94 E101" xr:uid="{00000000-0002-0000-0800-000005000000}">
      <formula1>$E$362:$E$364</formula1>
    </dataValidation>
    <dataValidation type="list" allowBlank="1" showInputMessage="1" showErrorMessage="1" sqref="E18" xr:uid="{00000000-0002-0000-0800-000006000000}">
      <formula1>$P$17:$P$28</formula1>
    </dataValidation>
    <dataValidation type="list" allowBlank="1" showInputMessage="1" showErrorMessage="1" sqref="E30:E31 E67 E48" xr:uid="{00000000-0002-0000-0800-000007000000}">
      <formula1>$K$222:$K$238</formula1>
    </dataValidation>
    <dataValidation type="list" allowBlank="1" showInputMessage="1" showErrorMessage="1" sqref="E19 E24" xr:uid="{00000000-0002-0000-0800-000008000000}">
      <formula1>$E$223:$E$225</formula1>
    </dataValidation>
    <dataValidation type="list" allowBlank="1" showInputMessage="1" showErrorMessage="1" sqref="E23" xr:uid="{00000000-0002-0000-0800-000009000000}">
      <formula1>$E$213:$E$216</formula1>
    </dataValidation>
    <dataValidation type="list" allowBlank="1" showInputMessage="1" showErrorMessage="1" sqref="E98" xr:uid="{00000000-0002-0000-0800-00000A000000}">
      <formula1>$E$293:$E$310</formula1>
    </dataValidation>
    <dataValidation type="list" allowBlank="1" showInputMessage="1" showErrorMessage="1" sqref="E83" xr:uid="{00000000-0002-0000-0800-00000B000000}">
      <formula1>$E$405:$E$406</formula1>
    </dataValidation>
    <dataValidation type="list" allowBlank="1" showInputMessage="1" showErrorMessage="1" sqref="E50" xr:uid="{00000000-0002-0000-0800-00000C000000}">
      <formula1>$E$329:$E$331</formula1>
    </dataValidation>
  </dataValidations>
  <pageMargins left="0.74803149606299213" right="0.74803149606299213" top="0.98425196850393704" bottom="0.98425196850393704" header="0.51181102362204722" footer="0.51181102362204722"/>
  <pageSetup paperSize="9" scale="56" orientation="portrait" horizontalDpi="200" r:id="rId1"/>
  <headerFooter alignWithMargins="0">
    <oddHeader>&amp;F</oddHeader>
    <oddFooter>&amp;L&amp;BMatthews Australasia Pty Ltd Confidential&amp;B&amp;C&amp;D&amp;RPage &amp;P</oddFooter>
  </headerFooter>
  <ignoredErrors>
    <ignoredError sqref="H120 G78 G26 C74:D75 B95 C32:D32 C17:D19 C102:D102 E140 C68:D68 C53:D61 C22:D24 C98:D98 C99:D99 C69:D69 D120" evalError="1"/>
    <ignoredError sqref="F341:G342 F198:G200 F239 F241 F192:G192 G339 L355 F247 F242 F248:F249 F243 F323:F328 F372 F252:F254 F250:F251 F281:F292 F294:F310 F245:F246" numberStoredAsText="1"/>
    <ignoredError sqref="F37:F39 F18:F19 F23:F25 F95 E99 F32:F33 F102 H187 H189" unlockedFormula="1"/>
    <ignoredError sqref="H188" formula="1" unlockedFormula="1"/>
  </ignoredError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theme="0"/>
    <pageSetUpPr fitToPage="1"/>
  </sheetPr>
  <dimension ref="A3:BH545"/>
  <sheetViews>
    <sheetView showGridLines="0" showRowColHeaders="0" zoomScaleNormal="100" workbookViewId="0">
      <selection activeCell="D9" sqref="D9"/>
    </sheetView>
  </sheetViews>
  <sheetFormatPr defaultColWidth="9.140625" defaultRowHeight="12.75"/>
  <cols>
    <col min="1" max="1" width="9.140625" style="112" customWidth="1"/>
    <col min="2" max="2" width="9.140625" style="112"/>
    <col min="3" max="3" width="15" style="113" customWidth="1"/>
    <col min="4" max="4" width="19.140625" style="113" customWidth="1"/>
    <col min="5" max="5" width="14.7109375" style="113" customWidth="1"/>
    <col min="6" max="6" width="52.5703125" style="112" customWidth="1"/>
    <col min="7" max="7" width="10.140625" style="116" customWidth="1"/>
    <col min="8" max="8" width="12.85546875" style="112" customWidth="1"/>
    <col min="9" max="9" width="10.85546875" style="112" customWidth="1"/>
    <col min="10" max="10" width="7.5703125" style="112" customWidth="1"/>
    <col min="11" max="11" width="0" style="201" hidden="1" customWidth="1"/>
    <col min="12" max="12" width="11.85546875" style="519" hidden="1" customWidth="1"/>
    <col min="13" max="13" width="9.7109375" style="519" hidden="1" customWidth="1"/>
    <col min="14" max="14" width="13.7109375" style="519" hidden="1" customWidth="1"/>
    <col min="15" max="15" width="10.42578125" style="519" hidden="1" customWidth="1"/>
    <col min="16" max="16" width="10" style="519" hidden="1" customWidth="1"/>
    <col min="17" max="17" width="8.7109375" style="519" hidden="1" customWidth="1"/>
    <col min="18" max="18" width="20.28515625" style="519" hidden="1" customWidth="1"/>
    <col min="19" max="19" width="39.7109375" style="519" hidden="1" customWidth="1"/>
    <col min="20" max="20" width="2.42578125" style="519" hidden="1" customWidth="1"/>
    <col min="21" max="22" width="9.140625" style="519" hidden="1" customWidth="1"/>
    <col min="23" max="23" width="7" style="519" hidden="1" customWidth="1"/>
    <col min="24" max="24" width="13.85546875" style="519" hidden="1" customWidth="1"/>
    <col min="25" max="25" width="15.7109375" style="519" hidden="1" customWidth="1"/>
    <col min="26" max="26" width="31.7109375" style="519" hidden="1" customWidth="1"/>
    <col min="27" max="28" width="9.140625" style="519" hidden="1" customWidth="1"/>
    <col min="29" max="29" width="13.7109375" style="519" hidden="1" customWidth="1"/>
    <col min="30" max="30" width="15.7109375" style="519" hidden="1" customWidth="1"/>
    <col min="31" max="31" width="28.28515625" style="519" hidden="1" customWidth="1"/>
    <col min="32" max="32" width="32.28515625" style="519" hidden="1" customWidth="1"/>
    <col min="33" max="33" width="9.140625" style="519" hidden="1" customWidth="1"/>
    <col min="34" max="34" width="3" style="519" hidden="1" customWidth="1"/>
    <col min="35" max="35" width="18.140625" style="519" hidden="1" customWidth="1"/>
    <col min="36" max="36" width="20.140625" style="519" hidden="1" customWidth="1"/>
    <col min="37" max="37" width="29.7109375" style="519" hidden="1" customWidth="1"/>
    <col min="38" max="38" width="32.28515625" style="519" hidden="1" customWidth="1"/>
    <col min="39" max="56" width="9.140625" style="519" hidden="1" customWidth="1"/>
    <col min="57" max="58" width="0" style="519" hidden="1" customWidth="1"/>
    <col min="59" max="59" width="9.140625" style="519"/>
    <col min="60" max="16384" width="9.140625" style="112"/>
  </cols>
  <sheetData>
    <row r="3" spans="2:13">
      <c r="B3"/>
      <c r="C3"/>
      <c r="D3"/>
      <c r="E3"/>
      <c r="F3"/>
      <c r="G3"/>
      <c r="H3"/>
      <c r="I3"/>
      <c r="J3"/>
    </row>
    <row r="4" spans="2:13" ht="23.25">
      <c r="B4" s="114"/>
      <c r="C4" s="115"/>
      <c r="D4" s="115"/>
      <c r="E4" s="115"/>
      <c r="F4" s="109"/>
      <c r="G4" s="28"/>
      <c r="H4" s="109"/>
      <c r="I4" s="109"/>
      <c r="J4" s="118"/>
    </row>
    <row r="5" spans="2:13">
      <c r="B5"/>
      <c r="C5" s="1"/>
      <c r="D5" s="1"/>
      <c r="E5" s="1"/>
      <c r="F5"/>
      <c r="G5"/>
      <c r="H5"/>
      <c r="I5"/>
      <c r="J5" s="118"/>
    </row>
    <row r="6" spans="2:13">
      <c r="B6"/>
      <c r="C6" s="1"/>
      <c r="D6" s="1"/>
      <c r="E6" s="1"/>
      <c r="F6"/>
      <c r="G6" s="2"/>
      <c r="H6"/>
      <c r="I6"/>
      <c r="J6" s="118"/>
    </row>
    <row r="7" spans="2:13">
      <c r="B7"/>
      <c r="C7" s="1"/>
      <c r="D7" s="1"/>
      <c r="E7" s="1"/>
      <c r="F7"/>
      <c r="G7" s="2"/>
      <c r="H7"/>
      <c r="I7"/>
      <c r="J7" s="118"/>
      <c r="L7" s="519" t="s">
        <v>111</v>
      </c>
    </row>
    <row r="8" spans="2:13" hidden="1">
      <c r="B8"/>
      <c r="C8" s="55" t="s">
        <v>298</v>
      </c>
      <c r="D8" s="348" t="s">
        <v>97</v>
      </c>
      <c r="E8" s="1"/>
      <c r="F8"/>
      <c r="G8" s="2"/>
      <c r="H8"/>
      <c r="I8"/>
      <c r="J8" s="118"/>
    </row>
    <row r="9" spans="2:13">
      <c r="B9"/>
      <c r="C9" s="994" t="s">
        <v>1126</v>
      </c>
      <c r="D9" s="348"/>
      <c r="E9" s="775" t="s">
        <v>303</v>
      </c>
      <c r="F9" s="773">
        <f>IF(D8="Yes",CP!J7,IF(D8="No",CP!H7,0%))</f>
        <v>0.125</v>
      </c>
      <c r="G9" s="2"/>
      <c r="H9"/>
      <c r="I9"/>
      <c r="J9" s="118"/>
    </row>
    <row r="10" spans="2:13">
      <c r="B10"/>
      <c r="C10" s="775"/>
      <c r="D10" s="55"/>
      <c r="E10" s="775" t="s">
        <v>304</v>
      </c>
      <c r="F10" s="773">
        <f>IF(D8="Yes",CP!I7,IF(D8="No",CP!G7,0%))</f>
        <v>7.4999999999999997E-2</v>
      </c>
      <c r="G10" s="2"/>
      <c r="H10"/>
      <c r="I10"/>
      <c r="J10" s="118"/>
    </row>
    <row r="11" spans="2:13">
      <c r="B11"/>
      <c r="C11" s="55"/>
      <c r="D11" s="55"/>
      <c r="E11" s="346"/>
      <c r="F11" s="345"/>
      <c r="G11" s="2"/>
      <c r="H11"/>
      <c r="I11"/>
      <c r="J11" s="118"/>
    </row>
    <row r="12" spans="2:13" ht="13.5" thickBot="1">
      <c r="B12"/>
      <c r="C12" s="55"/>
      <c r="D12" s="55"/>
      <c r="E12" s="342"/>
      <c r="F12" s="875" t="str">
        <f>IF(L30&gt;0, Q17,"")</f>
        <v/>
      </c>
      <c r="G12" s="2"/>
      <c r="H12"/>
      <c r="I12"/>
      <c r="J12" s="118"/>
    </row>
    <row r="13" spans="2:13" ht="16.5" thickBot="1">
      <c r="B13"/>
      <c r="C13" s="80" t="s">
        <v>43</v>
      </c>
      <c r="D13" s="929"/>
      <c r="E13" s="929"/>
      <c r="F13" s="374" t="str">
        <f>IF(G22&gt;=1, "Need to check correct ink selection!!","")</f>
        <v/>
      </c>
      <c r="G13" s="83"/>
      <c r="H13" s="82"/>
      <c r="I13" s="84"/>
      <c r="J13" s="118"/>
    </row>
    <row r="14" spans="2:13" ht="4.5" customHeight="1" thickBot="1">
      <c r="B14"/>
      <c r="C14"/>
      <c r="D14"/>
      <c r="E14"/>
      <c r="F14"/>
      <c r="G14"/>
      <c r="H14"/>
      <c r="I14"/>
      <c r="J14" s="118"/>
    </row>
    <row r="15" spans="2:13" ht="15">
      <c r="B15"/>
      <c r="C15" s="13" t="s">
        <v>1096</v>
      </c>
      <c r="D15" s="935" t="s">
        <v>2</v>
      </c>
      <c r="E15" s="14" t="s">
        <v>9</v>
      </c>
      <c r="F15" s="15" t="s">
        <v>0</v>
      </c>
      <c r="G15" s="16" t="s">
        <v>1</v>
      </c>
      <c r="H15" s="15" t="s">
        <v>3</v>
      </c>
      <c r="I15" s="37" t="s">
        <v>35</v>
      </c>
      <c r="J15" s="118"/>
      <c r="L15" s="518"/>
      <c r="M15" s="990"/>
    </row>
    <row r="16" spans="2:13" ht="15">
      <c r="B16"/>
      <c r="C16" s="939" t="s">
        <v>395</v>
      </c>
      <c r="D16" s="936"/>
      <c r="E16" s="217"/>
      <c r="F16" s="218"/>
      <c r="G16" s="219"/>
      <c r="H16" s="218"/>
      <c r="I16" s="216"/>
      <c r="J16" s="118"/>
      <c r="M16" s="990"/>
    </row>
    <row r="17" spans="2:20" ht="12.75" customHeight="1">
      <c r="B17"/>
      <c r="C17" s="1671"/>
      <c r="D17" s="937">
        <f>VLOOKUP($F17,$F$224:$I$427,3,FALSE)</f>
        <v>0</v>
      </c>
      <c r="E17" s="22">
        <f>VLOOKUP($F17,$F$224:$I$427,2,FALSE)</f>
        <v>0</v>
      </c>
      <c r="F17" s="433" t="s">
        <v>1093</v>
      </c>
      <c r="G17" s="146"/>
      <c r="H17" s="159" t="str">
        <f t="shared" ref="H17:H25" si="0">IF(G17&gt;=1,VLOOKUP(F17,F$223:I$427,4,FALSE),"")</f>
        <v/>
      </c>
      <c r="I17" s="160" t="str">
        <f>IF(ISERROR(H17*G17),"",H17*G17)</f>
        <v/>
      </c>
      <c r="J17" s="118"/>
      <c r="L17" s="518">
        <f>VLOOKUP(F17,$F$224:$L$230,7,FALSE)</f>
        <v>0</v>
      </c>
      <c r="M17" s="990"/>
      <c r="O17" s="519" t="s">
        <v>331</v>
      </c>
      <c r="P17" s="519">
        <v>1</v>
      </c>
      <c r="Q17" s="519" t="s">
        <v>1012</v>
      </c>
      <c r="R17" s="519" t="s">
        <v>517</v>
      </c>
      <c r="S17" s="519" t="str">
        <f>O17&amp;R17</f>
        <v>Midi Plus Mk7 2MHigh Performance (HP)</v>
      </c>
      <c r="T17" s="519">
        <v>1</v>
      </c>
    </row>
    <row r="18" spans="2:20">
      <c r="B18" s="208"/>
      <c r="C18" s="1672"/>
      <c r="D18" s="937">
        <f>VLOOKUP($F18,$F$224:$I$427,3,FALSE)</f>
        <v>0</v>
      </c>
      <c r="E18" s="22">
        <f>VLOOKUP($F18,$F$224:$I$427,2,FALSE)</f>
        <v>0</v>
      </c>
      <c r="F18" s="388" t="s">
        <v>344</v>
      </c>
      <c r="G18" s="146">
        <f>G17</f>
        <v>0</v>
      </c>
      <c r="H18" s="159" t="str">
        <f t="shared" si="0"/>
        <v/>
      </c>
      <c r="I18" s="160" t="str">
        <f>IF(ISERROR(H18*G18),"",H18*G18)</f>
        <v/>
      </c>
      <c r="J18" s="118"/>
      <c r="L18" s="519" t="str">
        <f>F18</f>
        <v>Ultima Mk7 2M</v>
      </c>
      <c r="M18" s="990"/>
      <c r="O18" s="519" t="s">
        <v>332</v>
      </c>
      <c r="P18" s="519">
        <v>1</v>
      </c>
      <c r="R18" s="519" t="s">
        <v>517</v>
      </c>
      <c r="S18" s="519" t="str">
        <f t="shared" ref="S18:S20" si="1">O18&amp;R18</f>
        <v>Midi Plus Mk7 2M R/AHigh Performance (HP)</v>
      </c>
      <c r="T18" s="519">
        <v>1</v>
      </c>
    </row>
    <row r="19" spans="2:20">
      <c r="B19" s="208"/>
      <c r="C19" s="1672"/>
      <c r="D19" s="937">
        <f>VLOOKUP($F19,$F$224:$I$427,3,FALSE)</f>
        <v>0</v>
      </c>
      <c r="E19" s="22">
        <f>VLOOKUP($F19,$F$224:$I$427,2,FALSE)</f>
        <v>0</v>
      </c>
      <c r="F19" s="388" t="s">
        <v>357</v>
      </c>
      <c r="G19" s="146">
        <f>G17</f>
        <v>0</v>
      </c>
      <c r="H19" s="159" t="str">
        <f t="shared" si="0"/>
        <v/>
      </c>
      <c r="I19" s="160" t="str">
        <f t="shared" ref="I19:I22" si="2">IF(ISERROR(H19*G19),"",H19*G19)</f>
        <v/>
      </c>
      <c r="J19" s="118"/>
      <c r="L19" s="519" t="str">
        <f>F19</f>
        <v>Standard Speed (SS)</v>
      </c>
      <c r="O19" s="519" t="s">
        <v>333</v>
      </c>
      <c r="P19" s="519">
        <v>1</v>
      </c>
      <c r="R19" s="519" t="s">
        <v>517</v>
      </c>
      <c r="S19" s="519" t="str">
        <f t="shared" si="1"/>
        <v>Midi Plus Mk7 4MHigh Performance (HP)</v>
      </c>
      <c r="T19" s="519">
        <v>1</v>
      </c>
    </row>
    <row r="20" spans="2:20">
      <c r="B20" s="208"/>
      <c r="C20" s="1672"/>
      <c r="D20" s="966"/>
      <c r="E20" s="22"/>
      <c r="F20" s="388"/>
      <c r="G20" s="146"/>
      <c r="H20" s="159" t="str">
        <f t="shared" si="0"/>
        <v/>
      </c>
      <c r="I20" s="160" t="str">
        <f t="shared" si="2"/>
        <v/>
      </c>
      <c r="J20" s="118"/>
      <c r="L20" s="519" t="str">
        <f>L17&amp;L18</f>
        <v>0Ultima Mk7 2M</v>
      </c>
      <c r="O20" s="519" t="s">
        <v>334</v>
      </c>
      <c r="P20" s="519">
        <v>1</v>
      </c>
      <c r="R20" s="519" t="s">
        <v>517</v>
      </c>
      <c r="S20" s="519" t="str">
        <f t="shared" si="1"/>
        <v>Midi Plus Mk7 4M R/AHigh Performance (HP)</v>
      </c>
      <c r="T20" s="519">
        <v>1</v>
      </c>
    </row>
    <row r="21" spans="2:20">
      <c r="B21" s="208"/>
      <c r="C21" s="1672"/>
      <c r="D21" s="937"/>
      <c r="E21" s="22"/>
      <c r="F21" s="196"/>
      <c r="G21" s="146"/>
      <c r="H21" s="159" t="str">
        <f t="shared" si="0"/>
        <v/>
      </c>
      <c r="I21" s="160" t="str">
        <f t="shared" si="2"/>
        <v/>
      </c>
      <c r="J21" s="118"/>
      <c r="L21" s="518" t="str">
        <f>L18&amp;L19</f>
        <v>Ultima Mk7 2MStandard Speed (SS)</v>
      </c>
    </row>
    <row r="22" spans="2:20" ht="12.75" customHeight="1">
      <c r="B22" s="208"/>
      <c r="C22" s="1672"/>
      <c r="D22" s="937">
        <f>VLOOKUP($F22,$F$224:$I$427,3,FALSE)</f>
        <v>0</v>
      </c>
      <c r="E22" s="22">
        <f>VLOOKUP($F22,$F$224:$I$427,2,FALSE)</f>
        <v>0</v>
      </c>
      <c r="F22" s="433" t="s">
        <v>1094</v>
      </c>
      <c r="G22" s="146"/>
      <c r="H22" s="159" t="str">
        <f t="shared" si="0"/>
        <v/>
      </c>
      <c r="I22" s="160" t="str">
        <f t="shared" si="2"/>
        <v/>
      </c>
      <c r="J22" s="118"/>
      <c r="L22" s="519">
        <f>VLOOKUP(F22,$F$224:$L$230,7,FALSE)</f>
        <v>0</v>
      </c>
      <c r="O22" s="519" t="s">
        <v>517</v>
      </c>
    </row>
    <row r="23" spans="2:20" ht="12.75" customHeight="1">
      <c r="B23" s="208"/>
      <c r="C23" s="1672"/>
      <c r="D23" s="937">
        <f>VLOOKUP($F23,$F$224:$I$427,3,FALSE)</f>
        <v>0</v>
      </c>
      <c r="E23" s="22">
        <f>VLOOKUP($F23,$F$224:$I$427,2,FALSE)</f>
        <v>0</v>
      </c>
      <c r="F23" s="388" t="s">
        <v>344</v>
      </c>
      <c r="G23" s="146">
        <f>G22</f>
        <v>0</v>
      </c>
      <c r="H23" s="159" t="str">
        <f t="shared" si="0"/>
        <v/>
      </c>
      <c r="I23" s="160" t="str">
        <f>IF(ISERROR(H23*G23),"",H23*G23)</f>
        <v/>
      </c>
      <c r="J23" s="118"/>
      <c r="L23" s="519" t="str">
        <f>F23</f>
        <v>Ultima Mk7 2M</v>
      </c>
    </row>
    <row r="24" spans="2:20" ht="12.75" customHeight="1">
      <c r="B24"/>
      <c r="C24" s="1672"/>
      <c r="D24" s="937">
        <f>VLOOKUP($F24,$F$224:$I$427,3,FALSE)</f>
        <v>0</v>
      </c>
      <c r="E24" s="22">
        <f>VLOOKUP($F24,$F$224:$I$427,2,FALSE)</f>
        <v>0</v>
      </c>
      <c r="F24" s="388" t="s">
        <v>357</v>
      </c>
      <c r="G24" s="146">
        <f>G22</f>
        <v>0</v>
      </c>
      <c r="H24" s="159" t="str">
        <f t="shared" si="0"/>
        <v/>
      </c>
      <c r="I24" s="160" t="str">
        <f t="shared" ref="I24:I25" si="3">IF(ISERROR(H24*G24),"",H24*G24)</f>
        <v/>
      </c>
      <c r="J24" s="118"/>
      <c r="L24" s="519" t="str">
        <f>F24</f>
        <v>Standard Speed (SS)</v>
      </c>
    </row>
    <row r="25" spans="2:20" ht="12.75" customHeight="1">
      <c r="B25"/>
      <c r="C25" s="1672"/>
      <c r="D25" s="937"/>
      <c r="E25" s="22"/>
      <c r="F25" s="388" t="s">
        <v>393</v>
      </c>
      <c r="G25" s="146">
        <f>IF(F22="5900e", G22,0)</f>
        <v>0</v>
      </c>
      <c r="H25" s="159" t="str">
        <f t="shared" si="0"/>
        <v/>
      </c>
      <c r="I25" s="160" t="str">
        <f t="shared" si="3"/>
        <v/>
      </c>
      <c r="J25" s="118"/>
      <c r="L25" s="519" t="str">
        <f>L22&amp;L23</f>
        <v>0Ultima Mk7 2M</v>
      </c>
    </row>
    <row r="26" spans="2:20" ht="12.75" hidden="1" customHeight="1">
      <c r="B26"/>
      <c r="C26" s="1672"/>
      <c r="D26" s="937"/>
      <c r="E26" s="22"/>
      <c r="F26" s="388"/>
      <c r="G26" s="146"/>
      <c r="H26" s="159"/>
      <c r="I26" s="160"/>
      <c r="J26" s="118"/>
      <c r="L26" s="518" t="str">
        <f>L23&amp;L24</f>
        <v>Ultima Mk7 2MStandard Speed (SS)</v>
      </c>
    </row>
    <row r="27" spans="2:20" ht="12.75" hidden="1" customHeight="1">
      <c r="B27"/>
      <c r="C27" s="1672"/>
      <c r="D27" s="937" t="e">
        <f>VLOOKUP($F27,$F$224:$I$427,3,FALSE)</f>
        <v>#N/A</v>
      </c>
      <c r="E27" s="22" t="e">
        <f>VLOOKUP($F27,$F$224:$I$427,2,FALSE)</f>
        <v>#N/A</v>
      </c>
      <c r="F27" s="787" t="s">
        <v>318</v>
      </c>
      <c r="G27" s="146"/>
      <c r="H27" s="159" t="str">
        <f>IF(G27&gt;=1,VLOOKUP(F27,F$223:I$427,4,FALSE),"")</f>
        <v/>
      </c>
      <c r="I27" s="160" t="str">
        <f t="shared" ref="I27:I29" si="4">IF(ISERROR(H27*G27),"",H27*G27)</f>
        <v/>
      </c>
      <c r="J27" s="118"/>
    </row>
    <row r="28" spans="2:20" ht="12.75" hidden="1" customHeight="1">
      <c r="B28"/>
      <c r="C28" s="1672"/>
      <c r="D28" s="937" t="e">
        <f>VLOOKUP($F28,$F$224:$I$427,3,FALSE)</f>
        <v>#N/A</v>
      </c>
      <c r="E28" s="22" t="e">
        <f>VLOOKUP($F28,$F$224:$I$427,2,FALSE)</f>
        <v>#N/A</v>
      </c>
      <c r="F28" s="388" t="s">
        <v>339</v>
      </c>
      <c r="G28" s="146">
        <f>G27</f>
        <v>0</v>
      </c>
      <c r="H28" s="159" t="str">
        <f>IF(G28&gt;=1,VLOOKUP(F28,F$223:I$427,4,FALSE),"")</f>
        <v/>
      </c>
      <c r="I28" s="160" t="str">
        <f t="shared" si="4"/>
        <v/>
      </c>
      <c r="J28" s="118"/>
      <c r="L28" s="519">
        <f>IFERROR(VLOOKUP(L21,S17:AA20,2,FALSE),0)</f>
        <v>0</v>
      </c>
    </row>
    <row r="29" spans="2:20">
      <c r="B29"/>
      <c r="C29" s="1672"/>
      <c r="D29" s="937"/>
      <c r="E29" s="22"/>
      <c r="F29" s="788"/>
      <c r="G29" s="146"/>
      <c r="H29" s="159" t="str">
        <f>IF(G29&gt;=1,VLOOKUP(F29,F$223:I$427,4,FALSE),"")</f>
        <v/>
      </c>
      <c r="I29" s="160" t="str">
        <f t="shared" si="4"/>
        <v/>
      </c>
      <c r="J29" s="118"/>
      <c r="L29" s="519">
        <f>IFERROR(VLOOKUP(L26,S17:AA20,2,FALSE),0)</f>
        <v>0</v>
      </c>
    </row>
    <row r="30" spans="2:20" ht="13.5" thickBot="1">
      <c r="B30" s="208"/>
      <c r="C30" s="1673"/>
      <c r="D30" s="938"/>
      <c r="E30" s="25"/>
      <c r="F30" s="789"/>
      <c r="G30" s="147"/>
      <c r="H30" s="351" t="str">
        <f>IF(G30&gt;=1,VLOOKUP(F30,F$223:I$427,4,FALSE),"")</f>
        <v/>
      </c>
      <c r="I30" s="248" t="str">
        <f>IF(ISERROR(H30*G30),"",H30*G30)</f>
        <v/>
      </c>
      <c r="J30" s="118"/>
      <c r="L30" s="519">
        <f>SUM(L28:L29)</f>
        <v>0</v>
      </c>
    </row>
    <row r="31" spans="2:20" ht="13.5" thickBot="1">
      <c r="B31" s="208"/>
      <c r="C31" s="205"/>
      <c r="D31" s="205"/>
      <c r="E31" s="205"/>
      <c r="F31" s="205"/>
      <c r="G31" s="205"/>
      <c r="H31" s="51" t="s">
        <v>42</v>
      </c>
      <c r="I31" s="247">
        <f>SUM(I17:I30)</f>
        <v>0</v>
      </c>
      <c r="J31" s="118"/>
    </row>
    <row r="32" spans="2:20" ht="13.5" thickBot="1">
      <c r="B32" s="208"/>
      <c r="C32" s="205"/>
      <c r="D32" s="205"/>
      <c r="E32" s="205"/>
      <c r="F32" s="205"/>
      <c r="G32" s="205"/>
      <c r="H32" s="205"/>
      <c r="I32" s="205"/>
      <c r="J32" s="118"/>
    </row>
    <row r="33" spans="2:10" ht="16.5" thickBot="1">
      <c r="B33" s="208"/>
      <c r="C33" s="80" t="s">
        <v>109</v>
      </c>
      <c r="D33" s="81"/>
      <c r="E33" s="81"/>
      <c r="F33" s="107"/>
      <c r="G33" s="83"/>
      <c r="H33" s="82"/>
      <c r="I33" s="84"/>
      <c r="J33" s="118"/>
    </row>
    <row r="34" spans="2:10" ht="4.5" customHeight="1" thickBot="1">
      <c r="B34"/>
      <c r="C34"/>
      <c r="D34"/>
      <c r="E34"/>
      <c r="F34"/>
      <c r="G34"/>
      <c r="H34"/>
      <c r="I34"/>
      <c r="J34" s="118"/>
    </row>
    <row r="35" spans="2:10" ht="15">
      <c r="B35" s="205"/>
      <c r="C35" s="396" t="s">
        <v>553</v>
      </c>
      <c r="D35" s="392"/>
      <c r="E35" s="392"/>
      <c r="F35" s="393"/>
      <c r="G35" s="394"/>
      <c r="H35" s="395"/>
      <c r="I35" s="391"/>
      <c r="J35" s="118"/>
    </row>
    <row r="36" spans="2:10" ht="25.5">
      <c r="B36" s="205"/>
      <c r="C36" s="1671"/>
      <c r="D36" s="937" t="str">
        <f>VLOOKUP($F36,$F$224:$I$427,3,FALSE)</f>
        <v>6033206, 20081501/01_A-01</v>
      </c>
      <c r="E36" s="794" t="str">
        <f>VLOOKUP($F36,$F$224:$I$427,2,FALSE)</f>
        <v>11060102, 13120085</v>
      </c>
      <c r="F36" s="961" t="s">
        <v>400</v>
      </c>
      <c r="G36" s="146">
        <f>SUM(G17,G22)</f>
        <v>0</v>
      </c>
      <c r="H36" s="964" t="str">
        <f>IF(ISERROR(IF(G36&gt;=1,VLOOKUP(F36,F$223:I$427,4,FALSE),"")),"",IF(G36&gt;=1,VLOOKUP(F36,F$223:I$427,4,FALSE),""))</f>
        <v/>
      </c>
      <c r="I36" s="160" t="str">
        <f>IF(ISERROR(H36*G36),"",H36*G36)</f>
        <v/>
      </c>
      <c r="J36" s="118"/>
    </row>
    <row r="37" spans="2:10">
      <c r="B37" s="205"/>
      <c r="C37" s="1674"/>
      <c r="D37" s="937" t="str">
        <f>VLOOKUP(F36&amp;$F37,$D$224:$I$427,5,FALSE)</f>
        <v xml:space="preserve">MU02037 </v>
      </c>
      <c r="E37" s="390">
        <f>VLOOKUP(F36&amp;$F37,$D$224:$I$426,4,FALSE)</f>
        <v>11020007</v>
      </c>
      <c r="F37" s="187" t="s">
        <v>71</v>
      </c>
      <c r="G37" s="146">
        <f>G36</f>
        <v>0</v>
      </c>
      <c r="H37" s="159" t="str">
        <f>IF(ISERROR(IF(G37&gt;=1,VLOOKUP(F37,F$223:I$427,4,FALSE),"")),"",IF(G37&gt;=1,VLOOKUP(F37,F$223:I$427,4,FALSE),""))</f>
        <v/>
      </c>
      <c r="I37" s="160" t="str">
        <f t="shared" ref="I37:I48" si="5">IF(ISERROR(H37*G37),"",H37*G37)</f>
        <v/>
      </c>
      <c r="J37" s="118"/>
    </row>
    <row r="38" spans="2:10">
      <c r="B38" s="205"/>
      <c r="C38" s="165"/>
      <c r="D38" s="937"/>
      <c r="E38" s="390"/>
      <c r="F38" s="157"/>
      <c r="G38" s="146"/>
      <c r="H38" s="159"/>
      <c r="I38" s="160"/>
      <c r="J38" s="118"/>
    </row>
    <row r="39" spans="2:10" ht="15">
      <c r="B39" s="205"/>
      <c r="C39" s="397" t="s">
        <v>554</v>
      </c>
      <c r="D39" s="398"/>
      <c r="E39" s="398"/>
      <c r="F39" s="399"/>
      <c r="G39" s="400"/>
      <c r="H39" s="432"/>
      <c r="I39" s="431"/>
      <c r="J39" s="118"/>
    </row>
    <row r="40" spans="2:10">
      <c r="B40" s="205"/>
      <c r="C40" s="1671"/>
      <c r="D40" s="937" t="str">
        <f t="shared" ref="D40:D46" si="6">VLOOKUP($F40,$F$224:$I$427,3,FALSE)</f>
        <v>1036721</v>
      </c>
      <c r="E40" s="22">
        <f t="shared" ref="E40:E46" si="7">VLOOKUP($F40,$F$224:$I$427,2,FALSE)</f>
        <v>11050023</v>
      </c>
      <c r="F40" s="157" t="s">
        <v>87</v>
      </c>
      <c r="G40" s="146"/>
      <c r="H40" s="159" t="str">
        <f t="shared" ref="H40:H46" si="8">IF(ISERROR(IF(G40&gt;=1,VLOOKUP(F40,F$223:I$427,4,FALSE),"")),"",IF(G40&gt;=1,VLOOKUP(F40,F$223:I$427,4,FALSE),""))</f>
        <v/>
      </c>
      <c r="I40" s="160" t="str">
        <f t="shared" si="5"/>
        <v/>
      </c>
      <c r="J40" s="118"/>
    </row>
    <row r="41" spans="2:10">
      <c r="B41" s="205"/>
      <c r="C41" s="1672"/>
      <c r="D41" s="937">
        <f t="shared" si="6"/>
        <v>5318678</v>
      </c>
      <c r="E41" s="22">
        <f t="shared" si="7"/>
        <v>11990007</v>
      </c>
      <c r="F41" s="157" t="s">
        <v>98</v>
      </c>
      <c r="G41" s="146">
        <f>G40</f>
        <v>0</v>
      </c>
      <c r="H41" s="159" t="str">
        <f t="shared" si="8"/>
        <v/>
      </c>
      <c r="I41" s="160" t="str">
        <f t="shared" si="5"/>
        <v/>
      </c>
      <c r="J41" s="118"/>
    </row>
    <row r="42" spans="2:10">
      <c r="B42" s="205"/>
      <c r="C42" s="1672"/>
      <c r="D42" s="937" t="str">
        <f t="shared" si="6"/>
        <v>SKME2046\01</v>
      </c>
      <c r="E42" s="22">
        <f t="shared" si="7"/>
        <v>13120007</v>
      </c>
      <c r="F42" s="157" t="s">
        <v>100</v>
      </c>
      <c r="G42" s="146">
        <f>G40</f>
        <v>0</v>
      </c>
      <c r="H42" s="159" t="str">
        <f t="shared" si="8"/>
        <v/>
      </c>
      <c r="I42" s="160" t="str">
        <f t="shared" si="5"/>
        <v/>
      </c>
      <c r="J42" s="118"/>
    </row>
    <row r="43" spans="2:10">
      <c r="B43" s="205"/>
      <c r="C43" s="1672"/>
      <c r="D43" s="937" t="str">
        <f t="shared" si="6"/>
        <v>6032867</v>
      </c>
      <c r="E43" s="22" t="str">
        <f t="shared" si="7"/>
        <v>11050024</v>
      </c>
      <c r="F43" s="157" t="s">
        <v>89</v>
      </c>
      <c r="G43" s="146">
        <f>G40</f>
        <v>0</v>
      </c>
      <c r="H43" s="159" t="str">
        <f t="shared" si="8"/>
        <v/>
      </c>
      <c r="I43" s="160" t="str">
        <f t="shared" si="5"/>
        <v/>
      </c>
      <c r="J43" s="118"/>
    </row>
    <row r="44" spans="2:10">
      <c r="B44" s="205"/>
      <c r="C44" s="1672"/>
      <c r="D44" s="937" t="str">
        <f t="shared" si="6"/>
        <v>6032868</v>
      </c>
      <c r="E44" s="22" t="str">
        <f t="shared" si="7"/>
        <v>11050025</v>
      </c>
      <c r="F44" s="157" t="s">
        <v>90</v>
      </c>
      <c r="G44" s="146"/>
      <c r="H44" s="159" t="str">
        <f t="shared" si="8"/>
        <v/>
      </c>
      <c r="I44" s="160" t="str">
        <f t="shared" si="5"/>
        <v/>
      </c>
      <c r="J44" s="118"/>
    </row>
    <row r="45" spans="2:10" ht="12.75" hidden="1" customHeight="1">
      <c r="B45" s="205"/>
      <c r="C45" s="1672"/>
      <c r="D45" s="937" t="str">
        <f t="shared" si="6"/>
        <v>SKME2046\01</v>
      </c>
      <c r="E45" s="22">
        <f t="shared" si="7"/>
        <v>13120007</v>
      </c>
      <c r="F45" s="157" t="s">
        <v>100</v>
      </c>
      <c r="G45" s="146"/>
      <c r="H45" s="159" t="str">
        <f t="shared" si="8"/>
        <v/>
      </c>
      <c r="I45" s="160" t="str">
        <f t="shared" si="5"/>
        <v/>
      </c>
      <c r="J45" s="118"/>
    </row>
    <row r="46" spans="2:10">
      <c r="B46" s="205"/>
      <c r="C46" s="1674"/>
      <c r="D46" s="937" t="str">
        <f t="shared" si="6"/>
        <v>CG003</v>
      </c>
      <c r="E46" s="22">
        <f t="shared" si="7"/>
        <v>13120016</v>
      </c>
      <c r="F46" s="157" t="s">
        <v>396</v>
      </c>
      <c r="G46" s="146"/>
      <c r="H46" s="159" t="str">
        <f t="shared" si="8"/>
        <v/>
      </c>
      <c r="I46" s="160" t="str">
        <f t="shared" si="5"/>
        <v/>
      </c>
      <c r="J46" s="118"/>
    </row>
    <row r="47" spans="2:10">
      <c r="B47" s="205"/>
      <c r="C47" s="165"/>
      <c r="D47" s="937"/>
      <c r="E47" s="22"/>
      <c r="F47" s="196"/>
      <c r="G47" s="146"/>
      <c r="H47" s="159"/>
      <c r="I47" s="160">
        <f t="shared" si="5"/>
        <v>0</v>
      </c>
      <c r="J47" s="118"/>
    </row>
    <row r="48" spans="2:10" ht="12.75" customHeight="1" thickBot="1">
      <c r="B48" s="205"/>
      <c r="C48" s="24"/>
      <c r="D48" s="948"/>
      <c r="E48" s="25"/>
      <c r="F48" s="212"/>
      <c r="G48" s="147"/>
      <c r="H48" s="351" t="str">
        <f>IF(ISERROR(IF(G48&gt;=1,VLOOKUP(F48,F$223:I$427,4,FALSE),"")),"",IF(G48&gt;=1,VLOOKUP(F48,F$223:I$427,4,FALSE),""))</f>
        <v/>
      </c>
      <c r="I48" s="250" t="str">
        <f t="shared" si="5"/>
        <v/>
      </c>
      <c r="J48" s="118"/>
    </row>
    <row r="49" spans="2:10" ht="12.75" customHeight="1" thickBot="1">
      <c r="B49" s="205"/>
      <c r="C49" s="26"/>
      <c r="D49" s="26"/>
      <c r="E49" s="26"/>
      <c r="F49" s="153"/>
      <c r="G49" s="369"/>
      <c r="H49" s="211" t="s">
        <v>42</v>
      </c>
      <c r="I49" s="430">
        <f>SUM(I36:I48)</f>
        <v>0</v>
      </c>
      <c r="J49" s="118"/>
    </row>
    <row r="50" spans="2:10" ht="12.75" customHeight="1" thickBot="1">
      <c r="B50" s="205"/>
      <c r="C50" s="26"/>
      <c r="D50" s="26"/>
      <c r="E50" s="26"/>
      <c r="F50" s="153"/>
      <c r="G50" s="369"/>
      <c r="H50" s="229"/>
      <c r="I50" s="401"/>
      <c r="J50" s="118"/>
    </row>
    <row r="51" spans="2:10" ht="16.5" thickBot="1">
      <c r="B51" s="205"/>
      <c r="C51" s="80" t="s">
        <v>315</v>
      </c>
      <c r="D51" s="81"/>
      <c r="E51" s="81"/>
      <c r="F51" s="107"/>
      <c r="G51" s="83"/>
      <c r="H51" s="82"/>
      <c r="I51" s="84"/>
      <c r="J51" s="118"/>
    </row>
    <row r="52" spans="2:10" ht="4.5" customHeight="1" thickBot="1">
      <c r="B52"/>
      <c r="C52"/>
      <c r="D52"/>
      <c r="E52"/>
      <c r="F52"/>
      <c r="G52"/>
      <c r="H52"/>
      <c r="I52"/>
      <c r="J52" s="118"/>
    </row>
    <row r="53" spans="2:10" ht="12.75" customHeight="1">
      <c r="B53" s="205"/>
      <c r="C53" s="1675"/>
      <c r="D53" s="947">
        <f>VLOOKUP($F53,$F$224:$I$427,3,FALSE)</f>
        <v>16304</v>
      </c>
      <c r="E53" s="257">
        <f>VLOOKUP($F53,$F$224:$I$427,2,FALSE)</f>
        <v>13110001</v>
      </c>
      <c r="F53" s="370" t="s">
        <v>364</v>
      </c>
      <c r="G53" s="371">
        <f>SUM(G17,G22)</f>
        <v>0</v>
      </c>
      <c r="H53" s="485" t="str">
        <f>IF(G53&gt;=1,VLOOKUP(F53,F$223:I$427,4,FALSE),"")</f>
        <v/>
      </c>
      <c r="I53" s="249" t="str">
        <f t="shared" ref="I53:I72" si="9">IF(ISERROR(H53*G53),"",H53*G53)</f>
        <v/>
      </c>
      <c r="J53" s="118"/>
    </row>
    <row r="54" spans="2:10" ht="12.75" customHeight="1">
      <c r="B54" s="205"/>
      <c r="C54" s="1672"/>
      <c r="D54" s="937" t="str">
        <f>VLOOKUP($F54,$F$224:$I$427,3,FALSE)</f>
        <v>CUSTOM</v>
      </c>
      <c r="E54" s="22">
        <f>VLOOKUP($F54,$F$224:$I$427,2,FALSE)</f>
        <v>0</v>
      </c>
      <c r="F54" s="187" t="s">
        <v>490</v>
      </c>
      <c r="G54" s="146"/>
      <c r="H54" s="159" t="str">
        <f>IF(G54&gt;=1,VLOOKUP(F54,F$223:I$427,4,FALSE),"")</f>
        <v/>
      </c>
      <c r="I54" s="160" t="str">
        <f t="shared" si="9"/>
        <v/>
      </c>
      <c r="J54" s="118"/>
    </row>
    <row r="55" spans="2:10" ht="12.75" customHeight="1">
      <c r="B55" s="205"/>
      <c r="C55" s="1672"/>
      <c r="D55" s="966" t="s">
        <v>1102</v>
      </c>
      <c r="E55" s="965" t="s">
        <v>1101</v>
      </c>
      <c r="F55" s="187" t="s">
        <v>1100</v>
      </c>
      <c r="G55" s="146"/>
      <c r="H55" s="159">
        <v>5500</v>
      </c>
      <c r="I55" s="160">
        <f t="shared" si="9"/>
        <v>0</v>
      </c>
      <c r="J55" s="118"/>
    </row>
    <row r="56" spans="2:10" ht="12.75" customHeight="1">
      <c r="B56" s="205"/>
      <c r="C56" s="1672"/>
      <c r="D56" s="937"/>
      <c r="E56" s="22"/>
      <c r="F56" s="187"/>
      <c r="G56" s="146"/>
      <c r="H56" s="159"/>
      <c r="I56" s="160"/>
      <c r="J56" s="118"/>
    </row>
    <row r="57" spans="2:10" ht="12.75" customHeight="1">
      <c r="B57" s="205"/>
      <c r="C57" s="1672"/>
      <c r="D57" s="937" t="str">
        <f>VLOOKUP($F57,$F$224:$I$427,3,FALSE)</f>
        <v>TSTAWBP30431.75-1.6A</v>
      </c>
      <c r="E57" s="22" t="str">
        <f>VLOOKUP($F57,$F$224:$I$427,2,FALSE)</f>
        <v>02020036</v>
      </c>
      <c r="F57" s="196" t="s">
        <v>366</v>
      </c>
      <c r="G57" s="146">
        <f t="shared" ref="G57:G59" si="10">$G$53</f>
        <v>0</v>
      </c>
      <c r="H57" s="159" t="str">
        <f>IF(G57&gt;=1,VLOOKUP(F57,F$223:I$427,4,FALSE),"")</f>
        <v/>
      </c>
      <c r="I57" s="160" t="str">
        <f t="shared" si="9"/>
        <v/>
      </c>
      <c r="J57" s="118"/>
    </row>
    <row r="58" spans="2:10" ht="12.75" customHeight="1">
      <c r="B58" s="205"/>
      <c r="C58" s="1672"/>
      <c r="D58" s="937" t="str">
        <f>VLOOKUP($F58,$F$224:$I$427,3,FALSE)</f>
        <v>TSTAWBP30431.75-1.6A</v>
      </c>
      <c r="E58" s="22" t="str">
        <f>VLOOKUP($F58,$F$224:$I$427,2,FALSE)</f>
        <v>02020035</v>
      </c>
      <c r="F58" s="196" t="s">
        <v>365</v>
      </c>
      <c r="G58" s="146">
        <f t="shared" si="10"/>
        <v>0</v>
      </c>
      <c r="H58" s="159" t="str">
        <f>IF(G58&gt;=1,VLOOKUP(F58,F$223:I$427,4,FALSE),"")</f>
        <v/>
      </c>
      <c r="I58" s="160" t="str">
        <f t="shared" si="9"/>
        <v/>
      </c>
      <c r="J58" s="118"/>
    </row>
    <row r="59" spans="2:10" ht="12.75" customHeight="1">
      <c r="B59" s="205"/>
      <c r="C59" s="1672"/>
      <c r="D59" s="937" t="str">
        <f>VLOOKUP($F59,$F$224:$I$427,3,FALSE)</f>
        <v>FA62048</v>
      </c>
      <c r="E59" s="22" t="str">
        <f>VLOOKUP($F59,$F$224:$I$427,2,FALSE)</f>
        <v>02020124</v>
      </c>
      <c r="F59" s="196" t="s">
        <v>503</v>
      </c>
      <c r="G59" s="146">
        <f t="shared" si="10"/>
        <v>0</v>
      </c>
      <c r="H59" s="159" t="str">
        <f>IF(G59&gt;=1,VLOOKUP(F59,F$223:I$427,4,FALSE),"")</f>
        <v/>
      </c>
      <c r="I59" s="160" t="str">
        <f t="shared" si="9"/>
        <v/>
      </c>
      <c r="J59" s="118"/>
    </row>
    <row r="60" spans="2:10" ht="12.75" customHeight="1">
      <c r="B60" s="205"/>
      <c r="C60" s="1672"/>
      <c r="D60" s="937"/>
      <c r="E60" s="22"/>
      <c r="F60" s="196"/>
      <c r="G60" s="146"/>
      <c r="H60" s="159"/>
      <c r="I60" s="160"/>
      <c r="J60" s="118"/>
    </row>
    <row r="61" spans="2:10" ht="12.75" customHeight="1">
      <c r="B61" s="205"/>
      <c r="C61" s="1672"/>
      <c r="D61" s="937" t="str">
        <f>VLOOKUP($F61,$F$224:$I$427,3,FALSE)</f>
        <v>FA62047</v>
      </c>
      <c r="E61" s="22" t="str">
        <f>VLOOKUP($F61,$F$224:$I$427,2,FALSE)</f>
        <v>02020123</v>
      </c>
      <c r="F61" s="196" t="s">
        <v>504</v>
      </c>
      <c r="G61" s="146">
        <f>$G$53</f>
        <v>0</v>
      </c>
      <c r="H61" s="159" t="str">
        <f>IF(G61&gt;=1,VLOOKUP(F61,F$223:I$427,4,FALSE),"")</f>
        <v/>
      </c>
      <c r="I61" s="160" t="str">
        <f t="shared" si="9"/>
        <v/>
      </c>
      <c r="J61" s="118"/>
    </row>
    <row r="62" spans="2:10" ht="12.75" customHeight="1">
      <c r="B62" s="205"/>
      <c r="C62" s="1672"/>
      <c r="D62" s="937" t="str">
        <f>VLOOKUP($F62,$F$224:$I$427,3,FALSE)</f>
        <v>FA62044</v>
      </c>
      <c r="E62" s="22" t="str">
        <f>VLOOKUP($F62,$F$224:$I$427,2,FALSE)</f>
        <v>02020121</v>
      </c>
      <c r="F62" s="196" t="s">
        <v>505</v>
      </c>
      <c r="G62" s="146"/>
      <c r="H62" s="159" t="str">
        <f>IF(G62&gt;=1,VLOOKUP(F62,F$223:I$427,4,FALSE),"")</f>
        <v/>
      </c>
      <c r="I62" s="160" t="str">
        <f t="shared" si="9"/>
        <v/>
      </c>
      <c r="J62" s="118"/>
    </row>
    <row r="63" spans="2:10" ht="12.75" customHeight="1">
      <c r="B63" s="205"/>
      <c r="C63" s="1672"/>
      <c r="D63" s="937" t="str">
        <f>VLOOKUP($F63,$F$224:$I$427,3,FALSE)</f>
        <v>FA62046</v>
      </c>
      <c r="E63" s="22" t="str">
        <f>VLOOKUP($F63,$F$224:$I$427,2,FALSE)</f>
        <v>02020122</v>
      </c>
      <c r="F63" s="196" t="s">
        <v>506</v>
      </c>
      <c r="G63" s="146"/>
      <c r="H63" s="159" t="str">
        <f>IF(G63&gt;=1,VLOOKUP(F63,F$223:I$427,4,FALSE),"")</f>
        <v/>
      </c>
      <c r="I63" s="160" t="str">
        <f t="shared" si="9"/>
        <v/>
      </c>
      <c r="J63" s="118"/>
    </row>
    <row r="64" spans="2:10" ht="12.75" customHeight="1">
      <c r="B64" s="205"/>
      <c r="C64" s="1672"/>
      <c r="D64" s="937"/>
      <c r="E64" s="22"/>
      <c r="F64" s="196"/>
      <c r="G64" s="146"/>
      <c r="H64" s="159"/>
      <c r="I64" s="160"/>
      <c r="J64" s="118"/>
    </row>
    <row r="65" spans="2:10">
      <c r="B65" s="205"/>
      <c r="C65" s="1672"/>
      <c r="D65" s="937" t="str">
        <f>VLOOKUP($F65,$F$224:$I$427,3,FALSE)</f>
        <v>FA62050</v>
      </c>
      <c r="E65" s="22" t="str">
        <f>VLOOKUP($F65,$F$224:$I$427,2,FALSE)</f>
        <v>02020126</v>
      </c>
      <c r="F65" s="196" t="s">
        <v>499</v>
      </c>
      <c r="G65" s="146"/>
      <c r="H65" s="159" t="str">
        <f t="shared" ref="H65:H72" si="11">IF(G65&gt;=1,VLOOKUP(F65,F$223:I$427,4,FALSE),"")</f>
        <v/>
      </c>
      <c r="I65" s="160" t="str">
        <f t="shared" si="9"/>
        <v/>
      </c>
      <c r="J65" s="118"/>
    </row>
    <row r="66" spans="2:10" ht="12.75" customHeight="1">
      <c r="B66" s="205"/>
      <c r="C66" s="1672"/>
      <c r="D66" s="937" t="str">
        <f>VLOOKUP($F66,$F$224:$I$427,3,FALSE)</f>
        <v>FA62049</v>
      </c>
      <c r="E66" s="22" t="str">
        <f>VLOOKUP($F66,$F$224:$I$427,2,FALSE)</f>
        <v>02020125</v>
      </c>
      <c r="F66" s="196" t="s">
        <v>500</v>
      </c>
      <c r="G66" s="443">
        <f>G53*2</f>
        <v>0</v>
      </c>
      <c r="H66" s="159" t="str">
        <f t="shared" si="11"/>
        <v/>
      </c>
      <c r="I66" s="160" t="str">
        <f t="shared" si="9"/>
        <v/>
      </c>
      <c r="J66" s="118"/>
    </row>
    <row r="67" spans="2:10" ht="12.75" customHeight="1">
      <c r="B67" s="205"/>
      <c r="C67" s="1672"/>
      <c r="D67" s="937" t="str">
        <f>VLOOKUP($F67,$F$224:$I$427,3,FALSE)</f>
        <v>FA62051</v>
      </c>
      <c r="E67" s="22" t="str">
        <f>VLOOKUP($F67,$F$224:$I$427,2,FALSE)</f>
        <v>02020127</v>
      </c>
      <c r="F67" s="196" t="s">
        <v>501</v>
      </c>
      <c r="G67" s="146"/>
      <c r="H67" s="159" t="str">
        <f t="shared" si="11"/>
        <v/>
      </c>
      <c r="I67" s="160" t="str">
        <f t="shared" si="9"/>
        <v/>
      </c>
      <c r="J67" s="118"/>
    </row>
    <row r="68" spans="2:10" ht="12.75" customHeight="1">
      <c r="B68" s="205"/>
      <c r="C68" s="1672"/>
      <c r="D68" s="966" t="s">
        <v>1141</v>
      </c>
      <c r="E68" s="22">
        <v>13090026</v>
      </c>
      <c r="F68" s="196" t="s">
        <v>1140</v>
      </c>
      <c r="G68" s="146"/>
      <c r="H68" s="159" t="str">
        <f t="shared" si="11"/>
        <v/>
      </c>
      <c r="I68" s="160" t="str">
        <f t="shared" ref="I68" si="12">IF(ISERROR(H68*G68),"",H68*G68)</f>
        <v/>
      </c>
      <c r="J68" s="118"/>
    </row>
    <row r="69" spans="2:10" ht="12.75" customHeight="1">
      <c r="B69" s="205"/>
      <c r="C69" s="1672"/>
      <c r="D69" s="937" t="str">
        <f>VLOOKUP($F69,$F$224:$I$427,3,FALSE)</f>
        <v>FA62052</v>
      </c>
      <c r="E69" s="22" t="str">
        <f>VLOOKUP($F69,$F$224:$I$427,2,FALSE)</f>
        <v>02020128</v>
      </c>
      <c r="F69" s="196" t="s">
        <v>502</v>
      </c>
      <c r="G69" s="146"/>
      <c r="H69" s="159" t="str">
        <f t="shared" si="11"/>
        <v/>
      </c>
      <c r="I69" s="160" t="str">
        <f t="shared" si="9"/>
        <v/>
      </c>
      <c r="J69" s="118"/>
    </row>
    <row r="70" spans="2:10" ht="12.75" customHeight="1">
      <c r="B70" s="205"/>
      <c r="C70" s="1674"/>
      <c r="D70" s="937" t="str">
        <f>VLOOKUP($F70,$F$224:$I$427,3,FALSE)</f>
        <v>SK-MECH-602</v>
      </c>
      <c r="E70" s="22">
        <f>VLOOKUP($F70,$F$224:$I$427,2,FALSE)</f>
        <v>13080029</v>
      </c>
      <c r="F70" s="157" t="s">
        <v>367</v>
      </c>
      <c r="G70" s="146"/>
      <c r="H70" s="159" t="str">
        <f t="shared" si="11"/>
        <v/>
      </c>
      <c r="I70" s="160" t="str">
        <f t="shared" si="9"/>
        <v/>
      </c>
      <c r="J70" s="118"/>
    </row>
    <row r="71" spans="2:10" ht="12.75" customHeight="1">
      <c r="B71" s="205"/>
      <c r="C71" s="165"/>
      <c r="D71" s="937"/>
      <c r="E71" s="22"/>
      <c r="F71" s="196"/>
      <c r="G71" s="146"/>
      <c r="H71" s="159" t="str">
        <f t="shared" si="11"/>
        <v/>
      </c>
      <c r="I71" s="160" t="str">
        <f t="shared" si="9"/>
        <v/>
      </c>
      <c r="J71" s="118"/>
    </row>
    <row r="72" spans="2:10" ht="12.75" customHeight="1" thickBot="1">
      <c r="B72" s="205"/>
      <c r="C72" s="24"/>
      <c r="D72" s="948"/>
      <c r="E72" s="25"/>
      <c r="F72" s="373"/>
      <c r="G72" s="147"/>
      <c r="H72" s="351" t="str">
        <f t="shared" si="11"/>
        <v/>
      </c>
      <c r="I72" s="248" t="str">
        <f t="shared" si="9"/>
        <v/>
      </c>
      <c r="J72" s="118"/>
    </row>
    <row r="73" spans="2:10" ht="12.75" customHeight="1" thickBot="1">
      <c r="B73" s="205"/>
      <c r="C73" s="26"/>
      <c r="D73" s="26"/>
      <c r="E73" s="26"/>
      <c r="F73" s="27"/>
      <c r="G73" s="28"/>
      <c r="H73" s="211" t="s">
        <v>42</v>
      </c>
      <c r="I73" s="430">
        <f>SUM(I53:I72)</f>
        <v>0</v>
      </c>
      <c r="J73" s="118"/>
    </row>
    <row r="74" spans="2:10" ht="12.75" customHeight="1" thickBot="1">
      <c r="B74" s="205"/>
      <c r="C74" s="26"/>
      <c r="D74" s="26"/>
      <c r="E74" s="26"/>
      <c r="F74" s="26"/>
      <c r="G74" s="26"/>
      <c r="H74" s="26"/>
      <c r="I74" s="26"/>
      <c r="J74" s="26"/>
    </row>
    <row r="75" spans="2:10" ht="16.5" thickBot="1">
      <c r="B75" s="205"/>
      <c r="C75" s="80" t="s">
        <v>137</v>
      </c>
      <c r="D75" s="81"/>
      <c r="E75" s="81"/>
      <c r="F75" s="374" t="str">
        <f>IF(G82&gt;=1, "Enhanced Data Matrix Requires a Midi Printhead","")</f>
        <v/>
      </c>
      <c r="G75" s="83"/>
      <c r="H75" s="82"/>
      <c r="I75" s="84"/>
      <c r="J75" s="118"/>
    </row>
    <row r="76" spans="2:10" ht="4.5" customHeight="1" thickBot="1">
      <c r="B76"/>
      <c r="C76"/>
      <c r="D76"/>
      <c r="E76"/>
      <c r="F76"/>
      <c r="G76"/>
      <c r="H76"/>
      <c r="I76"/>
      <c r="J76" s="118"/>
    </row>
    <row r="77" spans="2:10" ht="12.75" customHeight="1">
      <c r="B77" s="205"/>
      <c r="C77" s="1675"/>
      <c r="D77" s="947" t="str">
        <f t="shared" ref="D77:D82" si="13">VLOOKUP($F77,$F$224:$I$427,3,FALSE)</f>
        <v>FA74276</v>
      </c>
      <c r="E77" s="257" t="str">
        <f t="shared" ref="E77:E82" si="14">VLOOKUP($F77,$F$224:$I$427,2,FALSE)</f>
        <v>02020389</v>
      </c>
      <c r="F77" s="157" t="s">
        <v>368</v>
      </c>
      <c r="G77" s="371"/>
      <c r="H77" s="372" t="str">
        <f t="shared" ref="H77:H82" si="15">IF(G77&gt;=1,VLOOKUP(F77,F$223:I$427,4,FALSE),"")</f>
        <v/>
      </c>
      <c r="I77" s="338" t="str">
        <f t="shared" ref="I77:I96" si="16">IF(ISERROR(H77*G77),"",H77*G77)</f>
        <v/>
      </c>
      <c r="J77" s="118"/>
    </row>
    <row r="78" spans="2:10" ht="25.5">
      <c r="B78" s="205"/>
      <c r="C78" s="1672"/>
      <c r="D78" s="937" t="str">
        <f t="shared" si="13"/>
        <v>LCE-102A-Y</v>
      </c>
      <c r="E78" s="466" t="str">
        <f t="shared" si="14"/>
        <v>99990085, 03020034</v>
      </c>
      <c r="F78" s="390" t="s">
        <v>371</v>
      </c>
      <c r="G78" s="146"/>
      <c r="H78" s="140" t="str">
        <f t="shared" si="15"/>
        <v/>
      </c>
      <c r="I78" s="61" t="str">
        <f t="shared" si="16"/>
        <v/>
      </c>
      <c r="J78" s="118"/>
    </row>
    <row r="79" spans="2:10" ht="25.5">
      <c r="B79" s="205"/>
      <c r="C79" s="1672"/>
      <c r="D79" s="937">
        <f t="shared" si="13"/>
        <v>0</v>
      </c>
      <c r="E79" s="466" t="str">
        <f t="shared" si="14"/>
        <v>13080149 
03020034</v>
      </c>
      <c r="F79" s="390" t="s">
        <v>372</v>
      </c>
      <c r="G79" s="146"/>
      <c r="H79" s="140" t="str">
        <f t="shared" si="15"/>
        <v/>
      </c>
      <c r="I79" s="61" t="str">
        <f t="shared" si="16"/>
        <v/>
      </c>
      <c r="J79" s="118"/>
    </row>
    <row r="80" spans="2:10" ht="12.75" customHeight="1">
      <c r="B80" s="205"/>
      <c r="C80" s="1672"/>
      <c r="D80" s="937" t="str">
        <f t="shared" si="13"/>
        <v>FA72129</v>
      </c>
      <c r="E80" s="22" t="str">
        <f t="shared" si="14"/>
        <v>02020229</v>
      </c>
      <c r="F80" s="196" t="s">
        <v>374</v>
      </c>
      <c r="G80" s="146"/>
      <c r="H80" s="140" t="str">
        <f t="shared" si="15"/>
        <v/>
      </c>
      <c r="I80" s="61" t="str">
        <f t="shared" si="16"/>
        <v/>
      </c>
      <c r="J80" s="118"/>
    </row>
    <row r="81" spans="2:10" ht="12.75" customHeight="1">
      <c r="B81" s="205"/>
      <c r="C81" s="1672"/>
      <c r="D81" s="937" t="str">
        <f t="shared" si="13"/>
        <v>FA72177</v>
      </c>
      <c r="E81" s="22" t="str">
        <f t="shared" si="14"/>
        <v>02020446</v>
      </c>
      <c r="F81" s="196" t="s">
        <v>508</v>
      </c>
      <c r="G81" s="146"/>
      <c r="H81" s="140" t="str">
        <f t="shared" si="15"/>
        <v/>
      </c>
      <c r="I81" s="61" t="str">
        <f t="shared" si="16"/>
        <v/>
      </c>
      <c r="J81" s="118"/>
    </row>
    <row r="82" spans="2:10" ht="12.75" hidden="1" customHeight="1">
      <c r="B82" s="205"/>
      <c r="C82" s="1672"/>
      <c r="D82" s="937" t="str">
        <f t="shared" si="13"/>
        <v>H-7-9-314-00</v>
      </c>
      <c r="E82" s="22">
        <f t="shared" si="14"/>
        <v>0</v>
      </c>
      <c r="F82" s="196" t="s">
        <v>362</v>
      </c>
      <c r="G82" s="146"/>
      <c r="H82" s="140" t="str">
        <f t="shared" si="15"/>
        <v/>
      </c>
      <c r="I82" s="61" t="str">
        <f t="shared" si="16"/>
        <v/>
      </c>
      <c r="J82" s="118"/>
    </row>
    <row r="83" spans="2:10" ht="12.75" customHeight="1">
      <c r="B83" s="205"/>
      <c r="C83" s="1672"/>
      <c r="D83" s="937"/>
      <c r="E83" s="22"/>
      <c r="F83" s="196"/>
      <c r="G83" s="146"/>
      <c r="H83" s="140"/>
      <c r="I83" s="61"/>
      <c r="J83" s="118"/>
    </row>
    <row r="84" spans="2:10" ht="12.75" customHeight="1">
      <c r="B84" s="205"/>
      <c r="C84" s="1672"/>
      <c r="D84" s="937" t="str">
        <f>VLOOKUP($F84,$F$224:$I$427,3,FALSE)</f>
        <v>GDD4130-BK</v>
      </c>
      <c r="E84" s="22" t="str">
        <f>VLOOKUP($F84,$F$224:$I$427,2,FALSE)</f>
        <v>10040032</v>
      </c>
      <c r="F84" s="196" t="s">
        <v>397</v>
      </c>
      <c r="G84" s="146">
        <f>G89</f>
        <v>0</v>
      </c>
      <c r="H84" s="140" t="str">
        <f>IF(G84&gt;=1,VLOOKUP(F84,F$223:I$427,4,FALSE),"")</f>
        <v/>
      </c>
      <c r="I84" s="61" t="str">
        <f t="shared" si="16"/>
        <v/>
      </c>
      <c r="J84" s="118"/>
    </row>
    <row r="85" spans="2:10" ht="12.75" customHeight="1">
      <c r="B85" s="205"/>
      <c r="C85" s="1672"/>
      <c r="D85" s="937" t="str">
        <f>VLOOKUP($F85,$F$224:$I$427,3,FALSE)</f>
        <v>GM4130-BK-433K2</v>
      </c>
      <c r="E85" s="22" t="str">
        <f>VLOOKUP($F85,$F$224:$I$427,2,FALSE)</f>
        <v>10040052</v>
      </c>
      <c r="F85" s="196" t="s">
        <v>398</v>
      </c>
      <c r="G85" s="146"/>
      <c r="H85" s="140" t="str">
        <f>IF(G85&gt;=1,VLOOKUP(F85,F$223:I$427,4,FALSE),"")</f>
        <v/>
      </c>
      <c r="I85" s="61" t="str">
        <f t="shared" si="16"/>
        <v/>
      </c>
      <c r="J85" s="118"/>
    </row>
    <row r="86" spans="2:10" ht="12.75" customHeight="1">
      <c r="B86" s="205"/>
      <c r="C86" s="1672"/>
      <c r="D86" s="937"/>
      <c r="E86" s="22"/>
      <c r="F86" s="196"/>
      <c r="G86" s="146"/>
      <c r="H86" s="140"/>
      <c r="I86" s="61"/>
      <c r="J86" s="118"/>
    </row>
    <row r="87" spans="2:10" ht="12.75" customHeight="1">
      <c r="B87" s="205"/>
      <c r="C87" s="1672"/>
      <c r="D87" s="937" t="str">
        <f>VLOOKUP($F87,$F$224:$I$427,3,FALSE)</f>
        <v>FA69044</v>
      </c>
      <c r="E87" s="22" t="str">
        <f>VLOOKUP($F87,$F$224:$I$427,2,FALSE)</f>
        <v>02020158</v>
      </c>
      <c r="F87" s="196" t="s">
        <v>373</v>
      </c>
      <c r="G87" s="146"/>
      <c r="H87" s="140" t="str">
        <f>IF(G87&gt;=1,VLOOKUP(F87,F$223:I$427,4,FALSE),"")</f>
        <v/>
      </c>
      <c r="I87" s="61" t="str">
        <f t="shared" si="16"/>
        <v/>
      </c>
      <c r="J87" s="118"/>
    </row>
    <row r="88" spans="2:10" ht="12.75" customHeight="1">
      <c r="B88" s="205"/>
      <c r="C88" s="1672"/>
      <c r="D88" s="937" t="str">
        <f>VLOOKUP($F88,$F$224:$I$427,3,FALSE)</f>
        <v>H-5-9-319-00</v>
      </c>
      <c r="E88" s="22" t="str">
        <f>VLOOKUP($F88,$F$224:$I$427,2,FALSE)</f>
        <v>12080038</v>
      </c>
      <c r="F88" s="196" t="s">
        <v>1074</v>
      </c>
      <c r="G88" s="146"/>
      <c r="H88" s="140" t="str">
        <f>IF(G88&gt;=1,VLOOKUP(F88,F$223:I$427,4,FALSE),"")</f>
        <v/>
      </c>
      <c r="I88" s="61" t="str">
        <f t="shared" ref="I88:I92" si="17">IF(ISERROR(H88*G88),"",H88*G88)</f>
        <v/>
      </c>
      <c r="J88" s="118"/>
    </row>
    <row r="89" spans="2:10" ht="12.75" customHeight="1">
      <c r="B89" s="205"/>
      <c r="C89" s="1672"/>
      <c r="D89" s="937" t="str">
        <f>VLOOKUP($F89,$F$224:$I$427,3,FALSE)</f>
        <v>H-5-9-310-00</v>
      </c>
      <c r="E89" s="22" t="str">
        <f>VLOOKUP($F89,$F$224:$I$427,2,FALSE)</f>
        <v>12080037</v>
      </c>
      <c r="F89" s="196" t="s">
        <v>1073</v>
      </c>
      <c r="G89" s="146"/>
      <c r="H89" s="140" t="str">
        <f>IF(G89&gt;=1,VLOOKUP(F89,F$223:I$427,4,FALSE),"")</f>
        <v/>
      </c>
      <c r="I89" s="61" t="str">
        <f t="shared" si="17"/>
        <v/>
      </c>
      <c r="J89" s="118"/>
    </row>
    <row r="90" spans="2:10" ht="12.75" customHeight="1">
      <c r="B90" s="205"/>
      <c r="C90" s="1672"/>
      <c r="D90" s="937"/>
      <c r="E90" s="22"/>
      <c r="F90" s="196"/>
      <c r="G90" s="146"/>
      <c r="H90" s="140"/>
      <c r="I90" s="61"/>
      <c r="J90" s="118"/>
    </row>
    <row r="91" spans="2:10" ht="12.75" customHeight="1">
      <c r="B91" s="205"/>
      <c r="C91" s="1672"/>
      <c r="D91" s="937" t="str">
        <f>VLOOKUP($F91,$F$224:$I$427,3,FALSE)</f>
        <v>FA67050</v>
      </c>
      <c r="E91" s="22" t="str">
        <f>VLOOKUP($F91,$F$224:$I$427,2,FALSE)</f>
        <v>02020151</v>
      </c>
      <c r="F91" s="196" t="s">
        <v>681</v>
      </c>
      <c r="G91" s="146"/>
      <c r="H91" s="140" t="str">
        <f t="shared" ref="H91:H96" si="18">IF(G91&gt;=1,VLOOKUP(F91,F$223:I$427,4,FALSE),"")</f>
        <v/>
      </c>
      <c r="I91" s="61" t="str">
        <f t="shared" si="17"/>
        <v/>
      </c>
      <c r="J91" s="118"/>
    </row>
    <row r="92" spans="2:10" ht="12.75" customHeight="1">
      <c r="B92" s="205"/>
      <c r="C92" s="1672"/>
      <c r="D92" s="937" t="str">
        <f>VLOOKUP($F92,$F$224:$I$427,3,FALSE)</f>
        <v>FA62068</v>
      </c>
      <c r="E92" s="22" t="str">
        <f>VLOOKUP($F92,$F$224:$I$427,2,FALSE)</f>
        <v>02020132</v>
      </c>
      <c r="F92" s="196" t="s">
        <v>369</v>
      </c>
      <c r="G92" s="146"/>
      <c r="H92" s="140" t="str">
        <f t="shared" si="18"/>
        <v/>
      </c>
      <c r="I92" s="61" t="str">
        <f t="shared" si="17"/>
        <v/>
      </c>
      <c r="J92" s="118"/>
    </row>
    <row r="93" spans="2:10" ht="12.75" customHeight="1">
      <c r="B93" s="205"/>
      <c r="C93" s="1672"/>
      <c r="D93" s="937" t="str">
        <f>VLOOKUP($F93,$F$224:$I$427,3,FALSE)</f>
        <v>H-5-9-313-00</v>
      </c>
      <c r="E93" s="22" t="str">
        <f>VLOOKUP($F93,$F$224:$I$427,2,FALSE)</f>
        <v>12080036</v>
      </c>
      <c r="F93" s="196" t="s">
        <v>1085</v>
      </c>
      <c r="G93" s="790">
        <f>G81</f>
        <v>0</v>
      </c>
      <c r="H93" s="140" t="str">
        <f t="shared" si="18"/>
        <v/>
      </c>
      <c r="I93" s="61" t="str">
        <f t="shared" si="16"/>
        <v/>
      </c>
      <c r="J93" s="118"/>
    </row>
    <row r="94" spans="2:10" ht="12.75" customHeight="1">
      <c r="B94" s="205"/>
      <c r="C94" s="1674"/>
      <c r="D94" s="937" t="str">
        <f>VLOOKUP($F94,$F$224:$I$427,3,FALSE)</f>
        <v>TBA !!!!</v>
      </c>
      <c r="E94" s="22" t="str">
        <f>VLOOKUP($F94,$F$224:$I$427,2,FALSE)</f>
        <v>TBA !!!!</v>
      </c>
      <c r="F94" s="196" t="s">
        <v>1066</v>
      </c>
      <c r="G94" s="790">
        <f>IF(AND(G84+G85+G36+G40&gt;2),1,0)</f>
        <v>0</v>
      </c>
      <c r="H94" s="140" t="str">
        <f t="shared" si="18"/>
        <v/>
      </c>
      <c r="I94" s="61" t="str">
        <f t="shared" ref="I94" si="19">IF(ISERROR(H94*G94),"",H94*G94)</f>
        <v/>
      </c>
      <c r="J94" s="118"/>
    </row>
    <row r="95" spans="2:10" ht="12.75" customHeight="1">
      <c r="B95" s="205"/>
      <c r="C95" s="165"/>
      <c r="D95" s="937"/>
      <c r="E95" s="22"/>
      <c r="F95" s="196"/>
      <c r="G95" s="146"/>
      <c r="H95" s="140" t="str">
        <f t="shared" si="18"/>
        <v/>
      </c>
      <c r="I95" s="61" t="str">
        <f t="shared" si="16"/>
        <v/>
      </c>
      <c r="J95" s="118"/>
    </row>
    <row r="96" spans="2:10" ht="12.75" customHeight="1" thickBot="1">
      <c r="B96" s="205"/>
      <c r="C96" s="24"/>
      <c r="D96" s="948"/>
      <c r="E96" s="25"/>
      <c r="F96" s="373"/>
      <c r="G96" s="147"/>
      <c r="H96" s="210" t="str">
        <f t="shared" si="18"/>
        <v/>
      </c>
      <c r="I96" s="63" t="str">
        <f t="shared" si="16"/>
        <v/>
      </c>
      <c r="J96" s="118"/>
    </row>
    <row r="97" spans="1:59" ht="13.5" thickBot="1">
      <c r="B97"/>
      <c r="C97" s="26"/>
      <c r="D97" s="26"/>
      <c r="E97" s="26"/>
      <c r="F97" s="27"/>
      <c r="G97" s="28"/>
      <c r="H97" s="211" t="s">
        <v>42</v>
      </c>
      <c r="I97" s="430">
        <f>SUM(I77:I96)</f>
        <v>0</v>
      </c>
      <c r="J97" s="118"/>
      <c r="K97" s="117"/>
    </row>
    <row r="98" spans="1:59" ht="13.5" thickBot="1">
      <c r="B98"/>
      <c r="C98" s="26"/>
      <c r="D98" s="26"/>
      <c r="E98" s="26"/>
      <c r="F98" s="27"/>
      <c r="G98" s="28"/>
      <c r="H98" s="29"/>
      <c r="I98" s="29"/>
      <c r="J98" s="118"/>
      <c r="K98" s="117"/>
    </row>
    <row r="99" spans="1:59" ht="16.5" thickBot="1">
      <c r="B99"/>
      <c r="C99" s="80" t="s">
        <v>44</v>
      </c>
      <c r="D99" s="81"/>
      <c r="E99" s="81"/>
      <c r="F99" s="107"/>
      <c r="G99" s="83"/>
      <c r="H99" s="82"/>
      <c r="I99" s="84"/>
      <c r="J99" s="118"/>
      <c r="K99" s="202"/>
    </row>
    <row r="100" spans="1:59" ht="3.75" customHeight="1" thickBot="1">
      <c r="B100"/>
      <c r="C100"/>
      <c r="D100"/>
      <c r="E100"/>
      <c r="F100"/>
      <c r="G100"/>
      <c r="H100"/>
      <c r="I100"/>
      <c r="J100" s="118"/>
    </row>
    <row r="101" spans="1:59">
      <c r="B101"/>
      <c r="C101" s="1658"/>
      <c r="D101" s="940">
        <f>VLOOKUP($F101,$F$224:$I$427,3,FALSE)</f>
        <v>0</v>
      </c>
      <c r="E101" s="42">
        <f>VLOOKUP($F101,$F$224:$I$427,2,FALSE)</f>
        <v>1</v>
      </c>
      <c r="F101" s="190" t="s">
        <v>1131</v>
      </c>
      <c r="G101" s="193">
        <f>SUM(G17,G22,G27)</f>
        <v>0</v>
      </c>
      <c r="H101" s="485" t="str">
        <f>IF(G101&gt;=1,VLOOKUP(F101,F$223:I$433,4,FALSE),"")</f>
        <v/>
      </c>
      <c r="I101" s="251" t="str">
        <f>IF(ISERROR(H101*G101),"ERROR",G101*H101)</f>
        <v>ERROR</v>
      </c>
      <c r="J101" s="118"/>
      <c r="K101" s="202"/>
    </row>
    <row r="102" spans="1:59">
      <c r="B102"/>
      <c r="C102" s="1659"/>
      <c r="D102" s="945"/>
      <c r="E102" s="213"/>
      <c r="F102" s="187" t="s">
        <v>105</v>
      </c>
      <c r="G102" s="148"/>
      <c r="H102" s="328" t="str">
        <f>IF(G102="","",I433)</f>
        <v/>
      </c>
      <c r="I102" s="252" t="str">
        <f>IF(ISERROR(H102*G102),"",H102*G102)</f>
        <v/>
      </c>
      <c r="J102" s="118"/>
      <c r="K102" s="202"/>
    </row>
    <row r="103" spans="1:59">
      <c r="B103"/>
      <c r="C103" s="1659"/>
      <c r="D103" s="945"/>
      <c r="E103" s="213"/>
      <c r="F103" s="187" t="s">
        <v>296</v>
      </c>
      <c r="G103" s="148"/>
      <c r="H103" s="378">
        <v>250</v>
      </c>
      <c r="I103" s="252">
        <f>IF(ISERROR(H103*G103),"",H103*G103)</f>
        <v>0</v>
      </c>
      <c r="J103" s="118"/>
      <c r="K103" s="202"/>
    </row>
    <row r="104" spans="1:59">
      <c r="B104"/>
      <c r="C104" s="1659"/>
      <c r="D104" s="945"/>
      <c r="E104" s="213"/>
      <c r="F104" s="187" t="s">
        <v>295</v>
      </c>
      <c r="G104" s="995">
        <v>-1</v>
      </c>
      <c r="H104" s="1024"/>
      <c r="I104" s="252">
        <f>IF(ISERROR(H104*G104),"",H104*G104)</f>
        <v>0</v>
      </c>
      <c r="J104" s="118"/>
      <c r="K104" s="202"/>
    </row>
    <row r="105" spans="1:59">
      <c r="B105"/>
      <c r="C105" s="1659"/>
      <c r="D105" s="945"/>
      <c r="E105" s="213"/>
      <c r="F105" s="876"/>
      <c r="G105" s="995"/>
      <c r="H105" s="996"/>
      <c r="I105" s="997"/>
      <c r="J105" s="118"/>
      <c r="K105" s="202"/>
    </row>
    <row r="106" spans="1:59" s="201" customFormat="1">
      <c r="A106" s="112"/>
      <c r="B106"/>
      <c r="C106" s="1659"/>
      <c r="D106" s="945"/>
      <c r="E106" s="213"/>
      <c r="F106" s="876" t="s">
        <v>1015</v>
      </c>
      <c r="G106" s="909">
        <f>SUM(G17,G22,G27)</f>
        <v>0</v>
      </c>
      <c r="H106" s="140" t="str">
        <f>IF(G106&gt;=1,VLOOKUP(F106,F$223:I$527,4,FALSE),"")</f>
        <v/>
      </c>
      <c r="I106" s="252"/>
      <c r="J106" s="118"/>
      <c r="K106" s="202"/>
      <c r="L106" s="519"/>
      <c r="M106" s="519"/>
      <c r="N106" s="519"/>
      <c r="O106" s="519"/>
      <c r="P106" s="519"/>
      <c r="Q106" s="519"/>
      <c r="R106" s="519"/>
      <c r="S106" s="519"/>
      <c r="T106" s="519"/>
      <c r="U106" s="519"/>
      <c r="V106" s="519"/>
      <c r="W106" s="519"/>
      <c r="X106" s="519"/>
      <c r="Y106" s="519"/>
      <c r="Z106" s="519"/>
      <c r="AA106" s="519"/>
      <c r="AB106" s="519"/>
      <c r="AC106" s="519"/>
      <c r="AD106" s="519"/>
      <c r="AE106" s="519"/>
      <c r="AF106" s="519"/>
      <c r="AG106" s="519"/>
      <c r="AH106" s="519"/>
      <c r="AI106" s="519"/>
      <c r="AJ106" s="519"/>
      <c r="AK106" s="519"/>
      <c r="AL106" s="519"/>
      <c r="AM106" s="519"/>
      <c r="AN106" s="519"/>
      <c r="AO106" s="519"/>
      <c r="AP106" s="519"/>
      <c r="AQ106" s="519"/>
      <c r="AR106" s="519"/>
      <c r="AS106" s="519"/>
      <c r="AT106" s="519"/>
      <c r="AU106" s="519"/>
      <c r="AV106" s="519"/>
      <c r="AW106" s="519"/>
      <c r="AX106" s="519"/>
      <c r="AY106" s="519"/>
      <c r="AZ106" s="519"/>
      <c r="BA106" s="519"/>
      <c r="BB106" s="519"/>
      <c r="BC106" s="519"/>
      <c r="BD106" s="519"/>
      <c r="BE106" s="519"/>
      <c r="BF106" s="519"/>
      <c r="BG106" s="519"/>
    </row>
    <row r="107" spans="1:59" s="201" customFormat="1">
      <c r="A107" s="112"/>
      <c r="B107"/>
      <c r="C107" s="1659"/>
      <c r="D107" s="945"/>
      <c r="E107" s="213"/>
      <c r="F107" s="876" t="s">
        <v>1050</v>
      </c>
      <c r="G107" s="768">
        <v>1</v>
      </c>
      <c r="H107" s="910" t="s">
        <v>1049</v>
      </c>
      <c r="I107" s="252"/>
      <c r="J107" s="118"/>
      <c r="K107" s="202"/>
      <c r="L107" s="519"/>
      <c r="M107" s="519"/>
      <c r="N107" s="519"/>
      <c r="O107" s="519"/>
      <c r="P107" s="519"/>
      <c r="Q107" s="519"/>
      <c r="R107" s="519"/>
      <c r="S107" s="519"/>
      <c r="T107" s="519"/>
      <c r="U107" s="519"/>
      <c r="V107" s="519"/>
      <c r="W107" s="519"/>
      <c r="X107" s="519"/>
      <c r="Y107" s="519"/>
      <c r="Z107" s="519"/>
      <c r="AA107" s="519"/>
      <c r="AB107" s="519"/>
      <c r="AC107" s="519"/>
      <c r="AD107" s="519"/>
      <c r="AE107" s="519"/>
      <c r="AF107" s="519"/>
      <c r="AG107" s="519"/>
      <c r="AH107" s="519"/>
      <c r="AI107" s="519"/>
      <c r="AJ107" s="519"/>
      <c r="AK107" s="519"/>
      <c r="AL107" s="519"/>
      <c r="AM107" s="519"/>
      <c r="AN107" s="519"/>
      <c r="AO107" s="519"/>
      <c r="AP107" s="519"/>
      <c r="AQ107" s="519"/>
      <c r="AR107" s="519"/>
      <c r="AS107" s="519"/>
      <c r="AT107" s="519"/>
      <c r="AU107" s="519"/>
      <c r="AV107" s="519"/>
      <c r="AW107" s="519"/>
      <c r="AX107" s="519"/>
      <c r="AY107" s="519"/>
      <c r="AZ107" s="519"/>
      <c r="BA107" s="519"/>
      <c r="BB107" s="519"/>
      <c r="BC107" s="519"/>
      <c r="BD107" s="519"/>
      <c r="BE107" s="519"/>
      <c r="BF107" s="519"/>
      <c r="BG107" s="519"/>
    </row>
    <row r="108" spans="1:59" s="201" customFormat="1">
      <c r="A108" s="112"/>
      <c r="B108"/>
      <c r="C108" s="1659"/>
      <c r="D108" s="945"/>
      <c r="E108" s="213"/>
      <c r="F108" s="196"/>
      <c r="G108" s="214"/>
      <c r="H108" s="378"/>
      <c r="I108" s="252">
        <f t="shared" ref="I108:I110" si="20">IF(ISERROR(H108*G108),"",H108*G108)</f>
        <v>0</v>
      </c>
      <c r="J108" s="118"/>
      <c r="K108" s="202"/>
      <c r="L108" s="519"/>
      <c r="M108" s="519"/>
      <c r="N108" s="519"/>
      <c r="O108" s="519"/>
      <c r="P108" s="519"/>
      <c r="Q108" s="519"/>
      <c r="R108" s="519"/>
      <c r="S108" s="519"/>
      <c r="T108" s="519"/>
      <c r="U108" s="519"/>
      <c r="V108" s="519"/>
      <c r="W108" s="519"/>
      <c r="X108" s="519"/>
      <c r="Y108" s="519"/>
      <c r="Z108" s="519"/>
      <c r="AA108" s="519"/>
      <c r="AB108" s="519"/>
      <c r="AC108" s="519"/>
      <c r="AD108" s="519"/>
      <c r="AE108" s="519"/>
      <c r="AF108" s="519"/>
      <c r="AG108" s="519"/>
      <c r="AH108" s="519"/>
      <c r="AI108" s="519"/>
      <c r="AJ108" s="519"/>
      <c r="AK108" s="519"/>
      <c r="AL108" s="519"/>
      <c r="AM108" s="519"/>
      <c r="AN108" s="519"/>
      <c r="AO108" s="519"/>
      <c r="AP108" s="519"/>
      <c r="AQ108" s="519"/>
      <c r="AR108" s="519"/>
      <c r="AS108" s="519"/>
      <c r="AT108" s="519"/>
      <c r="AU108" s="519"/>
      <c r="AV108" s="519"/>
      <c r="AW108" s="519"/>
      <c r="AX108" s="519"/>
      <c r="AY108" s="519"/>
      <c r="AZ108" s="519"/>
      <c r="BA108" s="519"/>
      <c r="BB108" s="519"/>
      <c r="BC108" s="519"/>
      <c r="BD108" s="519"/>
      <c r="BE108" s="519"/>
      <c r="BF108" s="519"/>
      <c r="BG108" s="519"/>
    </row>
    <row r="109" spans="1:59" s="201" customFormat="1">
      <c r="A109" s="112"/>
      <c r="B109"/>
      <c r="C109" s="1660"/>
      <c r="D109" s="943"/>
      <c r="E109" s="269"/>
      <c r="F109" s="144"/>
      <c r="G109" s="214"/>
      <c r="H109" s="329"/>
      <c r="I109" s="252">
        <f t="shared" si="20"/>
        <v>0</v>
      </c>
      <c r="J109" s="118"/>
      <c r="K109" s="202"/>
      <c r="L109" s="519"/>
      <c r="M109" s="519"/>
      <c r="N109" s="519"/>
      <c r="O109" s="519"/>
      <c r="P109" s="519"/>
      <c r="Q109" s="519"/>
      <c r="R109" s="519"/>
      <c r="S109" s="519"/>
      <c r="T109" s="519"/>
      <c r="U109" s="519"/>
      <c r="V109" s="519"/>
      <c r="W109" s="519"/>
      <c r="X109" s="519"/>
      <c r="Y109" s="519"/>
      <c r="Z109" s="519"/>
      <c r="AA109" s="519"/>
      <c r="AB109" s="519"/>
      <c r="AC109" s="519"/>
      <c r="AD109" s="519"/>
      <c r="AE109" s="519"/>
      <c r="AF109" s="519"/>
      <c r="AG109" s="519"/>
      <c r="AH109" s="519"/>
      <c r="AI109" s="519"/>
      <c r="AJ109" s="519"/>
      <c r="AK109" s="519"/>
      <c r="AL109" s="519"/>
      <c r="AM109" s="519"/>
      <c r="AN109" s="519"/>
      <c r="AO109" s="519"/>
      <c r="AP109" s="519"/>
      <c r="AQ109" s="519"/>
      <c r="AR109" s="519"/>
      <c r="AS109" s="519"/>
      <c r="AT109" s="519"/>
      <c r="AU109" s="519"/>
      <c r="AV109" s="519"/>
      <c r="AW109" s="519"/>
      <c r="AX109" s="519"/>
      <c r="AY109" s="519"/>
      <c r="AZ109" s="519"/>
      <c r="BA109" s="519"/>
      <c r="BB109" s="519"/>
      <c r="BC109" s="519"/>
      <c r="BD109" s="519"/>
      <c r="BE109" s="519"/>
      <c r="BF109" s="519"/>
      <c r="BG109" s="519"/>
    </row>
    <row r="110" spans="1:59" s="201" customFormat="1" ht="13.5" thickBot="1">
      <c r="A110" s="112"/>
      <c r="B110"/>
      <c r="C110" s="270"/>
      <c r="D110" s="946"/>
      <c r="E110" s="271"/>
      <c r="F110" s="255"/>
      <c r="G110" s="149"/>
      <c r="H110" s="330"/>
      <c r="I110" s="347">
        <f t="shared" si="20"/>
        <v>0</v>
      </c>
      <c r="J110" s="118"/>
      <c r="K110" s="202"/>
      <c r="L110" s="519"/>
      <c r="M110" s="519"/>
      <c r="N110" s="519"/>
      <c r="O110" s="519"/>
      <c r="P110" s="519"/>
      <c r="Q110" s="519"/>
      <c r="R110" s="519"/>
      <c r="S110" s="519"/>
      <c r="T110" s="519"/>
      <c r="U110" s="519"/>
      <c r="V110" s="519"/>
      <c r="W110" s="519"/>
      <c r="X110" s="519"/>
      <c r="Y110" s="519"/>
      <c r="Z110" s="519"/>
      <c r="AA110" s="519"/>
      <c r="AB110" s="519"/>
      <c r="AC110" s="519"/>
      <c r="AD110" s="519"/>
      <c r="AE110" s="519"/>
      <c r="AF110" s="519"/>
      <c r="AG110" s="519"/>
      <c r="AH110" s="519"/>
      <c r="AI110" s="519"/>
      <c r="AJ110" s="519"/>
      <c r="AK110" s="519"/>
      <c r="AL110" s="519"/>
      <c r="AM110" s="519"/>
      <c r="AN110" s="519"/>
      <c r="AO110" s="519"/>
      <c r="AP110" s="519"/>
      <c r="AQ110" s="519"/>
      <c r="AR110" s="519"/>
      <c r="AS110" s="519"/>
      <c r="AT110" s="519"/>
      <c r="AU110" s="519"/>
      <c r="AV110" s="519"/>
      <c r="AW110" s="519"/>
      <c r="AX110" s="519"/>
      <c r="AY110" s="519"/>
      <c r="AZ110" s="519"/>
      <c r="BA110" s="519"/>
      <c r="BB110" s="519"/>
      <c r="BC110" s="519"/>
      <c r="BD110" s="519"/>
      <c r="BE110" s="519"/>
      <c r="BF110" s="519"/>
      <c r="BG110" s="519"/>
    </row>
    <row r="111" spans="1:59" s="201" customFormat="1" ht="13.5" thickBot="1">
      <c r="A111" s="112"/>
      <c r="B111"/>
      <c r="C111" s="26"/>
      <c r="D111" s="26"/>
      <c r="E111" s="26"/>
      <c r="F111" s="27"/>
      <c r="G111" s="28"/>
      <c r="H111" s="51" t="s">
        <v>42</v>
      </c>
      <c r="I111" s="246">
        <f>SUM(I101:I110)</f>
        <v>0</v>
      </c>
      <c r="J111" s="118"/>
      <c r="K111" s="202"/>
      <c r="L111" s="519"/>
      <c r="M111" s="519"/>
      <c r="N111" s="519"/>
      <c r="O111" s="519"/>
      <c r="P111" s="519"/>
      <c r="Q111" s="519"/>
      <c r="R111" s="519"/>
      <c r="S111" s="519"/>
      <c r="T111" s="519"/>
      <c r="U111" s="519"/>
      <c r="V111" s="519"/>
      <c r="W111" s="519"/>
      <c r="X111" s="519"/>
      <c r="Y111" s="519"/>
      <c r="Z111" s="519"/>
      <c r="AA111" s="519"/>
      <c r="AB111" s="519"/>
      <c r="AC111" s="519"/>
      <c r="AD111" s="519"/>
      <c r="AE111" s="519"/>
      <c r="AF111" s="519"/>
      <c r="AG111" s="519"/>
      <c r="AH111" s="519"/>
      <c r="AI111" s="519"/>
      <c r="AJ111" s="519"/>
      <c r="AK111" s="519"/>
      <c r="AL111" s="519"/>
      <c r="AM111" s="519"/>
      <c r="AN111" s="519"/>
      <c r="AO111" s="519"/>
      <c r="AP111" s="519"/>
      <c r="AQ111" s="519"/>
      <c r="AR111" s="519"/>
      <c r="AS111" s="519"/>
      <c r="AT111" s="519"/>
      <c r="AU111" s="519"/>
      <c r="AV111" s="519"/>
      <c r="AW111" s="519"/>
      <c r="AX111" s="519"/>
      <c r="AY111" s="519"/>
      <c r="AZ111" s="519"/>
      <c r="BA111" s="519"/>
      <c r="BB111" s="519"/>
      <c r="BC111" s="519"/>
      <c r="BD111" s="519"/>
      <c r="BE111" s="519"/>
      <c r="BF111" s="519"/>
      <c r="BG111" s="519"/>
    </row>
    <row r="112" spans="1:59" s="201" customFormat="1" ht="13.5" thickBot="1">
      <c r="A112" s="112"/>
      <c r="B112"/>
      <c r="C112" s="1"/>
      <c r="D112" s="1"/>
      <c r="E112" s="1"/>
      <c r="F112"/>
      <c r="G112" s="2"/>
      <c r="H112" s="2"/>
      <c r="I112" s="2"/>
      <c r="J112" s="118"/>
      <c r="K112" s="202"/>
      <c r="L112" s="917"/>
      <c r="M112" s="917"/>
      <c r="N112" s="519"/>
      <c r="O112" s="519"/>
      <c r="P112" s="519"/>
      <c r="Q112" s="519"/>
      <c r="R112" s="519"/>
      <c r="S112" s="519"/>
      <c r="T112" s="519"/>
      <c r="U112" s="519"/>
      <c r="V112" s="519"/>
      <c r="W112" s="519"/>
      <c r="X112" s="519"/>
      <c r="Y112" s="519"/>
      <c r="Z112" s="519"/>
      <c r="AA112" s="519"/>
      <c r="AB112" s="519"/>
      <c r="AC112" s="519"/>
      <c r="AD112" s="519"/>
      <c r="AE112" s="519"/>
      <c r="AF112" s="519"/>
      <c r="AG112" s="519"/>
      <c r="AH112" s="519"/>
      <c r="AI112" s="519"/>
      <c r="AJ112" s="519"/>
      <c r="AK112" s="519"/>
      <c r="AL112" s="519"/>
      <c r="AM112" s="519"/>
      <c r="AN112" s="519"/>
      <c r="AO112" s="519"/>
      <c r="AP112" s="519"/>
      <c r="AQ112" s="519"/>
      <c r="AR112" s="519"/>
      <c r="AS112" s="519"/>
      <c r="AT112" s="519"/>
      <c r="AU112" s="519"/>
      <c r="AV112" s="519"/>
      <c r="AW112" s="519"/>
      <c r="AX112" s="519"/>
      <c r="AY112" s="519"/>
      <c r="AZ112" s="519"/>
      <c r="BA112" s="519"/>
      <c r="BB112" s="519"/>
      <c r="BC112" s="519"/>
      <c r="BD112" s="519"/>
      <c r="BE112" s="519"/>
      <c r="BF112" s="519"/>
      <c r="BG112" s="519"/>
    </row>
    <row r="113" spans="1:59" s="201" customFormat="1" ht="16.5" thickBot="1">
      <c r="A113" s="112"/>
      <c r="B113"/>
      <c r="C113" s="80" t="s">
        <v>40</v>
      </c>
      <c r="D113" s="81"/>
      <c r="E113" s="81"/>
      <c r="F113" s="374" t="str">
        <f>IF(SUM(G117,G120,G124,)&lt;1, "You have not selected any ink","")</f>
        <v>You have not selected any ink</v>
      </c>
      <c r="G113" s="83"/>
      <c r="H113" s="82"/>
      <c r="I113" s="84"/>
      <c r="J113" s="118"/>
      <c r="K113" s="202"/>
      <c r="L113" s="917"/>
      <c r="M113" s="917"/>
      <c r="N113" s="519"/>
      <c r="O113" s="519"/>
      <c r="P113" s="519"/>
      <c r="Q113" s="519"/>
      <c r="R113" s="519"/>
      <c r="S113" s="519"/>
      <c r="T113" s="519"/>
      <c r="U113" s="519"/>
      <c r="V113" s="519"/>
      <c r="W113" s="519"/>
      <c r="X113" s="519"/>
      <c r="Y113" s="519"/>
      <c r="Z113" s="519"/>
      <c r="AA113" s="519"/>
      <c r="AB113" s="519"/>
      <c r="AC113" s="519"/>
      <c r="AD113" s="519"/>
      <c r="AE113" s="519"/>
      <c r="AF113" s="519"/>
      <c r="AG113" s="519"/>
      <c r="AH113" s="519"/>
      <c r="AI113" s="519"/>
      <c r="AJ113" s="519"/>
      <c r="AK113" s="519"/>
      <c r="AL113" s="519"/>
      <c r="AM113" s="519"/>
      <c r="AN113" s="519"/>
      <c r="AO113" s="519"/>
      <c r="AP113" s="519"/>
      <c r="AQ113" s="519"/>
      <c r="AR113" s="519"/>
      <c r="AS113" s="519"/>
      <c r="AT113" s="519"/>
      <c r="AU113" s="519"/>
      <c r="AV113" s="519"/>
      <c r="AW113" s="519"/>
      <c r="AX113" s="519"/>
      <c r="AY113" s="519"/>
      <c r="AZ113" s="519"/>
      <c r="BA113" s="519"/>
      <c r="BB113" s="519"/>
      <c r="BC113" s="519"/>
      <c r="BD113" s="519"/>
      <c r="BE113" s="519"/>
      <c r="BF113" s="519"/>
      <c r="BG113" s="519"/>
    </row>
    <row r="114" spans="1:59" s="201" customFormat="1" ht="4.5" customHeight="1" thickBot="1">
      <c r="A114" s="112"/>
      <c r="B114"/>
      <c r="C114"/>
      <c r="D114"/>
      <c r="E114"/>
      <c r="F114"/>
      <c r="G114"/>
      <c r="H114"/>
      <c r="I114"/>
      <c r="J114" s="118"/>
      <c r="L114" s="917"/>
      <c r="M114" s="917"/>
      <c r="N114" s="519"/>
      <c r="O114" s="519"/>
      <c r="P114" s="519"/>
      <c r="Q114" s="519"/>
      <c r="R114" s="519"/>
      <c r="S114" s="519"/>
      <c r="T114" s="519"/>
      <c r="U114" s="519"/>
      <c r="V114" s="519"/>
      <c r="W114" s="519"/>
      <c r="X114" s="519"/>
      <c r="Y114" s="519"/>
      <c r="Z114" s="519"/>
      <c r="AA114" s="519"/>
      <c r="AB114" s="519"/>
      <c r="AC114" s="519"/>
      <c r="AD114" s="519"/>
      <c r="AE114" s="519"/>
      <c r="AF114" s="519"/>
      <c r="AG114" s="519"/>
      <c r="AH114" s="519"/>
      <c r="AI114" s="519"/>
      <c r="AJ114" s="519"/>
      <c r="AK114" s="519"/>
      <c r="AL114" s="519"/>
      <c r="AM114" s="519"/>
      <c r="AN114" s="519"/>
      <c r="AO114" s="519"/>
      <c r="AP114" s="519"/>
      <c r="AQ114" s="519"/>
      <c r="AR114" s="519"/>
      <c r="AS114" s="519"/>
      <c r="AT114" s="519"/>
      <c r="AU114" s="519"/>
      <c r="AV114" s="519"/>
      <c r="AW114" s="519"/>
      <c r="AX114" s="519"/>
      <c r="AY114" s="519"/>
      <c r="AZ114" s="519"/>
      <c r="BA114" s="519"/>
      <c r="BB114" s="519"/>
      <c r="BC114" s="519"/>
      <c r="BD114" s="519"/>
      <c r="BE114" s="519"/>
      <c r="BF114" s="519"/>
      <c r="BG114" s="519"/>
    </row>
    <row r="115" spans="1:59" s="201" customFormat="1" ht="15">
      <c r="A115" s="112"/>
      <c r="B115" s="164"/>
      <c r="C115" s="396"/>
      <c r="D115" s="949"/>
      <c r="E115" s="777"/>
      <c r="F115" s="778"/>
      <c r="G115" s="779"/>
      <c r="H115" s="780"/>
      <c r="I115" s="781"/>
      <c r="J115" s="118"/>
      <c r="K115" s="202"/>
      <c r="L115" s="917"/>
      <c r="M115" s="917"/>
      <c r="N115" s="519"/>
      <c r="O115" s="519"/>
      <c r="P115" s="519"/>
      <c r="Q115" s="519"/>
      <c r="R115" s="519"/>
      <c r="S115" s="519"/>
      <c r="T115" s="519"/>
      <c r="U115" s="519"/>
      <c r="V115" s="519"/>
      <c r="W115" s="519"/>
      <c r="X115" s="519"/>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19"/>
      <c r="BC115" s="519"/>
      <c r="BD115" s="519"/>
      <c r="BE115" s="519"/>
      <c r="BF115" s="519"/>
      <c r="BG115" s="519"/>
    </row>
    <row r="116" spans="1:59" s="201" customFormat="1" ht="15">
      <c r="A116" s="112"/>
      <c r="B116" s="164"/>
      <c r="C116" s="397" t="s">
        <v>1030</v>
      </c>
      <c r="D116" s="951"/>
      <c r="E116" s="456"/>
      <c r="F116" s="457"/>
      <c r="G116" s="458"/>
      <c r="H116" s="459"/>
      <c r="I116" s="460"/>
      <c r="J116" s="118"/>
      <c r="K116" s="202"/>
      <c r="L116" s="917"/>
      <c r="M116" s="917"/>
      <c r="N116" s="519"/>
      <c r="O116" s="519"/>
      <c r="P116" s="519"/>
      <c r="Q116" s="519"/>
      <c r="R116" s="519"/>
      <c r="S116" s="519"/>
      <c r="T116" s="519"/>
      <c r="U116" s="519"/>
      <c r="V116" s="519"/>
      <c r="W116" s="519"/>
      <c r="X116" s="519"/>
      <c r="Y116" s="519"/>
      <c r="Z116" s="519"/>
      <c r="AA116" s="519"/>
      <c r="AB116" s="519"/>
      <c r="AC116" s="519"/>
      <c r="AD116" s="519"/>
      <c r="AE116" s="519"/>
      <c r="AF116" s="519"/>
      <c r="AG116" s="519"/>
      <c r="AH116" s="519"/>
      <c r="AI116" s="519"/>
      <c r="AJ116" s="519"/>
      <c r="AK116" s="519"/>
      <c r="AL116" s="519"/>
      <c r="AM116" s="519"/>
      <c r="AN116" s="519"/>
      <c r="AO116" s="519"/>
      <c r="AP116" s="519"/>
      <c r="AQ116" s="519"/>
      <c r="AR116" s="519"/>
      <c r="AS116" s="519"/>
      <c r="AT116" s="519"/>
      <c r="AU116" s="519"/>
      <c r="AV116" s="519"/>
      <c r="AW116" s="519"/>
      <c r="AX116" s="519"/>
      <c r="AY116" s="519"/>
      <c r="AZ116" s="519"/>
      <c r="BA116" s="519"/>
      <c r="BB116" s="519"/>
      <c r="BC116" s="519"/>
      <c r="BD116" s="519"/>
      <c r="BE116" s="519"/>
      <c r="BF116" s="519"/>
      <c r="BG116" s="519"/>
    </row>
    <row r="117" spans="1:59" s="201" customFormat="1" ht="25.5">
      <c r="A117" s="112"/>
      <c r="B117" s="164"/>
      <c r="C117" s="1670"/>
      <c r="D117" s="944">
        <f>VLOOKUP($F117,$F$224:$I$427,3,FALSE)</f>
        <v>0</v>
      </c>
      <c r="E117" s="465" t="str">
        <f>VLOOKUP($F117,$F$224:$I$427,2,FALSE)</f>
        <v>15140036 x 0.3, 16140005 x 0.3</v>
      </c>
      <c r="F117" s="467" t="s">
        <v>627</v>
      </c>
      <c r="G117" s="469">
        <f>G17</f>
        <v>0</v>
      </c>
      <c r="H117" s="471" t="str">
        <f>IF(G117&gt;=1,VLOOKUP(F117,F$223:I$427,4,FALSE),"")</f>
        <v/>
      </c>
      <c r="I117" s="470" t="str">
        <f>IF(ISERROR(H117*G117),"",H117*G117)</f>
        <v/>
      </c>
      <c r="J117" s="118"/>
      <c r="K117" s="202"/>
      <c r="L117" s="917"/>
      <c r="M117" s="917"/>
      <c r="N117" s="519"/>
      <c r="O117" s="519"/>
      <c r="P117" s="519"/>
      <c r="Q117" s="519"/>
      <c r="R117" s="519"/>
      <c r="S117" s="519"/>
      <c r="T117" s="519"/>
      <c r="U117" s="519"/>
      <c r="V117" s="519"/>
      <c r="W117" s="519"/>
      <c r="X117" s="519"/>
      <c r="Y117" s="519"/>
      <c r="Z117" s="519"/>
      <c r="AA117" s="519"/>
      <c r="AB117" s="519"/>
      <c r="AC117" s="519"/>
      <c r="AD117" s="519"/>
      <c r="AE117" s="519"/>
      <c r="AF117" s="519"/>
      <c r="AG117" s="519"/>
      <c r="AH117" s="519"/>
      <c r="AI117" s="519"/>
      <c r="AJ117" s="519"/>
      <c r="AK117" s="519"/>
      <c r="AL117" s="519"/>
      <c r="AM117" s="519"/>
      <c r="AN117" s="519"/>
      <c r="AO117" s="519"/>
      <c r="AP117" s="519"/>
      <c r="AQ117" s="519"/>
      <c r="AR117" s="519"/>
      <c r="AS117" s="519"/>
      <c r="AT117" s="519"/>
      <c r="AU117" s="519"/>
      <c r="AV117" s="519"/>
      <c r="AW117" s="519"/>
      <c r="AX117" s="519"/>
      <c r="AY117" s="519"/>
      <c r="AZ117" s="519"/>
      <c r="BA117" s="519"/>
      <c r="BB117" s="519"/>
      <c r="BC117" s="519"/>
      <c r="BD117" s="519"/>
      <c r="BE117" s="519"/>
      <c r="BF117" s="519"/>
      <c r="BG117" s="519"/>
    </row>
    <row r="118" spans="1:59" s="201" customFormat="1" ht="12.75" customHeight="1">
      <c r="A118" s="112"/>
      <c r="B118" s="164"/>
      <c r="C118" s="1659"/>
      <c r="D118" s="950"/>
      <c r="E118" s="462"/>
      <c r="F118" s="463"/>
      <c r="G118" s="463"/>
      <c r="H118" s="464"/>
      <c r="I118" s="454"/>
      <c r="J118" s="118"/>
      <c r="K118" s="202"/>
      <c r="L118" s="917"/>
      <c r="M118" s="917"/>
      <c r="N118" s="519"/>
      <c r="O118" s="519"/>
      <c r="P118" s="519"/>
      <c r="Q118" s="519"/>
      <c r="R118" s="519"/>
      <c r="S118" s="519"/>
      <c r="T118" s="519"/>
      <c r="U118" s="519"/>
      <c r="V118" s="519"/>
      <c r="W118" s="519"/>
      <c r="X118" s="519"/>
      <c r="Y118" s="519"/>
      <c r="Z118" s="519"/>
      <c r="AA118" s="519"/>
      <c r="AB118" s="519"/>
      <c r="AC118" s="519"/>
      <c r="AD118" s="519"/>
      <c r="AE118" s="519"/>
      <c r="AF118" s="519"/>
      <c r="AG118" s="519"/>
      <c r="AH118" s="519"/>
      <c r="AI118" s="519"/>
      <c r="AJ118" s="519"/>
      <c r="AK118" s="519"/>
      <c r="AL118" s="519"/>
      <c r="AM118" s="519"/>
      <c r="AN118" s="519"/>
      <c r="AO118" s="519"/>
      <c r="AP118" s="519"/>
      <c r="AQ118" s="519"/>
      <c r="AR118" s="519"/>
      <c r="AS118" s="519"/>
      <c r="AT118" s="519"/>
      <c r="AU118" s="519"/>
      <c r="AV118" s="519"/>
      <c r="AW118" s="519"/>
      <c r="AX118" s="519"/>
      <c r="AY118" s="519"/>
      <c r="AZ118" s="519"/>
      <c r="BA118" s="519"/>
      <c r="BB118" s="519"/>
      <c r="BC118" s="519"/>
      <c r="BD118" s="519"/>
      <c r="BE118" s="519"/>
      <c r="BF118" s="519"/>
      <c r="BG118" s="519"/>
    </row>
    <row r="119" spans="1:59" s="201" customFormat="1" ht="15" customHeight="1">
      <c r="A119" s="112"/>
      <c r="B119" s="164"/>
      <c r="C119" s="1659"/>
      <c r="D119" s="951" t="s">
        <v>1133</v>
      </c>
      <c r="E119" s="456"/>
      <c r="F119" s="457"/>
      <c r="G119" s="458"/>
      <c r="H119" s="459"/>
      <c r="I119" s="460"/>
      <c r="J119" s="118"/>
      <c r="K119" s="202"/>
      <c r="L119" s="917"/>
      <c r="M119" s="917"/>
      <c r="N119" s="519"/>
      <c r="O119" s="519"/>
      <c r="P119" s="519"/>
      <c r="Q119" s="519"/>
      <c r="R119" s="519"/>
      <c r="S119" s="519"/>
      <c r="T119" s="519"/>
      <c r="U119" s="519"/>
      <c r="V119" s="519"/>
      <c r="W119" s="519"/>
      <c r="X119" s="519"/>
      <c r="Y119" s="519"/>
      <c r="Z119" s="519"/>
      <c r="AA119" s="519"/>
      <c r="AB119" s="519"/>
      <c r="AC119" s="519"/>
      <c r="AD119" s="519"/>
      <c r="AE119" s="519"/>
      <c r="AF119" s="519"/>
      <c r="AG119" s="519"/>
      <c r="AH119" s="519"/>
      <c r="AI119" s="519"/>
      <c r="AJ119" s="519"/>
      <c r="AK119" s="519"/>
      <c r="AL119" s="519"/>
      <c r="AM119" s="519"/>
      <c r="AN119" s="519"/>
      <c r="AO119" s="519"/>
      <c r="AP119" s="519"/>
      <c r="AQ119" s="519"/>
      <c r="AR119" s="519"/>
      <c r="AS119" s="519"/>
      <c r="AT119" s="519"/>
      <c r="AU119" s="519"/>
      <c r="AV119" s="519"/>
      <c r="AW119" s="519"/>
      <c r="AX119" s="519"/>
      <c r="AY119" s="519"/>
      <c r="AZ119" s="519"/>
      <c r="BA119" s="519"/>
      <c r="BB119" s="519"/>
      <c r="BC119" s="519"/>
      <c r="BD119" s="519"/>
      <c r="BE119" s="519"/>
      <c r="BF119" s="519"/>
      <c r="BG119" s="519"/>
    </row>
    <row r="120" spans="1:59" s="201" customFormat="1" ht="25.5" customHeight="1">
      <c r="A120" s="112"/>
      <c r="B120" s="164"/>
      <c r="C120" s="1660"/>
      <c r="D120" s="944">
        <f>VLOOKUP($F120,$F$224:$I$427,3,FALSE)</f>
        <v>0</v>
      </c>
      <c r="E120" s="465" t="str">
        <f>VLOOKUP($F120,$F$224:$I$427,2,FALSE)</f>
        <v>15140036 x 0.3, 16140005 x 0.3</v>
      </c>
      <c r="F120" s="467" t="s">
        <v>627</v>
      </c>
      <c r="G120" s="469">
        <f>G22</f>
        <v>0</v>
      </c>
      <c r="H120" s="471" t="str">
        <f>IF(G120&gt;=1,VLOOKUP(F120,F$223:I$427,4,FALSE),"")</f>
        <v/>
      </c>
      <c r="I120" s="470" t="str">
        <f t="shared" ref="I120" si="21">IF(ISERROR(H120*G120),"",H120*G120)</f>
        <v/>
      </c>
      <c r="J120" s="118"/>
      <c r="K120" s="202"/>
      <c r="L120" s="917"/>
      <c r="M120" s="917"/>
      <c r="N120" s="519"/>
      <c r="O120" s="519"/>
      <c r="P120" s="519"/>
      <c r="Q120" s="519"/>
      <c r="R120" s="519"/>
      <c r="S120" s="519"/>
      <c r="T120" s="519"/>
      <c r="U120" s="519"/>
      <c r="V120" s="519"/>
      <c r="W120" s="519"/>
      <c r="X120" s="519"/>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19"/>
      <c r="BC120" s="519"/>
      <c r="BD120" s="519"/>
      <c r="BE120" s="519"/>
      <c r="BF120" s="519"/>
      <c r="BG120" s="519"/>
    </row>
    <row r="121" spans="1:59" s="201" customFormat="1" ht="12.75" customHeight="1">
      <c r="A121" s="112"/>
      <c r="B121" s="164"/>
      <c r="C121" s="461"/>
      <c r="D121" s="950"/>
      <c r="E121" s="462"/>
      <c r="F121" s="463"/>
      <c r="G121" s="463"/>
      <c r="H121" s="464"/>
      <c r="I121" s="454"/>
      <c r="J121" s="118"/>
      <c r="K121" s="202"/>
      <c r="L121" s="917"/>
      <c r="M121" s="917"/>
      <c r="N121" s="519"/>
      <c r="O121" s="519"/>
      <c r="P121" s="519"/>
      <c r="Q121" s="519"/>
      <c r="R121" s="519"/>
      <c r="S121" s="519"/>
      <c r="T121" s="519"/>
      <c r="U121" s="519"/>
      <c r="V121" s="519"/>
      <c r="W121" s="519"/>
      <c r="X121" s="519"/>
      <c r="Y121" s="519"/>
      <c r="Z121" s="519"/>
      <c r="AA121" s="519"/>
      <c r="AB121" s="519"/>
      <c r="AC121" s="519"/>
      <c r="AD121" s="519"/>
      <c r="AE121" s="519"/>
      <c r="AF121" s="519"/>
      <c r="AG121" s="519"/>
      <c r="AH121" s="519"/>
      <c r="AI121" s="519"/>
      <c r="AJ121" s="519"/>
      <c r="AK121" s="519"/>
      <c r="AL121" s="519"/>
      <c r="AM121" s="519"/>
      <c r="AN121" s="519"/>
      <c r="AO121" s="519"/>
      <c r="AP121" s="519"/>
      <c r="AQ121" s="519"/>
      <c r="AR121" s="519"/>
      <c r="AS121" s="519"/>
      <c r="AT121" s="519"/>
      <c r="AU121" s="519"/>
      <c r="AV121" s="519"/>
      <c r="AW121" s="519"/>
      <c r="AX121" s="519"/>
      <c r="AY121" s="519"/>
      <c r="AZ121" s="519"/>
      <c r="BA121" s="519"/>
      <c r="BB121" s="519"/>
      <c r="BC121" s="519"/>
      <c r="BD121" s="519"/>
      <c r="BE121" s="519"/>
      <c r="BF121" s="519"/>
      <c r="BG121" s="519"/>
    </row>
    <row r="122" spans="1:59" s="201" customFormat="1" ht="12.75" customHeight="1">
      <c r="A122" s="112"/>
      <c r="B122" s="164"/>
      <c r="C122" s="782"/>
      <c r="D122" s="26"/>
      <c r="E122" s="783"/>
      <c r="F122" s="784"/>
      <c r="G122" s="784"/>
      <c r="H122" s="785"/>
      <c r="I122" s="786"/>
      <c r="J122" s="118"/>
      <c r="K122" s="202"/>
      <c r="L122" s="917"/>
      <c r="M122" s="917"/>
      <c r="N122" s="519"/>
      <c r="O122" s="519"/>
      <c r="P122" s="519"/>
      <c r="Q122" s="519"/>
      <c r="R122" s="519"/>
      <c r="S122" s="519"/>
      <c r="T122" s="519"/>
      <c r="U122" s="519"/>
      <c r="V122" s="519"/>
      <c r="W122" s="519"/>
      <c r="X122" s="519"/>
      <c r="Y122" s="519"/>
      <c r="Z122" s="519"/>
      <c r="AA122" s="519"/>
      <c r="AB122" s="519"/>
      <c r="AC122" s="519"/>
      <c r="AD122" s="519"/>
      <c r="AE122" s="519"/>
      <c r="AF122" s="519"/>
      <c r="AG122" s="519"/>
      <c r="AH122" s="519"/>
      <c r="AI122" s="519"/>
      <c r="AJ122" s="519"/>
      <c r="AK122" s="519"/>
      <c r="AL122" s="519"/>
      <c r="AM122" s="519"/>
      <c r="AN122" s="519"/>
      <c r="AO122" s="519"/>
      <c r="AP122" s="519"/>
      <c r="AQ122" s="519"/>
      <c r="AR122" s="519"/>
      <c r="AS122" s="519"/>
      <c r="AT122" s="519"/>
      <c r="AU122" s="519"/>
      <c r="AV122" s="519"/>
      <c r="AW122" s="519"/>
      <c r="AX122" s="519"/>
      <c r="AY122" s="519"/>
      <c r="AZ122" s="519"/>
      <c r="BA122" s="519"/>
      <c r="BB122" s="519"/>
      <c r="BC122" s="519"/>
      <c r="BD122" s="519"/>
      <c r="BE122" s="519"/>
      <c r="BF122" s="519"/>
      <c r="BG122" s="519"/>
    </row>
    <row r="123" spans="1:59" s="201" customFormat="1" ht="15">
      <c r="A123" s="112"/>
      <c r="B123" s="164"/>
      <c r="C123" s="455" t="s">
        <v>639</v>
      </c>
      <c r="D123" s="952"/>
      <c r="E123" s="456"/>
      <c r="F123" s="457"/>
      <c r="G123" s="458"/>
      <c r="H123" s="459"/>
      <c r="I123" s="460"/>
      <c r="J123" s="118"/>
      <c r="K123" s="202"/>
      <c r="L123" s="917"/>
      <c r="M123" s="917"/>
      <c r="N123" s="519"/>
      <c r="O123" s="519"/>
      <c r="P123" s="519"/>
      <c r="Q123" s="519"/>
      <c r="R123" s="519"/>
      <c r="S123" s="519"/>
      <c r="T123" s="519"/>
      <c r="U123" s="519"/>
      <c r="V123" s="519"/>
      <c r="W123" s="519"/>
      <c r="X123" s="519"/>
      <c r="Y123" s="519"/>
      <c r="Z123" s="519"/>
      <c r="AA123" s="519"/>
      <c r="AB123" s="519"/>
      <c r="AC123" s="519"/>
      <c r="AD123" s="519"/>
      <c r="AE123" s="519"/>
      <c r="AF123" s="519"/>
      <c r="AG123" s="519"/>
      <c r="AH123" s="519"/>
      <c r="AI123" s="519"/>
      <c r="AJ123" s="519"/>
      <c r="AK123" s="519"/>
      <c r="AL123" s="519"/>
      <c r="AM123" s="519"/>
      <c r="AN123" s="519"/>
      <c r="AO123" s="519"/>
      <c r="AP123" s="519"/>
      <c r="AQ123" s="519"/>
      <c r="AR123" s="519"/>
      <c r="AS123" s="519"/>
      <c r="AT123" s="519"/>
      <c r="AU123" s="519"/>
      <c r="AV123" s="519"/>
      <c r="AW123" s="519"/>
      <c r="AX123" s="519"/>
      <c r="AY123" s="519"/>
      <c r="AZ123" s="519"/>
      <c r="BA123" s="519"/>
      <c r="BB123" s="519"/>
      <c r="BC123" s="519"/>
      <c r="BD123" s="519"/>
      <c r="BE123" s="519"/>
      <c r="BF123" s="519"/>
      <c r="BG123" s="519"/>
    </row>
    <row r="124" spans="1:59" s="201" customFormat="1" ht="12.75" customHeight="1">
      <c r="A124" s="112"/>
      <c r="B124" s="164"/>
      <c r="C124" s="23"/>
      <c r="D124" s="944" t="str">
        <f>VLOOKUP($F124,$F$224:$I$427,3,FALSE)</f>
        <v>FA91240/5L</v>
      </c>
      <c r="E124" s="56" t="str">
        <f>VLOOKUP($F124,$F$224:$I$427,2,FALSE)</f>
        <v>15140036</v>
      </c>
      <c r="F124" s="144" t="s">
        <v>595</v>
      </c>
      <c r="G124" s="145"/>
      <c r="H124" s="141" t="str">
        <f>IF(G124&gt;=1,VLOOKUP(F124,F$223:I$427,4,FALSE),"")</f>
        <v/>
      </c>
      <c r="I124" s="59" t="str">
        <f>IF(ISERROR(H124*G124),"",H124*G124)</f>
        <v/>
      </c>
      <c r="J124" s="118"/>
      <c r="K124" s="202"/>
      <c r="L124" s="917"/>
      <c r="M124" s="917"/>
      <c r="N124" s="519"/>
      <c r="O124" s="519"/>
      <c r="P124" s="519"/>
      <c r="Q124" s="519"/>
      <c r="R124" s="519"/>
      <c r="S124" s="519"/>
      <c r="T124" s="519"/>
      <c r="U124" s="519"/>
      <c r="V124" s="519"/>
      <c r="W124" s="519"/>
      <c r="X124" s="519"/>
      <c r="Y124" s="519"/>
      <c r="Z124" s="519"/>
      <c r="AA124" s="519"/>
      <c r="AB124" s="519"/>
      <c r="AC124" s="519"/>
      <c r="AD124" s="519"/>
      <c r="AE124" s="519"/>
      <c r="AF124" s="519"/>
      <c r="AG124" s="519"/>
      <c r="AH124" s="519"/>
      <c r="AI124" s="519"/>
      <c r="AJ124" s="519"/>
      <c r="AK124" s="519"/>
      <c r="AL124" s="519"/>
      <c r="AM124" s="519"/>
      <c r="AN124" s="519"/>
      <c r="AO124" s="519"/>
      <c r="AP124" s="519"/>
      <c r="AQ124" s="519"/>
      <c r="AR124" s="519"/>
      <c r="AS124" s="519"/>
      <c r="AT124" s="519"/>
      <c r="AU124" s="519"/>
      <c r="AV124" s="519"/>
      <c r="AW124" s="519"/>
      <c r="AX124" s="519"/>
      <c r="AY124" s="519"/>
      <c r="AZ124" s="519"/>
      <c r="BA124" s="519"/>
      <c r="BB124" s="519"/>
      <c r="BC124" s="519"/>
      <c r="BD124" s="519"/>
      <c r="BE124" s="519"/>
      <c r="BF124" s="519"/>
      <c r="BG124" s="519"/>
    </row>
    <row r="125" spans="1:59" s="201" customFormat="1" ht="12.75" customHeight="1">
      <c r="A125" s="112"/>
      <c r="B125" s="164"/>
      <c r="C125" s="23"/>
      <c r="D125" s="944" t="str">
        <f>VLOOKUP($F125,$F$224:$I$427,3,FALSE)</f>
        <v>FA91512/5L</v>
      </c>
      <c r="E125" s="56" t="str">
        <f>VLOOKUP($F125,$F$224:$I$427,2,FALSE)</f>
        <v>16140005</v>
      </c>
      <c r="F125" s="238" t="str">
        <f>IFERROR(VLOOKUP(F124,F335:AE352,26,FALSE),"")</f>
        <v>Solvent 1512 Clr 10 X 500Ml</v>
      </c>
      <c r="G125" s="145"/>
      <c r="H125" s="141" t="str">
        <f>IF(G125&gt;=1,VLOOKUP(F125,F$223:I$427,4,FALSE),"")</f>
        <v/>
      </c>
      <c r="I125" s="59" t="str">
        <f>IF(ISERROR(H125*G125),"",H125*G125)</f>
        <v/>
      </c>
      <c r="J125" s="118"/>
      <c r="K125" s="202"/>
      <c r="L125" s="917"/>
      <c r="M125" s="917"/>
      <c r="N125" s="519"/>
      <c r="O125" s="519"/>
      <c r="P125" s="519"/>
      <c r="Q125" s="519"/>
      <c r="R125" s="519"/>
      <c r="S125" s="519"/>
      <c r="T125" s="519"/>
      <c r="U125" s="519"/>
      <c r="V125" s="519"/>
      <c r="W125" s="519"/>
      <c r="X125" s="519"/>
      <c r="Y125" s="519"/>
      <c r="Z125" s="519"/>
      <c r="AA125" s="519"/>
      <c r="AB125" s="519"/>
      <c r="AC125" s="519"/>
      <c r="AD125" s="519"/>
      <c r="AE125" s="519"/>
      <c r="AF125" s="519"/>
      <c r="AG125" s="519"/>
      <c r="AH125" s="519"/>
      <c r="AI125" s="519"/>
      <c r="AJ125" s="519"/>
      <c r="AK125" s="519"/>
      <c r="AL125" s="519"/>
      <c r="AM125" s="519"/>
      <c r="AN125" s="519"/>
      <c r="AO125" s="519"/>
      <c r="AP125" s="519"/>
      <c r="AQ125" s="519"/>
      <c r="AR125" s="519"/>
      <c r="AS125" s="519"/>
      <c r="AT125" s="519"/>
      <c r="AU125" s="519"/>
      <c r="AV125" s="519"/>
      <c r="AW125" s="519"/>
      <c r="AX125" s="519"/>
      <c r="AY125" s="519"/>
      <c r="AZ125" s="519"/>
      <c r="BA125" s="519"/>
      <c r="BB125" s="519"/>
      <c r="BC125" s="519"/>
      <c r="BD125" s="519"/>
      <c r="BE125" s="519"/>
      <c r="BF125" s="519"/>
      <c r="BG125" s="519"/>
    </row>
    <row r="126" spans="1:59" s="201" customFormat="1" ht="12.75" customHeight="1">
      <c r="A126" s="112"/>
      <c r="B126" s="164"/>
      <c r="C126" s="461"/>
      <c r="D126" s="950"/>
      <c r="E126" s="462"/>
      <c r="F126" s="463"/>
      <c r="G126" s="463"/>
      <c r="H126" s="464"/>
      <c r="I126" s="454"/>
      <c r="J126" s="118"/>
      <c r="K126" s="202"/>
      <c r="L126" s="917"/>
      <c r="M126" s="917"/>
      <c r="N126" s="519"/>
      <c r="O126" s="519"/>
      <c r="P126" s="519"/>
      <c r="Q126" s="519"/>
      <c r="R126" s="519"/>
      <c r="S126" s="519"/>
      <c r="T126" s="519"/>
      <c r="U126" s="519"/>
      <c r="V126" s="519"/>
      <c r="W126" s="519"/>
      <c r="X126" s="519"/>
      <c r="Y126" s="519"/>
      <c r="Z126" s="519"/>
      <c r="AA126" s="519"/>
      <c r="AB126" s="519"/>
      <c r="AC126" s="519"/>
      <c r="AD126" s="519"/>
      <c r="AE126" s="519"/>
      <c r="AF126" s="519"/>
      <c r="AG126" s="519"/>
      <c r="AH126" s="519"/>
      <c r="AI126" s="519"/>
      <c r="AJ126" s="519"/>
      <c r="AK126" s="519"/>
      <c r="AL126" s="519"/>
      <c r="AM126" s="519"/>
      <c r="AN126" s="519"/>
      <c r="AO126" s="519"/>
      <c r="AP126" s="519"/>
      <c r="AQ126" s="519"/>
      <c r="AR126" s="519"/>
      <c r="AS126" s="519"/>
      <c r="AT126" s="519"/>
      <c r="AU126" s="519"/>
      <c r="AV126" s="519"/>
      <c r="AW126" s="519"/>
      <c r="AX126" s="519"/>
      <c r="AY126" s="519"/>
      <c r="AZ126" s="519"/>
      <c r="BA126" s="519"/>
      <c r="BB126" s="519"/>
      <c r="BC126" s="519"/>
      <c r="BD126" s="519"/>
      <c r="BE126" s="519"/>
      <c r="BF126" s="519"/>
      <c r="BG126" s="519"/>
    </row>
    <row r="127" spans="1:59" s="201" customFormat="1" ht="15">
      <c r="A127" s="112"/>
      <c r="B127"/>
      <c r="C127" s="455" t="s">
        <v>638</v>
      </c>
      <c r="D127" s="952"/>
      <c r="E127" s="456"/>
      <c r="F127" s="457"/>
      <c r="G127" s="458"/>
      <c r="H127" s="459"/>
      <c r="I127" s="460"/>
      <c r="J127" s="118"/>
      <c r="K127" s="202"/>
      <c r="L127" s="917"/>
      <c r="M127" s="917"/>
      <c r="N127" s="519"/>
      <c r="O127" s="519"/>
      <c r="P127" s="519"/>
      <c r="Q127" s="519"/>
      <c r="R127" s="519"/>
      <c r="S127" s="519"/>
      <c r="T127" s="519"/>
      <c r="U127" s="519"/>
      <c r="V127" s="519"/>
      <c r="W127" s="519"/>
      <c r="X127" s="519"/>
      <c r="Y127" s="519"/>
      <c r="Z127" s="519"/>
      <c r="AA127" s="519"/>
      <c r="AB127" s="519"/>
      <c r="AC127" s="519"/>
      <c r="AD127" s="519"/>
      <c r="AE127" s="519"/>
      <c r="AF127" s="519"/>
      <c r="AG127" s="519"/>
      <c r="AH127" s="519"/>
      <c r="AI127" s="519"/>
      <c r="AJ127" s="519"/>
      <c r="AK127" s="519"/>
      <c r="AL127" s="519"/>
      <c r="AM127" s="519"/>
      <c r="AN127" s="519"/>
      <c r="AO127" s="519"/>
      <c r="AP127" s="519"/>
      <c r="AQ127" s="519"/>
      <c r="AR127" s="519"/>
      <c r="AS127" s="519"/>
      <c r="AT127" s="519"/>
      <c r="AU127" s="519"/>
      <c r="AV127" s="519"/>
      <c r="AW127" s="519"/>
      <c r="AX127" s="519"/>
      <c r="AY127" s="519"/>
      <c r="AZ127" s="519"/>
      <c r="BA127" s="519"/>
      <c r="BB127" s="519"/>
      <c r="BC127" s="519"/>
      <c r="BD127" s="519"/>
      <c r="BE127" s="519"/>
      <c r="BF127" s="519"/>
      <c r="BG127" s="519"/>
    </row>
    <row r="128" spans="1:59" s="201" customFormat="1" ht="13.5" customHeight="1" thickBot="1">
      <c r="A128" s="112"/>
      <c r="B128"/>
      <c r="C128" s="40"/>
      <c r="D128" s="953">
        <f>VLOOKUP($F128,$F$224:$I$427,3,FALSE)</f>
        <v>0</v>
      </c>
      <c r="E128" s="10">
        <f>VLOOKUP($F128,$F$224:$I$427,2,FALSE)</f>
        <v>0</v>
      </c>
      <c r="F128" s="242" t="s">
        <v>559</v>
      </c>
      <c r="G128" s="150">
        <v>1</v>
      </c>
      <c r="H128" s="441">
        <f>IF(G128&gt;=1,VLOOKUP(F128,F$223:I$427,4,FALSE),"")</f>
        <v>150</v>
      </c>
      <c r="I128" s="442">
        <f>IF(ISERROR(H128*G128),"",H128*G128)</f>
        <v>150</v>
      </c>
      <c r="J128" s="118"/>
      <c r="K128" s="202"/>
      <c r="L128" s="917"/>
      <c r="M128" s="917"/>
      <c r="N128" s="519"/>
      <c r="O128" s="519"/>
      <c r="P128" s="519"/>
      <c r="Q128" s="519"/>
      <c r="R128" s="519"/>
      <c r="S128" s="519"/>
      <c r="T128" s="519"/>
      <c r="U128" s="519"/>
      <c r="V128" s="519"/>
      <c r="W128" s="519"/>
      <c r="X128" s="519"/>
      <c r="Y128" s="519"/>
      <c r="Z128" s="519"/>
      <c r="AA128" s="519"/>
      <c r="AB128" s="519"/>
      <c r="AC128" s="519"/>
      <c r="AD128" s="519"/>
      <c r="AE128" s="519"/>
      <c r="AF128" s="519"/>
      <c r="AG128" s="519"/>
      <c r="AH128" s="519"/>
      <c r="AI128" s="519"/>
      <c r="AJ128" s="519"/>
      <c r="AK128" s="519"/>
      <c r="AL128" s="519"/>
      <c r="AM128" s="519"/>
      <c r="AN128" s="519"/>
      <c r="AO128" s="519"/>
      <c r="AP128" s="519"/>
      <c r="AQ128" s="519"/>
      <c r="AR128" s="519"/>
      <c r="AS128" s="519"/>
      <c r="AT128" s="519"/>
      <c r="AU128" s="519"/>
      <c r="AV128" s="519"/>
      <c r="AW128" s="519"/>
      <c r="AX128" s="519"/>
      <c r="AY128" s="519"/>
      <c r="AZ128" s="519"/>
      <c r="BA128" s="519"/>
      <c r="BB128" s="519"/>
      <c r="BC128" s="519"/>
      <c r="BD128" s="519"/>
      <c r="BE128" s="519"/>
      <c r="BF128" s="519"/>
      <c r="BG128" s="519"/>
    </row>
    <row r="129" spans="1:59" s="201" customFormat="1" ht="13.5" thickBot="1">
      <c r="A129" s="112"/>
      <c r="B129"/>
      <c r="C129" s="1"/>
      <c r="D129" s="1"/>
      <c r="E129" s="1"/>
      <c r="F129"/>
      <c r="G129" s="2"/>
      <c r="H129" s="51" t="s">
        <v>42</v>
      </c>
      <c r="I129" s="246">
        <f>SUM(I117:I128)</f>
        <v>150</v>
      </c>
      <c r="J129" s="118"/>
      <c r="L129" s="519"/>
      <c r="M129" s="519"/>
      <c r="N129" s="519"/>
      <c r="O129" s="519"/>
      <c r="P129" s="519"/>
      <c r="Q129" s="519"/>
      <c r="R129" s="519"/>
      <c r="S129" s="519"/>
      <c r="T129" s="519"/>
      <c r="U129" s="519"/>
      <c r="V129" s="519"/>
      <c r="W129" s="519"/>
      <c r="X129" s="519"/>
      <c r="Y129" s="519"/>
      <c r="Z129" s="519"/>
      <c r="AA129" s="519"/>
      <c r="AB129" s="519"/>
      <c r="AC129" s="519"/>
      <c r="AD129" s="519"/>
      <c r="AE129" s="519"/>
      <c r="AF129" s="519"/>
      <c r="AG129" s="519"/>
      <c r="AH129" s="519"/>
      <c r="AI129" s="519"/>
      <c r="AJ129" s="519"/>
      <c r="AK129" s="519"/>
      <c r="AL129" s="519"/>
      <c r="AM129" s="519"/>
      <c r="AN129" s="519"/>
      <c r="AO129" s="519"/>
      <c r="AP129" s="519"/>
      <c r="AQ129" s="519"/>
      <c r="AR129" s="519"/>
      <c r="AS129" s="519"/>
      <c r="AT129" s="519"/>
      <c r="AU129" s="519"/>
      <c r="AV129" s="519"/>
      <c r="AW129" s="519"/>
      <c r="AX129" s="519"/>
      <c r="AY129" s="519"/>
      <c r="AZ129" s="519"/>
      <c r="BA129" s="519"/>
      <c r="BB129" s="519"/>
      <c r="BC129" s="519"/>
      <c r="BD129" s="519"/>
      <c r="BE129" s="519"/>
      <c r="BF129" s="519"/>
      <c r="BG129" s="519"/>
    </row>
    <row r="130" spans="1:59" s="201" customFormat="1" ht="13.5" thickBot="1">
      <c r="A130" s="112"/>
      <c r="B130"/>
      <c r="C130" s="1"/>
      <c r="D130" s="1"/>
      <c r="E130" s="1"/>
      <c r="F130"/>
      <c r="G130" s="2"/>
      <c r="H130" s="229"/>
      <c r="I130" s="230"/>
      <c r="J130" s="118"/>
      <c r="L130" s="519"/>
      <c r="M130" s="519"/>
      <c r="N130" s="519"/>
      <c r="O130" s="519"/>
      <c r="P130" s="519"/>
      <c r="Q130" s="519"/>
      <c r="R130" s="519"/>
      <c r="S130" s="519"/>
      <c r="T130" s="519"/>
      <c r="U130" s="519"/>
      <c r="V130" s="519"/>
      <c r="W130" s="519"/>
      <c r="X130" s="519"/>
      <c r="Y130" s="519"/>
      <c r="Z130" s="519"/>
      <c r="AA130" s="519"/>
      <c r="AB130" s="519"/>
      <c r="AC130" s="519"/>
      <c r="AD130" s="519"/>
      <c r="AE130" s="519"/>
      <c r="AF130" s="519"/>
      <c r="AG130" s="519"/>
      <c r="AH130" s="519"/>
      <c r="AI130" s="519"/>
      <c r="AJ130" s="519"/>
      <c r="AK130" s="519"/>
      <c r="AL130" s="519"/>
      <c r="AM130" s="519"/>
      <c r="AN130" s="519"/>
      <c r="AO130" s="519"/>
      <c r="AP130" s="519"/>
      <c r="AQ130" s="519"/>
      <c r="AR130" s="519"/>
      <c r="AS130" s="519"/>
      <c r="AT130" s="519"/>
      <c r="AU130" s="519"/>
      <c r="AV130" s="519"/>
      <c r="AW130" s="519"/>
      <c r="AX130" s="519"/>
      <c r="AY130" s="519"/>
      <c r="AZ130" s="519"/>
      <c r="BA130" s="519"/>
      <c r="BB130" s="519"/>
      <c r="BC130" s="519"/>
      <c r="BD130" s="519"/>
      <c r="BE130" s="519"/>
      <c r="BF130" s="519"/>
      <c r="BG130" s="519"/>
    </row>
    <row r="131" spans="1:59" s="201" customFormat="1" ht="16.5" thickBot="1">
      <c r="A131" s="112"/>
      <c r="B131"/>
      <c r="C131" s="80" t="s">
        <v>141</v>
      </c>
      <c r="D131" s="81"/>
      <c r="E131" s="81"/>
      <c r="F131" s="107"/>
      <c r="G131" s="83"/>
      <c r="H131" s="82"/>
      <c r="I131" s="84"/>
      <c r="J131" s="118"/>
      <c r="L131" s="519"/>
      <c r="M131" s="519"/>
      <c r="N131" s="519"/>
      <c r="O131" s="519"/>
      <c r="P131" s="519"/>
      <c r="Q131" s="519"/>
      <c r="R131" s="519"/>
      <c r="S131" s="519"/>
      <c r="T131" s="519"/>
      <c r="U131" s="519"/>
      <c r="V131" s="519"/>
      <c r="W131" s="519"/>
      <c r="X131" s="519"/>
      <c r="Y131" s="519"/>
      <c r="Z131" s="519"/>
      <c r="AA131" s="519"/>
      <c r="AB131" s="519"/>
      <c r="AC131" s="519"/>
      <c r="AD131" s="519"/>
      <c r="AE131" s="519"/>
      <c r="AF131" s="519"/>
      <c r="AG131" s="519"/>
      <c r="AH131" s="519"/>
      <c r="AI131" s="519"/>
      <c r="AJ131" s="519"/>
      <c r="AK131" s="519"/>
      <c r="AL131" s="519"/>
      <c r="AM131" s="519"/>
      <c r="AN131" s="519"/>
      <c r="AO131" s="519"/>
      <c r="AP131" s="519"/>
      <c r="AQ131" s="519"/>
      <c r="AR131" s="519"/>
      <c r="AS131" s="519"/>
      <c r="AT131" s="519"/>
      <c r="AU131" s="519"/>
      <c r="AV131" s="519"/>
      <c r="AW131" s="519"/>
      <c r="AX131" s="519"/>
      <c r="AY131" s="519"/>
      <c r="AZ131" s="519"/>
      <c r="BA131" s="519"/>
      <c r="BB131" s="519"/>
      <c r="BC131" s="519"/>
      <c r="BD131" s="519"/>
      <c r="BE131" s="519"/>
      <c r="BF131" s="519"/>
      <c r="BG131" s="519"/>
    </row>
    <row r="132" spans="1:59" s="201" customFormat="1" ht="4.5" customHeight="1" thickBot="1">
      <c r="A132" s="112"/>
      <c r="B132"/>
      <c r="C132"/>
      <c r="D132"/>
      <c r="E132"/>
      <c r="F132"/>
      <c r="G132"/>
      <c r="H132"/>
      <c r="I132"/>
      <c r="J132" s="118"/>
      <c r="L132" s="917"/>
      <c r="M132" s="917"/>
      <c r="N132" s="519"/>
      <c r="O132" s="519"/>
      <c r="P132" s="519"/>
      <c r="Q132" s="519"/>
      <c r="R132" s="519"/>
      <c r="S132" s="519"/>
      <c r="T132" s="519"/>
      <c r="U132" s="519"/>
      <c r="V132" s="519"/>
      <c r="W132" s="519"/>
      <c r="X132" s="519"/>
      <c r="Y132" s="519"/>
      <c r="Z132" s="519"/>
      <c r="AA132" s="519"/>
      <c r="AB132" s="519"/>
      <c r="AC132" s="519"/>
      <c r="AD132" s="519"/>
      <c r="AE132" s="519"/>
      <c r="AF132" s="519"/>
      <c r="AG132" s="519"/>
      <c r="AH132" s="519"/>
      <c r="AI132" s="519"/>
      <c r="AJ132" s="519"/>
      <c r="AK132" s="519"/>
      <c r="AL132" s="519"/>
      <c r="AM132" s="519"/>
      <c r="AN132" s="519"/>
      <c r="AO132" s="519"/>
      <c r="AP132" s="519"/>
      <c r="AQ132" s="519"/>
      <c r="AR132" s="519"/>
      <c r="AS132" s="519"/>
      <c r="AT132" s="519"/>
      <c r="AU132" s="519"/>
      <c r="AV132" s="519"/>
      <c r="AW132" s="519"/>
      <c r="AX132" s="519"/>
      <c r="AY132" s="519"/>
      <c r="AZ132" s="519"/>
      <c r="BA132" s="519"/>
      <c r="BB132" s="519"/>
      <c r="BC132" s="519"/>
      <c r="BD132" s="519"/>
      <c r="BE132" s="519"/>
      <c r="BF132" s="519"/>
      <c r="BG132" s="519"/>
    </row>
    <row r="133" spans="1:59" s="201" customFormat="1">
      <c r="A133" s="112"/>
      <c r="B133"/>
      <c r="C133" s="231"/>
      <c r="D133" s="954"/>
      <c r="E133" s="232"/>
      <c r="F133" s="233"/>
      <c r="G133" s="234">
        <v>1</v>
      </c>
      <c r="H133" s="235"/>
      <c r="I133" s="32">
        <f t="shared" ref="I133:I143" si="22">IF(ISERROR(H133*G133),"",H133*G133)</f>
        <v>0</v>
      </c>
      <c r="J133" s="118"/>
      <c r="L133" s="519"/>
      <c r="M133" s="519"/>
      <c r="N133" s="519"/>
      <c r="O133" s="519"/>
      <c r="P133" s="519"/>
      <c r="Q133" s="519"/>
      <c r="R133" s="519"/>
      <c r="S133" s="519"/>
      <c r="T133" s="519"/>
      <c r="U133" s="519"/>
      <c r="V133" s="519"/>
      <c r="W133" s="519"/>
      <c r="X133" s="519"/>
      <c r="Y133" s="519"/>
      <c r="Z133" s="519"/>
      <c r="AA133" s="519"/>
      <c r="AB133" s="519"/>
      <c r="AC133" s="519"/>
      <c r="AD133" s="519"/>
      <c r="AE133" s="519"/>
      <c r="AF133" s="519"/>
      <c r="AG133" s="519"/>
      <c r="AH133" s="519"/>
      <c r="AI133" s="519"/>
      <c r="AJ133" s="519"/>
      <c r="AK133" s="519"/>
      <c r="AL133" s="519"/>
      <c r="AM133" s="519"/>
      <c r="AN133" s="519"/>
      <c r="AO133" s="519"/>
      <c r="AP133" s="519"/>
      <c r="AQ133" s="519"/>
      <c r="AR133" s="519"/>
      <c r="AS133" s="519"/>
      <c r="AT133" s="519"/>
      <c r="AU133" s="519"/>
      <c r="AV133" s="519"/>
      <c r="AW133" s="519"/>
      <c r="AX133" s="519"/>
      <c r="AY133" s="519"/>
      <c r="AZ133" s="519"/>
      <c r="BA133" s="519"/>
      <c r="BB133" s="519"/>
      <c r="BC133" s="519"/>
      <c r="BD133" s="519"/>
      <c r="BE133" s="519"/>
      <c r="BF133" s="519"/>
      <c r="BG133" s="519"/>
    </row>
    <row r="134" spans="1:59" s="201" customFormat="1">
      <c r="A134" s="112"/>
      <c r="B134"/>
      <c r="C134" s="260"/>
      <c r="D134" s="955"/>
      <c r="E134" s="261"/>
      <c r="F134" s="262"/>
      <c r="G134" s="263">
        <v>1</v>
      </c>
      <c r="H134" s="264"/>
      <c r="I134" s="59">
        <f t="shared" si="22"/>
        <v>0</v>
      </c>
      <c r="J134" s="118"/>
      <c r="L134" s="519"/>
      <c r="M134" s="519"/>
      <c r="N134" s="519"/>
      <c r="O134" s="519"/>
      <c r="P134" s="519"/>
      <c r="Q134" s="519"/>
      <c r="R134" s="519"/>
      <c r="S134" s="519"/>
      <c r="T134" s="519"/>
      <c r="U134" s="519"/>
      <c r="V134" s="519"/>
      <c r="W134" s="519"/>
      <c r="X134" s="519"/>
      <c r="Y134" s="519"/>
      <c r="Z134" s="519"/>
      <c r="AA134" s="519"/>
      <c r="AB134" s="519"/>
      <c r="AC134" s="519"/>
      <c r="AD134" s="519"/>
      <c r="AE134" s="519"/>
      <c r="AF134" s="519"/>
      <c r="AG134" s="519"/>
      <c r="AH134" s="519"/>
      <c r="AI134" s="519"/>
      <c r="AJ134" s="519"/>
      <c r="AK134" s="519"/>
      <c r="AL134" s="519"/>
      <c r="AM134" s="519"/>
      <c r="AN134" s="519"/>
      <c r="AO134" s="519"/>
      <c r="AP134" s="519"/>
      <c r="AQ134" s="519"/>
      <c r="AR134" s="519"/>
      <c r="AS134" s="519"/>
      <c r="AT134" s="519"/>
      <c r="AU134" s="519"/>
      <c r="AV134" s="519"/>
      <c r="AW134" s="519"/>
      <c r="AX134" s="519"/>
      <c r="AY134" s="519"/>
      <c r="AZ134" s="519"/>
      <c r="BA134" s="519"/>
      <c r="BB134" s="519"/>
      <c r="BC134" s="519"/>
      <c r="BD134" s="519"/>
      <c r="BE134" s="519"/>
      <c r="BF134" s="519"/>
      <c r="BG134" s="519"/>
    </row>
    <row r="135" spans="1:59" s="201" customFormat="1">
      <c r="A135" s="112"/>
      <c r="B135"/>
      <c r="C135" s="260"/>
      <c r="D135" s="955"/>
      <c r="E135" s="261"/>
      <c r="F135" s="262"/>
      <c r="G135" s="263">
        <v>1</v>
      </c>
      <c r="H135" s="264"/>
      <c r="I135" s="59">
        <f t="shared" si="22"/>
        <v>0</v>
      </c>
      <c r="J135" s="118"/>
      <c r="L135" s="519"/>
      <c r="M135" s="519"/>
      <c r="N135" s="519"/>
      <c r="O135" s="519"/>
      <c r="P135" s="519"/>
      <c r="Q135" s="519"/>
      <c r="R135" s="519"/>
      <c r="S135" s="519"/>
      <c r="T135" s="519"/>
      <c r="U135" s="519"/>
      <c r="V135" s="519"/>
      <c r="W135" s="519"/>
      <c r="X135" s="519"/>
      <c r="Y135" s="519"/>
      <c r="Z135" s="519"/>
      <c r="AA135" s="519"/>
      <c r="AB135" s="519"/>
      <c r="AC135" s="519"/>
      <c r="AD135" s="519"/>
      <c r="AE135" s="519"/>
      <c r="AF135" s="519"/>
      <c r="AG135" s="519"/>
      <c r="AH135" s="519"/>
      <c r="AI135" s="519"/>
      <c r="AJ135" s="519"/>
      <c r="AK135" s="519"/>
      <c r="AL135" s="519"/>
      <c r="AM135" s="519"/>
      <c r="AN135" s="519"/>
      <c r="AO135" s="519"/>
      <c r="AP135" s="519"/>
      <c r="AQ135" s="519"/>
      <c r="AR135" s="519"/>
      <c r="AS135" s="519"/>
      <c r="AT135" s="519"/>
      <c r="AU135" s="519"/>
      <c r="AV135" s="519"/>
      <c r="AW135" s="519"/>
      <c r="AX135" s="519"/>
      <c r="AY135" s="519"/>
      <c r="AZ135" s="519"/>
      <c r="BA135" s="519"/>
      <c r="BB135" s="519"/>
      <c r="BC135" s="519"/>
      <c r="BD135" s="519"/>
      <c r="BE135" s="519"/>
      <c r="BF135" s="519"/>
      <c r="BG135" s="519"/>
    </row>
    <row r="136" spans="1:59" s="201" customFormat="1">
      <c r="A136" s="112"/>
      <c r="B136"/>
      <c r="C136" s="260"/>
      <c r="D136" s="955"/>
      <c r="E136" s="261"/>
      <c r="F136" s="262"/>
      <c r="G136" s="263">
        <v>1</v>
      </c>
      <c r="H136" s="264"/>
      <c r="I136" s="59">
        <f t="shared" si="22"/>
        <v>0</v>
      </c>
      <c r="J136" s="118"/>
      <c r="L136" s="519"/>
      <c r="M136" s="519"/>
      <c r="N136" s="519"/>
      <c r="O136" s="519"/>
      <c r="P136" s="519"/>
      <c r="Q136" s="519"/>
      <c r="R136" s="519"/>
      <c r="S136" s="519"/>
      <c r="T136" s="519"/>
      <c r="U136" s="519"/>
      <c r="V136" s="519"/>
      <c r="W136" s="519"/>
      <c r="X136" s="519"/>
      <c r="Y136" s="519"/>
      <c r="Z136" s="519"/>
      <c r="AA136" s="519"/>
      <c r="AB136" s="519"/>
      <c r="AC136" s="519"/>
      <c r="AD136" s="519"/>
      <c r="AE136" s="519"/>
      <c r="AF136" s="519"/>
      <c r="AG136" s="519"/>
      <c r="AH136" s="519"/>
      <c r="AI136" s="519"/>
      <c r="AJ136" s="519"/>
      <c r="AK136" s="519"/>
      <c r="AL136" s="519"/>
      <c r="AM136" s="519"/>
      <c r="AN136" s="519"/>
      <c r="AO136" s="519"/>
      <c r="AP136" s="519"/>
      <c r="AQ136" s="519"/>
      <c r="AR136" s="519"/>
      <c r="AS136" s="519"/>
      <c r="AT136" s="519"/>
      <c r="AU136" s="519"/>
      <c r="AV136" s="519"/>
      <c r="AW136" s="519"/>
      <c r="AX136" s="519"/>
      <c r="AY136" s="519"/>
      <c r="AZ136" s="519"/>
      <c r="BA136" s="519"/>
      <c r="BB136" s="519"/>
      <c r="BC136" s="519"/>
      <c r="BD136" s="519"/>
      <c r="BE136" s="519"/>
      <c r="BF136" s="519"/>
      <c r="BG136" s="519"/>
    </row>
    <row r="137" spans="1:59" s="201" customFormat="1">
      <c r="A137" s="112"/>
      <c r="B137"/>
      <c r="C137" s="260"/>
      <c r="D137" s="955"/>
      <c r="E137" s="261"/>
      <c r="F137" s="262"/>
      <c r="G137" s="263">
        <v>1</v>
      </c>
      <c r="H137" s="264"/>
      <c r="I137" s="59">
        <f t="shared" si="22"/>
        <v>0</v>
      </c>
      <c r="J137" s="118"/>
      <c r="L137" s="519"/>
      <c r="M137" s="519"/>
      <c r="N137" s="519"/>
      <c r="O137" s="519"/>
      <c r="P137" s="519"/>
      <c r="Q137" s="519"/>
      <c r="R137" s="519"/>
      <c r="S137" s="519"/>
      <c r="T137" s="519"/>
      <c r="U137" s="519"/>
      <c r="V137" s="519"/>
      <c r="W137" s="519"/>
      <c r="X137" s="519"/>
      <c r="Y137" s="519"/>
      <c r="Z137" s="519"/>
      <c r="AA137" s="519"/>
      <c r="AB137" s="519"/>
      <c r="AC137" s="519"/>
      <c r="AD137" s="519"/>
      <c r="AE137" s="519"/>
      <c r="AF137" s="519"/>
      <c r="AG137" s="519"/>
      <c r="AH137" s="519"/>
      <c r="AI137" s="519"/>
      <c r="AJ137" s="519"/>
      <c r="AK137" s="519"/>
      <c r="AL137" s="519"/>
      <c r="AM137" s="519"/>
      <c r="AN137" s="519"/>
      <c r="AO137" s="519"/>
      <c r="AP137" s="519"/>
      <c r="AQ137" s="519"/>
      <c r="AR137" s="519"/>
      <c r="AS137" s="519"/>
      <c r="AT137" s="519"/>
      <c r="AU137" s="519"/>
      <c r="AV137" s="519"/>
      <c r="AW137" s="519"/>
      <c r="AX137" s="519"/>
      <c r="AY137" s="519"/>
      <c r="AZ137" s="519"/>
      <c r="BA137" s="519"/>
      <c r="BB137" s="519"/>
      <c r="BC137" s="519"/>
      <c r="BD137" s="519"/>
      <c r="BE137" s="519"/>
      <c r="BF137" s="519"/>
      <c r="BG137" s="519"/>
    </row>
    <row r="138" spans="1:59" s="201" customFormat="1">
      <c r="A138" s="112"/>
      <c r="B138"/>
      <c r="C138" s="260"/>
      <c r="D138" s="955"/>
      <c r="E138" s="261"/>
      <c r="F138" s="262"/>
      <c r="G138" s="263">
        <v>1</v>
      </c>
      <c r="H138" s="264"/>
      <c r="I138" s="59">
        <f t="shared" si="22"/>
        <v>0</v>
      </c>
      <c r="J138" s="118"/>
      <c r="L138" s="519"/>
      <c r="M138" s="519"/>
      <c r="N138" s="519"/>
      <c r="O138" s="519"/>
      <c r="P138" s="519"/>
      <c r="Q138" s="519"/>
      <c r="R138" s="519"/>
      <c r="S138" s="519"/>
      <c r="T138" s="519"/>
      <c r="U138" s="519"/>
      <c r="V138" s="519"/>
      <c r="W138" s="519"/>
      <c r="X138" s="519"/>
      <c r="Y138" s="519"/>
      <c r="Z138" s="519"/>
      <c r="AA138" s="519"/>
      <c r="AB138" s="519"/>
      <c r="AC138" s="519"/>
      <c r="AD138" s="519"/>
      <c r="AE138" s="519"/>
      <c r="AF138" s="519"/>
      <c r="AG138" s="519"/>
      <c r="AH138" s="519"/>
      <c r="AI138" s="519"/>
      <c r="AJ138" s="519"/>
      <c r="AK138" s="519"/>
      <c r="AL138" s="519"/>
      <c r="AM138" s="519"/>
      <c r="AN138" s="519"/>
      <c r="AO138" s="519"/>
      <c r="AP138" s="519"/>
      <c r="AQ138" s="519"/>
      <c r="AR138" s="519"/>
      <c r="AS138" s="519"/>
      <c r="AT138" s="519"/>
      <c r="AU138" s="519"/>
      <c r="AV138" s="519"/>
      <c r="AW138" s="519"/>
      <c r="AX138" s="519"/>
      <c r="AY138" s="519"/>
      <c r="AZ138" s="519"/>
      <c r="BA138" s="519"/>
      <c r="BB138" s="519"/>
      <c r="BC138" s="519"/>
      <c r="BD138" s="519"/>
      <c r="BE138" s="519"/>
      <c r="BF138" s="519"/>
      <c r="BG138" s="519"/>
    </row>
    <row r="139" spans="1:59" s="201" customFormat="1">
      <c r="A139" s="112"/>
      <c r="B139"/>
      <c r="C139" s="260"/>
      <c r="D139" s="955"/>
      <c r="E139" s="261"/>
      <c r="F139" s="262"/>
      <c r="G139" s="263">
        <v>1</v>
      </c>
      <c r="H139" s="264"/>
      <c r="I139" s="59">
        <f t="shared" si="22"/>
        <v>0</v>
      </c>
      <c r="J139" s="118"/>
      <c r="L139" s="519"/>
      <c r="M139" s="519"/>
      <c r="N139" s="519"/>
      <c r="O139" s="519"/>
      <c r="P139" s="519"/>
      <c r="Q139" s="519"/>
      <c r="R139" s="519"/>
      <c r="S139" s="519"/>
      <c r="T139" s="519"/>
      <c r="U139" s="519"/>
      <c r="V139" s="519"/>
      <c r="W139" s="519"/>
      <c r="X139" s="519"/>
      <c r="Y139" s="519"/>
      <c r="Z139" s="519"/>
      <c r="AA139" s="519"/>
      <c r="AB139" s="519"/>
      <c r="AC139" s="519"/>
      <c r="AD139" s="519"/>
      <c r="AE139" s="519"/>
      <c r="AF139" s="519"/>
      <c r="AG139" s="519"/>
      <c r="AH139" s="519"/>
      <c r="AI139" s="519"/>
      <c r="AJ139" s="519"/>
      <c r="AK139" s="519"/>
      <c r="AL139" s="519"/>
      <c r="AM139" s="519"/>
      <c r="AN139" s="519"/>
      <c r="AO139" s="519"/>
      <c r="AP139" s="519"/>
      <c r="AQ139" s="519"/>
      <c r="AR139" s="519"/>
      <c r="AS139" s="519"/>
      <c r="AT139" s="519"/>
      <c r="AU139" s="519"/>
      <c r="AV139" s="519"/>
      <c r="AW139" s="519"/>
      <c r="AX139" s="519"/>
      <c r="AY139" s="519"/>
      <c r="AZ139" s="519"/>
      <c r="BA139" s="519"/>
      <c r="BB139" s="519"/>
      <c r="BC139" s="519"/>
      <c r="BD139" s="519"/>
      <c r="BE139" s="519"/>
      <c r="BF139" s="519"/>
      <c r="BG139" s="519"/>
    </row>
    <row r="140" spans="1:59" s="201" customFormat="1">
      <c r="A140" s="112"/>
      <c r="B140"/>
      <c r="C140" s="260"/>
      <c r="D140" s="955"/>
      <c r="E140" s="261"/>
      <c r="F140" s="262"/>
      <c r="G140" s="263">
        <v>1</v>
      </c>
      <c r="H140" s="264"/>
      <c r="I140" s="59">
        <f t="shared" si="22"/>
        <v>0</v>
      </c>
      <c r="J140" s="118"/>
      <c r="L140" s="519"/>
      <c r="M140" s="519"/>
      <c r="N140" s="519"/>
      <c r="O140" s="519"/>
      <c r="P140" s="519"/>
      <c r="Q140" s="519"/>
      <c r="R140" s="519"/>
      <c r="S140" s="519"/>
      <c r="T140" s="519"/>
      <c r="U140" s="519"/>
      <c r="V140" s="519"/>
      <c r="W140" s="519"/>
      <c r="X140" s="519"/>
      <c r="Y140" s="519"/>
      <c r="Z140" s="519"/>
      <c r="AA140" s="519"/>
      <c r="AB140" s="519"/>
      <c r="AC140" s="519"/>
      <c r="AD140" s="519"/>
      <c r="AE140" s="519"/>
      <c r="AF140" s="519"/>
      <c r="AG140" s="519"/>
      <c r="AH140" s="519"/>
      <c r="AI140" s="519"/>
      <c r="AJ140" s="519"/>
      <c r="AK140" s="519"/>
      <c r="AL140" s="519"/>
      <c r="AM140" s="519"/>
      <c r="AN140" s="519"/>
      <c r="AO140" s="519"/>
      <c r="AP140" s="519"/>
      <c r="AQ140" s="519"/>
      <c r="AR140" s="519"/>
      <c r="AS140" s="519"/>
      <c r="AT140" s="519"/>
      <c r="AU140" s="519"/>
      <c r="AV140" s="519"/>
      <c r="AW140" s="519"/>
      <c r="AX140" s="519"/>
      <c r="AY140" s="519"/>
      <c r="AZ140" s="519"/>
      <c r="BA140" s="519"/>
      <c r="BB140" s="519"/>
      <c r="BC140" s="519"/>
      <c r="BD140" s="519"/>
      <c r="BE140" s="519"/>
      <c r="BF140" s="519"/>
      <c r="BG140" s="519"/>
    </row>
    <row r="141" spans="1:59" s="201" customFormat="1">
      <c r="A141" s="112"/>
      <c r="B141"/>
      <c r="C141" s="260"/>
      <c r="D141" s="955"/>
      <c r="E141" s="261"/>
      <c r="F141" s="262"/>
      <c r="G141" s="263">
        <v>1</v>
      </c>
      <c r="H141" s="264"/>
      <c r="I141" s="59">
        <f t="shared" si="22"/>
        <v>0</v>
      </c>
      <c r="J141" s="118"/>
      <c r="L141" s="519"/>
      <c r="M141" s="519"/>
      <c r="N141" s="519"/>
      <c r="O141" s="519"/>
      <c r="P141" s="519"/>
      <c r="Q141" s="519"/>
      <c r="R141" s="519"/>
      <c r="S141" s="519"/>
      <c r="T141" s="519"/>
      <c r="U141" s="519"/>
      <c r="V141" s="519"/>
      <c r="W141" s="519"/>
      <c r="X141" s="519"/>
      <c r="Y141" s="519"/>
      <c r="Z141" s="519"/>
      <c r="AA141" s="519"/>
      <c r="AB141" s="519"/>
      <c r="AC141" s="519"/>
      <c r="AD141" s="519"/>
      <c r="AE141" s="519"/>
      <c r="AF141" s="519"/>
      <c r="AG141" s="519"/>
      <c r="AH141" s="519"/>
      <c r="AI141" s="519"/>
      <c r="AJ141" s="519"/>
      <c r="AK141" s="519"/>
      <c r="AL141" s="519"/>
      <c r="AM141" s="519"/>
      <c r="AN141" s="519"/>
      <c r="AO141" s="519"/>
      <c r="AP141" s="519"/>
      <c r="AQ141" s="519"/>
      <c r="AR141" s="519"/>
      <c r="AS141" s="519"/>
      <c r="AT141" s="519"/>
      <c r="AU141" s="519"/>
      <c r="AV141" s="519"/>
      <c r="AW141" s="519"/>
      <c r="AX141" s="519"/>
      <c r="AY141" s="519"/>
      <c r="AZ141" s="519"/>
      <c r="BA141" s="519"/>
      <c r="BB141" s="519"/>
      <c r="BC141" s="519"/>
      <c r="BD141" s="519"/>
      <c r="BE141" s="519"/>
      <c r="BF141" s="519"/>
      <c r="BG141" s="519"/>
    </row>
    <row r="142" spans="1:59" s="201" customFormat="1">
      <c r="A142" s="112"/>
      <c r="B142"/>
      <c r="C142" s="236"/>
      <c r="D142" s="467"/>
      <c r="E142" s="237"/>
      <c r="F142" s="238"/>
      <c r="G142" s="145">
        <v>1</v>
      </c>
      <c r="H142" s="239"/>
      <c r="I142" s="59">
        <f t="shared" si="22"/>
        <v>0</v>
      </c>
      <c r="J142" s="118"/>
      <c r="L142" s="519"/>
      <c r="M142" s="519"/>
      <c r="N142" s="519"/>
      <c r="O142" s="519"/>
      <c r="P142" s="519"/>
      <c r="Q142" s="519"/>
      <c r="R142" s="519"/>
      <c r="S142" s="519"/>
      <c r="T142" s="519"/>
      <c r="U142" s="519"/>
      <c r="V142" s="519"/>
      <c r="W142" s="519"/>
      <c r="X142" s="519"/>
      <c r="Y142" s="519"/>
      <c r="Z142" s="519"/>
      <c r="AA142" s="519"/>
      <c r="AB142" s="519"/>
      <c r="AC142" s="519"/>
      <c r="AD142" s="519"/>
      <c r="AE142" s="519"/>
      <c r="AF142" s="519"/>
      <c r="AG142" s="519"/>
      <c r="AH142" s="519"/>
      <c r="AI142" s="519"/>
      <c r="AJ142" s="519"/>
      <c r="AK142" s="519"/>
      <c r="AL142" s="519"/>
      <c r="AM142" s="519"/>
      <c r="AN142" s="519"/>
      <c r="AO142" s="519"/>
      <c r="AP142" s="519"/>
      <c r="AQ142" s="519"/>
      <c r="AR142" s="519"/>
      <c r="AS142" s="519"/>
      <c r="AT142" s="519"/>
      <c r="AU142" s="519"/>
      <c r="AV142" s="519"/>
      <c r="AW142" s="519"/>
      <c r="AX142" s="519"/>
      <c r="AY142" s="519"/>
      <c r="AZ142" s="519"/>
      <c r="BA142" s="519"/>
      <c r="BB142" s="519"/>
      <c r="BC142" s="519"/>
      <c r="BD142" s="519"/>
      <c r="BE142" s="519"/>
      <c r="BF142" s="519"/>
      <c r="BG142" s="519"/>
    </row>
    <row r="143" spans="1:59" s="201" customFormat="1" ht="13.5" thickBot="1">
      <c r="A143" s="112"/>
      <c r="B143"/>
      <c r="C143" s="240"/>
      <c r="D143" s="956"/>
      <c r="E143" s="241"/>
      <c r="F143" s="242"/>
      <c r="G143" s="150">
        <v>1</v>
      </c>
      <c r="H143" s="243"/>
      <c r="I143" s="12">
        <f t="shared" si="22"/>
        <v>0</v>
      </c>
      <c r="J143" s="118"/>
      <c r="L143" s="519"/>
      <c r="M143" s="519"/>
      <c r="N143" s="519"/>
      <c r="O143" s="519"/>
      <c r="P143" s="519"/>
      <c r="Q143" s="519"/>
      <c r="R143" s="519"/>
      <c r="S143" s="519"/>
      <c r="T143" s="519"/>
      <c r="U143" s="519"/>
      <c r="V143" s="519"/>
      <c r="W143" s="519"/>
      <c r="X143" s="519"/>
      <c r="Y143" s="519"/>
      <c r="Z143" s="519"/>
      <c r="AA143" s="519"/>
      <c r="AB143" s="519"/>
      <c r="AC143" s="519"/>
      <c r="AD143" s="519"/>
      <c r="AE143" s="519"/>
      <c r="AF143" s="519"/>
      <c r="AG143" s="519"/>
      <c r="AH143" s="519"/>
      <c r="AI143" s="519"/>
      <c r="AJ143" s="519"/>
      <c r="AK143" s="519"/>
      <c r="AL143" s="519"/>
      <c r="AM143" s="519"/>
      <c r="AN143" s="519"/>
      <c r="AO143" s="519"/>
      <c r="AP143" s="519"/>
      <c r="AQ143" s="519"/>
      <c r="AR143" s="519"/>
      <c r="AS143" s="519"/>
      <c r="AT143" s="519"/>
      <c r="AU143" s="519"/>
      <c r="AV143" s="519"/>
      <c r="AW143" s="519"/>
      <c r="AX143" s="519"/>
      <c r="AY143" s="519"/>
      <c r="AZ143" s="519"/>
      <c r="BA143" s="519"/>
      <c r="BB143" s="519"/>
      <c r="BC143" s="519"/>
      <c r="BD143" s="519"/>
      <c r="BE143" s="519"/>
      <c r="BF143" s="519"/>
      <c r="BG143" s="519"/>
    </row>
    <row r="144" spans="1:59" s="201" customFormat="1" ht="13.5" thickBot="1">
      <c r="A144" s="112"/>
      <c r="B144"/>
      <c r="C144" s="434"/>
      <c r="D144" s="434" t="s">
        <v>144</v>
      </c>
      <c r="E144" s="435">
        <f>ROUND(SUM(I17:I30),0)</f>
        <v>0</v>
      </c>
      <c r="F144"/>
      <c r="G144" s="2"/>
      <c r="H144" s="51" t="s">
        <v>42</v>
      </c>
      <c r="I144" s="246">
        <f>SUM(I133:I143)</f>
        <v>0</v>
      </c>
      <c r="J144" s="118"/>
      <c r="L144" s="519"/>
      <c r="M144" s="519"/>
      <c r="N144" s="519"/>
      <c r="O144" s="519"/>
      <c r="P144" s="519"/>
      <c r="Q144" s="519"/>
      <c r="R144" s="519"/>
      <c r="S144" s="519"/>
      <c r="T144" s="519"/>
      <c r="U144" s="519"/>
      <c r="V144" s="519"/>
      <c r="W144" s="519"/>
      <c r="X144" s="519"/>
      <c r="Y144" s="519"/>
      <c r="Z144" s="519"/>
      <c r="AA144" s="519"/>
      <c r="AB144" s="519"/>
      <c r="AC144" s="519"/>
      <c r="AD144" s="519"/>
      <c r="AE144" s="519"/>
      <c r="AF144" s="519"/>
      <c r="AG144" s="519"/>
      <c r="AH144" s="519"/>
      <c r="AI144" s="519"/>
      <c r="AJ144" s="519"/>
      <c r="AK144" s="519"/>
      <c r="AL144" s="519"/>
      <c r="AM144" s="519"/>
      <c r="AN144" s="519"/>
      <c r="AO144" s="519"/>
      <c r="AP144" s="519"/>
      <c r="AQ144" s="519"/>
      <c r="AR144" s="519"/>
      <c r="AS144" s="519"/>
      <c r="AT144" s="519"/>
      <c r="AU144" s="519"/>
      <c r="AV144" s="519"/>
      <c r="AW144" s="519"/>
      <c r="AX144" s="519"/>
      <c r="AY144" s="519"/>
      <c r="AZ144" s="519"/>
      <c r="BA144" s="519"/>
      <c r="BB144" s="519"/>
      <c r="BC144" s="519"/>
      <c r="BD144" s="519"/>
      <c r="BE144" s="519"/>
      <c r="BF144" s="519"/>
      <c r="BG144" s="519"/>
    </row>
    <row r="145" spans="2:10" ht="13.5" thickBot="1">
      <c r="B145"/>
      <c r="C145" s="434"/>
      <c r="D145" s="434" t="s">
        <v>584</v>
      </c>
      <c r="E145" s="435">
        <f>ROUND(SUM(I144,I129,I111,I97,I73,I49),0)</f>
        <v>150</v>
      </c>
      <c r="F145"/>
      <c r="G145" s="2"/>
      <c r="H145" s="229"/>
      <c r="I145" s="230"/>
      <c r="J145" s="118"/>
    </row>
    <row r="146" spans="2:10" ht="13.5" hidden="1" thickBot="1">
      <c r="B146"/>
      <c r="C146" s="436"/>
      <c r="D146" s="436"/>
      <c r="E146" s="437"/>
      <c r="F146" s="189" t="s">
        <v>102</v>
      </c>
      <c r="G146" s="2"/>
      <c r="H146" s="71" t="s">
        <v>101</v>
      </c>
      <c r="I146" s="188">
        <f>'Install Guide'!H25</f>
        <v>0</v>
      </c>
      <c r="J146" s="118"/>
    </row>
    <row r="147" spans="2:10" ht="13.5" hidden="1" thickBot="1">
      <c r="B147"/>
      <c r="C147" s="434"/>
      <c r="D147" s="434"/>
      <c r="E147" s="437"/>
      <c r="F147"/>
      <c r="G147" s="2"/>
      <c r="H147" s="38"/>
      <c r="I147" s="39"/>
      <c r="J147" s="118"/>
    </row>
    <row r="148" spans="2:10" ht="13.5" thickBot="1">
      <c r="B148"/>
      <c r="C148" s="434"/>
      <c r="D148" s="434" t="s">
        <v>585</v>
      </c>
      <c r="E148" s="435">
        <f>ROUND(I170-E145,0)</f>
        <v>-150</v>
      </c>
      <c r="F148"/>
      <c r="G148" s="2"/>
      <c r="H148" s="71" t="s">
        <v>41</v>
      </c>
      <c r="I148" s="245">
        <f>ROUND(SUM(I97,I111,I129,I146,I31,I144,I49,I73),0)</f>
        <v>150</v>
      </c>
      <c r="J148" s="118"/>
    </row>
    <row r="149" spans="2:10" ht="13.5" thickBot="1">
      <c r="B149"/>
      <c r="C149" s="434"/>
      <c r="D149" s="434" t="s">
        <v>586</v>
      </c>
      <c r="E149" s="440" t="e">
        <f>ROUND((E148/E144)-1,4)</f>
        <v>#DIV/0!</v>
      </c>
      <c r="F149" s="111"/>
      <c r="G149" s="2"/>
      <c r="H149" s="2"/>
      <c r="I149" s="2"/>
      <c r="J149" s="119"/>
    </row>
    <row r="150" spans="2:10" ht="16.5" thickBot="1">
      <c r="B150"/>
      <c r="C150" s="434"/>
      <c r="D150" s="434" t="s">
        <v>586</v>
      </c>
      <c r="E150" s="438" t="str">
        <f>IF(D157="Y","",IF(I150&gt;10%,"Warning this is above the maximum allowable discount for a 4900!",""))</f>
        <v/>
      </c>
      <c r="F150" s="111"/>
      <c r="G150" s="2"/>
      <c r="H150" s="151" t="s">
        <v>73</v>
      </c>
      <c r="I150" s="439"/>
      <c r="J150" s="119"/>
    </row>
    <row r="151" spans="2:10" ht="16.5" thickBot="1">
      <c r="B151"/>
      <c r="C151" s="1"/>
      <c r="D151" s="992"/>
      <c r="E151" s="992"/>
      <c r="F151" s="143" t="str">
        <f>IF(AND(D157="Y",I150&gt;10%),"Special Discount Approved by Sales Manager",IF(I150&gt;10%,"Pending Approval",""))</f>
        <v/>
      </c>
      <c r="G151"/>
      <c r="H151"/>
      <c r="I151"/>
      <c r="J151" s="119"/>
    </row>
    <row r="152" spans="2:10" ht="13.5" thickBot="1">
      <c r="B152"/>
      <c r="C152" s="1"/>
      <c r="D152" s="1"/>
      <c r="E152" s="1"/>
      <c r="F152"/>
      <c r="G152"/>
      <c r="H152" s="102" t="s">
        <v>41</v>
      </c>
      <c r="I152" s="245">
        <f>ROUND((I31*(1-I150))+SUM(I129,I111,I97,I144,I49,I73),0)</f>
        <v>150</v>
      </c>
      <c r="J152" s="119"/>
    </row>
    <row r="153" spans="2:10">
      <c r="B153"/>
      <c r="C153" s="1"/>
      <c r="D153" s="1"/>
      <c r="E153" s="1"/>
      <c r="F153"/>
      <c r="G153" s="2"/>
      <c r="H153"/>
      <c r="I153"/>
      <c r="J153" s="118"/>
    </row>
    <row r="154" spans="2:10" ht="16.5" hidden="1" thickBot="1">
      <c r="B154"/>
      <c r="C154" s="80"/>
      <c r="D154" s="80" t="s">
        <v>10</v>
      </c>
      <c r="E154" s="81"/>
      <c r="F154" s="82"/>
      <c r="G154" s="83"/>
      <c r="H154" s="82"/>
      <c r="I154" s="84"/>
      <c r="J154" s="118"/>
    </row>
    <row r="155" spans="2:10" ht="6" hidden="1" customHeight="1" thickBot="1">
      <c r="B155" s="1"/>
      <c r="C155" s="1"/>
      <c r="D155" s="1"/>
      <c r="E155" s="1"/>
      <c r="F155" s="1"/>
      <c r="G155" s="1"/>
      <c r="H155" s="1"/>
      <c r="I155" s="1"/>
      <c r="J155" s="1"/>
    </row>
    <row r="156" spans="2:10" ht="103.5" hidden="1" customHeight="1" thickBot="1">
      <c r="B156"/>
      <c r="C156"/>
      <c r="D156" s="1641" t="s">
        <v>64</v>
      </c>
      <c r="E156" s="1642"/>
      <c r="F156" s="1642"/>
      <c r="G156" s="1642"/>
      <c r="H156" s="1642"/>
      <c r="I156" s="1643"/>
      <c r="J156" s="118"/>
    </row>
    <row r="157" spans="2:10" ht="13.5" hidden="1" thickBot="1">
      <c r="B157"/>
      <c r="C157" s="417"/>
      <c r="D157" s="417"/>
      <c r="E157" s="417"/>
      <c r="F157" s="205"/>
      <c r="G157" s="2"/>
      <c r="H157"/>
      <c r="I157"/>
      <c r="J157" s="118"/>
    </row>
    <row r="158" spans="2:10" ht="13.5" hidden="1" thickBot="1">
      <c r="B158"/>
      <c r="C158" s="109"/>
      <c r="D158" s="109"/>
      <c r="E158" s="109"/>
      <c r="F158" s="120"/>
      <c r="G158" s="120"/>
      <c r="H158" s="120"/>
      <c r="I158" s="120"/>
      <c r="J158" s="118"/>
    </row>
    <row r="159" spans="2:10" ht="16.5" hidden="1" thickBot="1">
      <c r="B159"/>
      <c r="C159" s="80" t="s">
        <v>117</v>
      </c>
      <c r="D159" s="81"/>
      <c r="E159" s="81"/>
      <c r="F159" s="82"/>
      <c r="G159" s="83"/>
      <c r="H159" s="82"/>
      <c r="I159" s="84"/>
      <c r="J159" s="118"/>
    </row>
    <row r="160" spans="2:10" ht="7.5" hidden="1" customHeight="1" thickBot="1">
      <c r="B160"/>
      <c r="C160" s="109"/>
      <c r="D160" s="109"/>
      <c r="E160" s="109"/>
      <c r="F160" s="120"/>
      <c r="G160" s="120"/>
      <c r="H160" s="120"/>
      <c r="I160" s="120"/>
      <c r="J160" s="118"/>
    </row>
    <row r="161" spans="2:10" ht="13.5" hidden="1" customHeight="1" thickBot="1">
      <c r="B161"/>
      <c r="C161" s="1661" t="s">
        <v>119</v>
      </c>
      <c r="D161" s="1662"/>
      <c r="E161" s="1662"/>
      <c r="F161" s="1662"/>
      <c r="G161" s="1662"/>
      <c r="H161" s="1662"/>
      <c r="I161" s="1663"/>
      <c r="J161" s="118"/>
    </row>
    <row r="162" spans="2:10" ht="12.75" hidden="1" customHeight="1">
      <c r="B162"/>
      <c r="C162" s="1664" t="s">
        <v>64</v>
      </c>
      <c r="D162" s="1665"/>
      <c r="E162" s="1665"/>
      <c r="F162" s="1665"/>
      <c r="G162" s="1665"/>
      <c r="H162" s="1665"/>
      <c r="I162" s="1666"/>
      <c r="J162" s="118"/>
    </row>
    <row r="163" spans="2:10" hidden="1">
      <c r="B163"/>
      <c r="C163" s="1664"/>
      <c r="D163" s="1665"/>
      <c r="E163" s="1665"/>
      <c r="F163" s="1665"/>
      <c r="G163" s="1665"/>
      <c r="H163" s="1665"/>
      <c r="I163" s="1666"/>
      <c r="J163" s="118"/>
    </row>
    <row r="164" spans="2:10" ht="12.75" hidden="1" customHeight="1">
      <c r="B164"/>
      <c r="C164" s="1664"/>
      <c r="D164" s="1665"/>
      <c r="E164" s="1665"/>
      <c r="F164" s="1665"/>
      <c r="G164" s="1665"/>
      <c r="H164" s="1665"/>
      <c r="I164" s="1666"/>
      <c r="J164" s="118"/>
    </row>
    <row r="165" spans="2:10" hidden="1">
      <c r="B165"/>
      <c r="C165" s="1664"/>
      <c r="D165" s="1665"/>
      <c r="E165" s="1665"/>
      <c r="F165" s="1665"/>
      <c r="G165" s="1665"/>
      <c r="H165" s="1665"/>
      <c r="I165" s="1666"/>
      <c r="J165" s="118"/>
    </row>
    <row r="166" spans="2:10" hidden="1">
      <c r="B166"/>
      <c r="C166" s="1664"/>
      <c r="D166" s="1665"/>
      <c r="E166" s="1665"/>
      <c r="F166" s="1665"/>
      <c r="G166" s="1665"/>
      <c r="H166" s="1665"/>
      <c r="I166" s="1666"/>
      <c r="J166" s="118"/>
    </row>
    <row r="167" spans="2:10" ht="13.5" hidden="1" thickBot="1">
      <c r="B167"/>
      <c r="C167" s="1667"/>
      <c r="D167" s="1668"/>
      <c r="E167" s="1668"/>
      <c r="F167" s="1668"/>
      <c r="G167" s="1668"/>
      <c r="H167" s="1668"/>
      <c r="I167" s="1669"/>
      <c r="J167" s="118"/>
    </row>
    <row r="168" spans="2:10">
      <c r="B168"/>
      <c r="C168" s="991"/>
      <c r="D168" s="991"/>
      <c r="E168" s="991"/>
      <c r="F168" s="991"/>
      <c r="G168" s="991"/>
      <c r="H168" s="991"/>
      <c r="I168" s="991"/>
      <c r="J168" s="118"/>
    </row>
    <row r="169" spans="2:10" ht="13.5" thickBot="1">
      <c r="B169"/>
      <c r="C169" s="349" t="s">
        <v>1129</v>
      </c>
      <c r="D169" s="350" t="str">
        <f>IFERROR(((IF(I167="","", IF(E167&gt;0%,"Extra Charged", IF(ABS(E167)&lt;=F7,"Tier 1",IF(ABS(E167)&lt;=F6,"Tier 2","No qualification")))))),"No Price Entered")</f>
        <v/>
      </c>
      <c r="E169" s="1010" t="str">
        <f>IF(D9="","", D9)</f>
        <v/>
      </c>
      <c r="F169" s="222"/>
      <c r="G169" s="120"/>
      <c r="H169" s="120"/>
      <c r="I169" s="120"/>
      <c r="J169" s="118"/>
    </row>
    <row r="170" spans="2:10" ht="13.5" thickBot="1">
      <c r="B170"/>
      <c r="C170" s="349" t="s">
        <v>144</v>
      </c>
      <c r="D170" s="350" t="str">
        <f>IFERROR(((IF(I168="","", IF(E168&gt;0%,"Extra Charged", IF(ABS(E168)&lt;=F8,"Tier 1",IF(ABS(E168)&lt;=F7,"Tier 2","No qualification")))))),"No Price Entered")</f>
        <v/>
      </c>
      <c r="E170" s="266" t="str">
        <f>IF(I170="","",IF(I170=0,"",ROUND(E149,4)))</f>
        <v/>
      </c>
      <c r="F170" s="267" t="e">
        <f>((I170-SUM(I144,I129,I111,I97,I30,#REF!,#REF!,#REF!,I24,I23,I22,I18))/(SUM(D157:E157)))-1</f>
        <v>#REF!</v>
      </c>
      <c r="G170" s="343"/>
      <c r="H170" s="223" t="s">
        <v>118</v>
      </c>
      <c r="I170" s="326"/>
      <c r="J170" s="118"/>
    </row>
    <row r="171" spans="2:10">
      <c r="B171"/>
      <c r="C171" s="349" t="s">
        <v>74</v>
      </c>
      <c r="D171" s="350" t="str">
        <f>IFERROR(((IF(I169="","", IF(E169&gt;0%,"Extra Charged", IF(ABS(E169)&lt;=F9,"Tier 1",IF(ABS(E169)&lt;=F8,"Tier 2","No qualification")))))),"No Price Entered")</f>
        <v/>
      </c>
      <c r="E171" s="266" t="str">
        <f>IF(I170="","",IF(I170=0,"",ROUND(F171,4)))</f>
        <v/>
      </c>
      <c r="F171" s="267">
        <f>(I170/I148)-1</f>
        <v>-1</v>
      </c>
      <c r="G171" s="343"/>
      <c r="H171" s="120"/>
      <c r="I171" s="120"/>
      <c r="J171" s="118"/>
    </row>
    <row r="172" spans="2:10">
      <c r="B172"/>
      <c r="C172" s="350"/>
      <c r="D172" s="350" t="str">
        <f>IFERROR(((IF(I170="","", IF(E169="IBTO", "tier 2", IF(E170&gt;0%,"Extra Charged", IF(ABS(E170)&lt;=F10,"Tier 1",IF(ABS(E170)&lt;=F9,"Tier 2","No qualification"))))))),"No Price Entered")</f>
        <v/>
      </c>
      <c r="E172" s="418" t="str">
        <f>IF(D172="Extra Charged", I170-I148, "")</f>
        <v/>
      </c>
      <c r="F172" s="444"/>
      <c r="G172" s="120"/>
      <c r="H172" s="120"/>
      <c r="I172" s="120"/>
      <c r="J172" s="118"/>
    </row>
    <row r="173" spans="2:10">
      <c r="B173"/>
      <c r="C173" s="350"/>
      <c r="D173" s="350"/>
      <c r="E173" s="418"/>
      <c r="F173" s="444"/>
      <c r="G173" s="120"/>
      <c r="H173" s="120"/>
      <c r="I173" s="120"/>
      <c r="J173" s="118"/>
    </row>
    <row r="174" spans="2:10">
      <c r="B174"/>
      <c r="C174" s="350"/>
      <c r="D174" s="350"/>
      <c r="E174" s="418"/>
      <c r="F174" s="444"/>
      <c r="G174" s="120"/>
      <c r="H174" s="120"/>
      <c r="I174" s="120"/>
      <c r="J174" s="118"/>
    </row>
    <row r="175" spans="2:10">
      <c r="B175"/>
      <c r="C175" s="1015"/>
      <c r="D175" s="1015"/>
      <c r="E175" s="1016"/>
      <c r="F175" s="1017"/>
      <c r="G175" s="1018"/>
      <c r="H175" s="1018"/>
      <c r="I175" s="1018"/>
      <c r="J175" s="118"/>
    </row>
    <row r="176" spans="2:10" ht="5.25" customHeight="1">
      <c r="B176"/>
      <c r="C176" s="445"/>
      <c r="D176" s="445"/>
      <c r="E176" s="445"/>
      <c r="F176" s="446"/>
      <c r="G176" s="120"/>
      <c r="H176" s="120"/>
      <c r="I176" s="121"/>
      <c r="J176" s="118"/>
    </row>
    <row r="177" spans="2:10">
      <c r="B177"/>
      <c r="C177" s="970"/>
      <c r="D177" s="445"/>
      <c r="E177" s="1005"/>
      <c r="F177" s="446"/>
      <c r="G177" s="120"/>
      <c r="H177" s="120"/>
      <c r="I177" s="121"/>
      <c r="J177" s="118"/>
    </row>
    <row r="178" spans="2:10">
      <c r="B178"/>
      <c r="C178" s="967"/>
      <c r="D178" s="445"/>
      <c r="E178" s="1004"/>
      <c r="F178" s="1001"/>
      <c r="G178" s="120"/>
      <c r="H178" s="120"/>
      <c r="I178" s="121"/>
      <c r="J178" s="118"/>
    </row>
    <row r="179" spans="2:10">
      <c r="B179"/>
      <c r="C179" s="967"/>
      <c r="D179" s="445"/>
      <c r="E179" s="1004"/>
      <c r="F179" s="1001"/>
      <c r="G179" s="120"/>
      <c r="H179" s="120"/>
      <c r="I179" s="121"/>
      <c r="J179" s="118"/>
    </row>
    <row r="180" spans="2:10">
      <c r="B180"/>
      <c r="C180" s="967"/>
      <c r="D180" s="445"/>
      <c r="E180" s="1004"/>
      <c r="F180" s="1001"/>
      <c r="G180" s="120"/>
      <c r="H180" s="120"/>
      <c r="I180" s="121"/>
      <c r="J180" s="118"/>
    </row>
    <row r="181" spans="2:10">
      <c r="B181"/>
      <c r="C181" s="1"/>
      <c r="D181" s="1"/>
      <c r="E181" s="1"/>
      <c r="F181"/>
      <c r="G181" s="2"/>
      <c r="H181"/>
      <c r="I181"/>
      <c r="J181" s="118"/>
    </row>
    <row r="182" spans="2:10">
      <c r="C182" s="112"/>
      <c r="D182" s="112"/>
      <c r="E182" s="112"/>
      <c r="G182" s="112"/>
    </row>
    <row r="183" spans="2:10">
      <c r="C183" s="112"/>
      <c r="D183" s="112"/>
      <c r="E183" s="112"/>
      <c r="G183" s="112"/>
    </row>
    <row r="184" spans="2:10" hidden="1">
      <c r="C184" s="112"/>
      <c r="D184" s="112"/>
      <c r="E184" s="112"/>
      <c r="G184" s="112"/>
    </row>
    <row r="185" spans="2:10" hidden="1">
      <c r="C185" s="112"/>
      <c r="D185" s="112"/>
      <c r="E185" s="112"/>
      <c r="G185" s="112"/>
    </row>
    <row r="186" spans="2:10" hidden="1">
      <c r="C186" s="112"/>
      <c r="D186" s="112"/>
      <c r="E186" s="112"/>
      <c r="G186" s="112"/>
    </row>
    <row r="187" spans="2:10" hidden="1">
      <c r="C187" s="112"/>
      <c r="D187" s="112"/>
      <c r="E187" s="112"/>
      <c r="G187" s="112"/>
    </row>
    <row r="188" spans="2:10" hidden="1">
      <c r="C188" s="112"/>
      <c r="D188" s="112"/>
      <c r="E188" s="112"/>
      <c r="G188" s="112"/>
    </row>
    <row r="189" spans="2:10" hidden="1">
      <c r="C189" s="112"/>
      <c r="D189" s="112"/>
      <c r="E189" s="112"/>
      <c r="G189" s="112"/>
    </row>
    <row r="190" spans="2:10" hidden="1">
      <c r="C190" s="112"/>
      <c r="D190" s="112"/>
      <c r="E190" s="112"/>
      <c r="G190" s="112"/>
    </row>
    <row r="191" spans="2:10" hidden="1">
      <c r="C191" s="112"/>
      <c r="D191" s="112"/>
      <c r="E191" s="112"/>
      <c r="G191" s="112"/>
    </row>
    <row r="192" spans="2:10" hidden="1">
      <c r="C192" s="112"/>
      <c r="D192" s="112"/>
      <c r="E192" s="112"/>
      <c r="G192" s="112"/>
    </row>
    <row r="193" spans="3:7" hidden="1">
      <c r="C193" s="112"/>
      <c r="D193" s="112"/>
      <c r="E193" s="112"/>
      <c r="G193" s="112"/>
    </row>
    <row r="194" spans="3:7" hidden="1">
      <c r="C194" s="112"/>
      <c r="D194" s="112"/>
      <c r="E194" s="112"/>
      <c r="G194" s="112"/>
    </row>
    <row r="195" spans="3:7" hidden="1">
      <c r="C195" s="112"/>
      <c r="D195" s="112"/>
      <c r="E195" s="112"/>
      <c r="G195" s="112"/>
    </row>
    <row r="196" spans="3:7" hidden="1">
      <c r="C196" s="112"/>
      <c r="D196" s="112"/>
      <c r="E196" s="112"/>
      <c r="G196" s="112"/>
    </row>
    <row r="197" spans="3:7" hidden="1">
      <c r="C197" s="112"/>
      <c r="D197" s="112"/>
      <c r="E197" s="112"/>
      <c r="G197" s="112"/>
    </row>
    <row r="198" spans="3:7" hidden="1">
      <c r="C198" s="112"/>
      <c r="D198" s="112"/>
      <c r="E198" s="112"/>
      <c r="G198" s="112"/>
    </row>
    <row r="199" spans="3:7" hidden="1">
      <c r="C199" s="112"/>
      <c r="D199" s="112"/>
      <c r="E199" s="112"/>
      <c r="G199" s="112"/>
    </row>
    <row r="200" spans="3:7" hidden="1">
      <c r="C200" s="112"/>
      <c r="D200" s="112"/>
      <c r="E200" s="112"/>
      <c r="G200" s="112"/>
    </row>
    <row r="201" spans="3:7" hidden="1">
      <c r="C201" s="112"/>
      <c r="D201" s="112"/>
      <c r="E201" s="112"/>
      <c r="G201" s="112"/>
    </row>
    <row r="202" spans="3:7" hidden="1">
      <c r="C202" s="112"/>
      <c r="D202" s="112"/>
      <c r="E202" s="112"/>
      <c r="G202" s="112"/>
    </row>
    <row r="203" spans="3:7" hidden="1">
      <c r="C203" s="112"/>
      <c r="D203" s="112"/>
      <c r="E203" s="112"/>
      <c r="G203" s="112"/>
    </row>
    <row r="204" spans="3:7" hidden="1">
      <c r="C204" s="112"/>
      <c r="D204" s="112"/>
      <c r="E204" s="112"/>
      <c r="G204" s="112"/>
    </row>
    <row r="205" spans="3:7" hidden="1">
      <c r="C205" s="112"/>
      <c r="D205" s="112"/>
      <c r="E205" s="112"/>
      <c r="G205" s="112"/>
    </row>
    <row r="206" spans="3:7" hidden="1">
      <c r="C206" s="112"/>
      <c r="D206" s="112"/>
      <c r="E206" s="112"/>
      <c r="G206" s="112"/>
    </row>
    <row r="207" spans="3:7" hidden="1">
      <c r="C207" s="112"/>
      <c r="D207" s="112"/>
      <c r="E207" s="112"/>
      <c r="G207" s="112"/>
    </row>
    <row r="208" spans="3:7" hidden="1">
      <c r="C208" s="112"/>
      <c r="D208" s="112"/>
      <c r="E208" s="112"/>
      <c r="G208" s="112"/>
    </row>
    <row r="209" spans="1:59" hidden="1">
      <c r="C209" s="112"/>
      <c r="D209" s="112"/>
      <c r="E209" s="112"/>
      <c r="G209" s="112"/>
    </row>
    <row r="210" spans="1:59" hidden="1">
      <c r="C210" s="112"/>
      <c r="D210" s="112"/>
      <c r="E210" s="112"/>
      <c r="G210" s="112"/>
    </row>
    <row r="211" spans="1:59" hidden="1">
      <c r="C211" s="112"/>
      <c r="D211" s="112"/>
      <c r="E211" s="112"/>
      <c r="G211" s="112"/>
    </row>
    <row r="212" spans="1:59" hidden="1">
      <c r="C212" s="112"/>
      <c r="D212" s="112"/>
      <c r="E212" s="112"/>
      <c r="G212" s="112"/>
    </row>
    <row r="213" spans="1:59" hidden="1">
      <c r="C213" s="112"/>
      <c r="D213" s="112"/>
      <c r="E213" s="112"/>
      <c r="G213" s="112"/>
    </row>
    <row r="214" spans="1:59" hidden="1">
      <c r="C214" s="112"/>
      <c r="D214" s="112"/>
      <c r="E214" s="112"/>
      <c r="G214" s="112"/>
    </row>
    <row r="215" spans="1:59" hidden="1">
      <c r="C215" s="112"/>
      <c r="D215" s="112"/>
      <c r="E215" s="112"/>
      <c r="G215" s="112"/>
    </row>
    <row r="216" spans="1:59" hidden="1">
      <c r="C216" s="112"/>
      <c r="D216" s="112"/>
      <c r="E216" s="112"/>
      <c r="G216" s="112"/>
    </row>
    <row r="217" spans="1:59" s="201" customFormat="1" hidden="1">
      <c r="A217" s="112"/>
      <c r="B217" s="112"/>
      <c r="C217" s="112"/>
      <c r="D217" s="112"/>
      <c r="E217" s="112"/>
      <c r="F217" s="112"/>
      <c r="G217" s="112"/>
      <c r="H217" s="112"/>
      <c r="I217" s="112"/>
      <c r="J217" s="112"/>
      <c r="L217" s="519"/>
      <c r="M217" s="519"/>
      <c r="N217" s="519"/>
      <c r="O217" s="519"/>
      <c r="P217" s="519"/>
      <c r="Q217" s="519"/>
      <c r="R217" s="519"/>
      <c r="S217" s="519"/>
      <c r="T217" s="519"/>
      <c r="U217" s="519"/>
      <c r="V217" s="519"/>
      <c r="W217" s="519"/>
      <c r="X217" s="519"/>
      <c r="Y217" s="519"/>
      <c r="Z217" s="519"/>
      <c r="AA217" s="519"/>
      <c r="AB217" s="519"/>
      <c r="AC217" s="519"/>
      <c r="AD217" s="519"/>
      <c r="AE217" s="519"/>
      <c r="AF217" s="519"/>
      <c r="AG217" s="519"/>
      <c r="AH217" s="519"/>
      <c r="AI217" s="519"/>
      <c r="AJ217" s="519"/>
      <c r="AK217" s="519"/>
      <c r="AL217" s="519"/>
      <c r="AM217" s="519"/>
      <c r="AN217" s="519"/>
      <c r="AO217" s="519"/>
      <c r="AP217" s="519"/>
      <c r="AQ217" s="519"/>
      <c r="AR217" s="519"/>
      <c r="AS217" s="519"/>
      <c r="AT217" s="519"/>
      <c r="AU217" s="519"/>
      <c r="AV217" s="519"/>
      <c r="AW217" s="519"/>
      <c r="AX217" s="519"/>
      <c r="AY217" s="519"/>
      <c r="AZ217" s="519"/>
      <c r="BA217" s="519"/>
      <c r="BB217" s="519"/>
      <c r="BC217" s="519"/>
      <c r="BD217" s="519"/>
      <c r="BE217" s="519"/>
      <c r="BF217" s="519"/>
      <c r="BG217" s="519"/>
    </row>
    <row r="218" spans="1:59" s="201" customFormat="1" hidden="1">
      <c r="A218" s="112"/>
      <c r="B218" s="112"/>
      <c r="C218" s="112"/>
      <c r="D218" s="112"/>
      <c r="E218" s="112"/>
      <c r="F218" s="112"/>
      <c r="G218" s="112"/>
      <c r="H218" s="112"/>
      <c r="I218" s="112"/>
      <c r="J218" s="112"/>
      <c r="L218" s="519"/>
      <c r="M218" s="519"/>
      <c r="N218" s="519"/>
      <c r="O218" s="519"/>
      <c r="P218" s="519"/>
      <c r="Q218" s="519"/>
      <c r="R218" s="519"/>
      <c r="S218" s="519"/>
      <c r="T218" s="519"/>
      <c r="U218" s="519"/>
      <c r="V218" s="519"/>
      <c r="W218" s="519"/>
      <c r="X218" s="519"/>
      <c r="Y218" s="519"/>
      <c r="Z218" s="519"/>
      <c r="AA218" s="519"/>
      <c r="AB218" s="519"/>
      <c r="AC218" s="519"/>
      <c r="AD218" s="519"/>
      <c r="AE218" s="519"/>
      <c r="AF218" s="519"/>
      <c r="AG218" s="519"/>
      <c r="AH218" s="519"/>
      <c r="AI218" s="519"/>
      <c r="AJ218" s="519"/>
      <c r="AK218" s="519"/>
      <c r="AL218" s="519"/>
      <c r="AM218" s="519"/>
      <c r="AN218" s="519"/>
      <c r="AO218" s="519"/>
      <c r="AP218" s="519"/>
      <c r="AQ218" s="519"/>
      <c r="AR218" s="519"/>
      <c r="AS218" s="519"/>
      <c r="AT218" s="519"/>
      <c r="AU218" s="519"/>
      <c r="AV218" s="519"/>
      <c r="AW218" s="519"/>
      <c r="AX218" s="519"/>
      <c r="AY218" s="519"/>
      <c r="AZ218" s="519"/>
      <c r="BA218" s="519"/>
      <c r="BB218" s="519"/>
      <c r="BC218" s="519"/>
      <c r="BD218" s="519"/>
      <c r="BE218" s="519"/>
      <c r="BF218" s="519"/>
      <c r="BG218" s="519"/>
    </row>
    <row r="219" spans="1:59" s="201" customFormat="1" ht="13.5" hidden="1" customHeight="1">
      <c r="A219" s="112"/>
      <c r="B219" s="112"/>
      <c r="C219" s="112"/>
      <c r="D219" s="112"/>
      <c r="E219" s="112"/>
      <c r="F219" s="112"/>
      <c r="G219" s="112"/>
      <c r="H219" s="112"/>
      <c r="I219" s="112"/>
      <c r="J219" s="112"/>
      <c r="L219" s="519"/>
      <c r="M219" s="519"/>
      <c r="N219" s="519"/>
      <c r="O219" s="519"/>
      <c r="P219" s="519"/>
      <c r="Q219" s="519"/>
      <c r="R219" s="519"/>
      <c r="S219" s="519"/>
      <c r="T219" s="519"/>
      <c r="U219" s="519"/>
      <c r="V219" s="519"/>
      <c r="W219" s="519"/>
      <c r="X219" s="519"/>
      <c r="Y219" s="519"/>
      <c r="Z219" s="519"/>
      <c r="AA219" s="519"/>
      <c r="AB219" s="519"/>
      <c r="AC219" s="519"/>
      <c r="AD219" s="519"/>
      <c r="AE219" s="519"/>
      <c r="AF219" s="519"/>
      <c r="AG219" s="519"/>
      <c r="AH219" s="519"/>
      <c r="AI219" s="519"/>
      <c r="AJ219" s="519"/>
      <c r="AK219" s="519"/>
      <c r="AL219" s="519"/>
      <c r="AM219" s="519"/>
      <c r="AN219" s="519"/>
      <c r="AO219" s="519"/>
      <c r="AP219" s="519"/>
      <c r="AQ219" s="519"/>
      <c r="AR219" s="519"/>
      <c r="AS219" s="519"/>
      <c r="AT219" s="519"/>
      <c r="AU219" s="519"/>
      <c r="AV219" s="519"/>
      <c r="AW219" s="519"/>
      <c r="AX219" s="519"/>
      <c r="AY219" s="519"/>
      <c r="AZ219" s="519"/>
      <c r="BA219" s="519"/>
      <c r="BB219" s="519"/>
      <c r="BC219" s="519"/>
      <c r="BD219" s="519"/>
      <c r="BE219" s="519"/>
      <c r="BF219" s="519"/>
      <c r="BG219" s="519"/>
    </row>
    <row r="220" spans="1:59" s="201" customFormat="1" ht="13.5" hidden="1" thickBot="1">
      <c r="A220" s="112"/>
      <c r="B220" s="112"/>
      <c r="C220" s="112"/>
      <c r="D220" s="112"/>
      <c r="E220" s="112"/>
      <c r="F220" s="112"/>
      <c r="G220" s="112"/>
      <c r="H220" s="112"/>
      <c r="I220" s="112"/>
      <c r="J220" s="112"/>
      <c r="L220" s="519"/>
      <c r="M220" s="519"/>
      <c r="N220" s="519"/>
      <c r="O220" s="519"/>
      <c r="P220" s="519"/>
      <c r="Q220" s="519"/>
      <c r="R220" s="519"/>
      <c r="S220" s="519"/>
      <c r="T220" s="519"/>
      <c r="U220" s="519"/>
      <c r="V220" s="519"/>
      <c r="W220" s="519"/>
      <c r="X220" s="519"/>
      <c r="Y220" s="519"/>
      <c r="Z220" s="519"/>
      <c r="AA220" s="519"/>
      <c r="AB220" s="519"/>
      <c r="AC220" s="519"/>
      <c r="AD220" s="519"/>
      <c r="AE220" s="519"/>
      <c r="AF220" s="519"/>
      <c r="AG220" s="519"/>
      <c r="AH220" s="519"/>
      <c r="AI220" s="519"/>
      <c r="AJ220" s="519"/>
      <c r="AK220" s="519"/>
      <c r="AL220" s="519"/>
      <c r="AM220" s="519"/>
      <c r="AN220" s="519"/>
      <c r="AO220" s="519"/>
      <c r="AP220" s="519"/>
      <c r="AQ220" s="519"/>
      <c r="AR220" s="519"/>
      <c r="AS220" s="519"/>
      <c r="AT220" s="519"/>
      <c r="AU220" s="519"/>
      <c r="AV220" s="519"/>
      <c r="AW220" s="519"/>
      <c r="AX220" s="519"/>
      <c r="AY220" s="519"/>
      <c r="AZ220" s="519"/>
      <c r="BA220" s="519"/>
      <c r="BB220" s="519"/>
      <c r="BC220" s="519"/>
      <c r="BD220" s="519"/>
      <c r="BE220" s="519"/>
      <c r="BF220" s="519"/>
      <c r="BG220" s="519"/>
    </row>
    <row r="221" spans="1:59" s="201" customFormat="1" hidden="1">
      <c r="A221" s="112"/>
      <c r="B221" s="122"/>
      <c r="C221" s="123"/>
      <c r="D221" s="123"/>
      <c r="E221" s="123"/>
      <c r="F221" s="124"/>
      <c r="G221" s="125"/>
      <c r="H221" s="124"/>
      <c r="I221" s="124"/>
      <c r="J221" s="126"/>
      <c r="L221" s="519"/>
      <c r="M221" s="519"/>
      <c r="N221" s="519"/>
      <c r="O221" s="519"/>
      <c r="P221" s="519"/>
      <c r="Q221" s="519"/>
      <c r="R221" s="519"/>
      <c r="S221" s="519"/>
      <c r="T221" s="519"/>
      <c r="U221" s="519"/>
      <c r="V221" s="519"/>
      <c r="W221" s="519"/>
      <c r="X221" s="519"/>
      <c r="Y221" s="519"/>
      <c r="Z221" s="519"/>
      <c r="AA221" s="519"/>
      <c r="AB221" s="519"/>
      <c r="AC221" s="519"/>
      <c r="AD221" s="519"/>
      <c r="AE221" s="519"/>
      <c r="AF221" s="519"/>
      <c r="AG221" s="519"/>
      <c r="AH221" s="519"/>
      <c r="AI221" s="519"/>
      <c r="AJ221" s="519"/>
      <c r="AK221" s="519"/>
      <c r="AL221" s="519"/>
      <c r="AM221" s="519"/>
      <c r="AN221" s="519"/>
      <c r="AO221" s="519"/>
      <c r="AP221" s="519"/>
      <c r="AQ221" s="519"/>
      <c r="AR221" s="519"/>
      <c r="AS221" s="519"/>
      <c r="AT221" s="519"/>
      <c r="AU221" s="519"/>
      <c r="AV221" s="519"/>
      <c r="AW221" s="519"/>
      <c r="AX221" s="519"/>
      <c r="AY221" s="519"/>
      <c r="AZ221" s="519"/>
      <c r="BA221" s="519"/>
      <c r="BB221" s="519"/>
      <c r="BC221" s="519"/>
      <c r="BD221" s="519"/>
      <c r="BE221" s="519"/>
      <c r="BF221" s="519"/>
      <c r="BG221" s="519"/>
    </row>
    <row r="222" spans="1:59" s="201" customFormat="1" hidden="1">
      <c r="A222" s="112"/>
      <c r="B222" s="203"/>
      <c r="C222" s="128"/>
      <c r="D222" s="128" t="s">
        <v>13</v>
      </c>
      <c r="E222" s="128"/>
      <c r="F222" s="129" t="s">
        <v>0</v>
      </c>
      <c r="G222" s="129" t="s">
        <v>9</v>
      </c>
      <c r="H222" s="130" t="s">
        <v>34</v>
      </c>
      <c r="I222" s="130" t="s">
        <v>35</v>
      </c>
      <c r="J222" s="131"/>
      <c r="L222" s="519"/>
      <c r="M222" s="519"/>
      <c r="N222" s="519"/>
      <c r="O222" s="519"/>
      <c r="P222" s="519"/>
      <c r="Q222" s="519"/>
      <c r="R222" s="519"/>
      <c r="S222" s="519"/>
      <c r="T222" s="519"/>
      <c r="U222" s="519"/>
      <c r="V222" s="519"/>
      <c r="W222" s="519"/>
      <c r="X222" s="519"/>
      <c r="Y222" s="519"/>
      <c r="Z222" s="519"/>
      <c r="AA222" s="519"/>
      <c r="AB222" s="519"/>
      <c r="AC222" s="519"/>
      <c r="AD222" s="519"/>
      <c r="AE222" s="519"/>
      <c r="AF222" s="519"/>
      <c r="AG222" s="519"/>
      <c r="AH222" s="519"/>
      <c r="AI222" s="519"/>
      <c r="AJ222" s="519"/>
      <c r="AK222" s="519"/>
      <c r="AL222" s="519"/>
      <c r="AM222" s="519"/>
      <c r="AN222" s="519"/>
      <c r="AO222" s="519"/>
      <c r="AP222" s="519"/>
      <c r="AQ222" s="519"/>
      <c r="AR222" s="519"/>
      <c r="AS222" s="519"/>
      <c r="AT222" s="519"/>
      <c r="AU222" s="519"/>
      <c r="AV222" s="519"/>
      <c r="AW222" s="519"/>
      <c r="AX222" s="519"/>
      <c r="AY222" s="519"/>
      <c r="AZ222" s="519"/>
      <c r="BA222" s="519"/>
      <c r="BB222" s="519"/>
      <c r="BC222" s="519"/>
      <c r="BD222" s="519"/>
      <c r="BE222" s="519"/>
      <c r="BF222" s="519"/>
      <c r="BG222" s="519"/>
    </row>
    <row r="223" spans="1:59" s="201" customFormat="1" hidden="1">
      <c r="A223" s="112"/>
      <c r="B223" s="203"/>
      <c r="C223" s="132"/>
      <c r="D223" s="132" t="s">
        <v>43</v>
      </c>
      <c r="E223" s="132"/>
      <c r="F223" s="133"/>
      <c r="G223" s="134"/>
      <c r="H223" s="135"/>
      <c r="I223" s="135"/>
      <c r="J223" s="131"/>
      <c r="K223" s="989" t="s">
        <v>1127</v>
      </c>
      <c r="L223" s="990" t="s">
        <v>1128</v>
      </c>
      <c r="M223" s="519"/>
      <c r="N223" s="519"/>
      <c r="O223" s="519"/>
      <c r="P223" s="519"/>
      <c r="Q223" s="519"/>
      <c r="R223" s="519"/>
      <c r="S223" s="519"/>
      <c r="T223" s="519"/>
      <c r="U223" s="519"/>
      <c r="V223" s="519"/>
      <c r="W223" s="519"/>
      <c r="X223" s="519"/>
      <c r="Y223" s="519"/>
      <c r="Z223" s="519"/>
      <c r="AA223" s="519"/>
      <c r="AB223" s="519"/>
      <c r="AC223" s="519"/>
      <c r="AD223" s="519"/>
      <c r="AE223" s="519"/>
      <c r="AF223" s="519"/>
      <c r="AG223" s="519"/>
      <c r="AH223" s="519"/>
      <c r="AI223" s="519"/>
      <c r="AJ223" s="519"/>
      <c r="AK223" s="519"/>
      <c r="AL223" s="519"/>
      <c r="AM223" s="519"/>
      <c r="AN223" s="519"/>
      <c r="AO223" s="519"/>
      <c r="AP223" s="519"/>
      <c r="AQ223" s="519"/>
      <c r="AR223" s="519"/>
      <c r="AS223" s="519"/>
      <c r="AT223" s="519"/>
      <c r="AU223" s="519"/>
      <c r="AV223" s="519"/>
      <c r="AW223" s="519"/>
      <c r="AX223" s="519"/>
      <c r="AY223" s="519"/>
      <c r="AZ223" s="519"/>
      <c r="BA223" s="519"/>
      <c r="BB223" s="519"/>
      <c r="BC223" s="519"/>
      <c r="BD223" s="519"/>
      <c r="BE223" s="519"/>
      <c r="BF223" s="519"/>
      <c r="BG223" s="519"/>
    </row>
    <row r="224" spans="1:59" s="201" customFormat="1" hidden="1">
      <c r="A224" s="112"/>
      <c r="B224" s="203"/>
      <c r="C224" s="133"/>
      <c r="D224" s="133"/>
      <c r="E224" s="115"/>
      <c r="F224" s="196" t="s">
        <v>1093</v>
      </c>
      <c r="G224" s="3"/>
      <c r="H224" s="3"/>
      <c r="I224" s="792">
        <v>10525</v>
      </c>
      <c r="J224" s="131"/>
      <c r="K224" s="381">
        <v>9550</v>
      </c>
      <c r="L224" s="993"/>
      <c r="M224" s="919"/>
      <c r="N224" s="519"/>
      <c r="O224" s="519"/>
      <c r="P224" s="519"/>
      <c r="Q224" s="519"/>
      <c r="R224" s="519"/>
      <c r="S224" s="519"/>
      <c r="T224" s="519"/>
      <c r="U224" s="519"/>
      <c r="V224" s="519"/>
      <c r="W224" s="519"/>
      <c r="X224" s="519"/>
      <c r="Y224" s="519"/>
      <c r="Z224" s="519"/>
      <c r="AA224" s="519"/>
      <c r="AB224" s="519"/>
      <c r="AC224" s="519"/>
      <c r="AD224" s="519"/>
      <c r="AE224" s="519"/>
      <c r="AF224" s="519"/>
      <c r="AG224" s="519"/>
      <c r="AH224" s="519"/>
      <c r="AI224" s="519"/>
      <c r="AJ224" s="519"/>
      <c r="AK224" s="519"/>
      <c r="AL224" s="519"/>
      <c r="AM224" s="519"/>
      <c r="AN224" s="519"/>
      <c r="AO224" s="519"/>
      <c r="AP224" s="519"/>
      <c r="AQ224" s="519"/>
      <c r="AR224" s="519"/>
      <c r="AS224" s="519"/>
      <c r="AT224" s="519"/>
      <c r="AU224" s="519"/>
      <c r="AV224" s="519"/>
      <c r="AW224" s="519"/>
      <c r="AX224" s="519"/>
      <c r="AY224" s="519"/>
      <c r="AZ224" s="519"/>
      <c r="BA224" s="519"/>
      <c r="BB224" s="519"/>
      <c r="BC224" s="519"/>
      <c r="BD224" s="519"/>
      <c r="BE224" s="519"/>
      <c r="BF224" s="519"/>
      <c r="BG224" s="519"/>
    </row>
    <row r="225" spans="1:59" s="201" customFormat="1" hidden="1">
      <c r="A225" s="112"/>
      <c r="B225" s="203"/>
      <c r="C225" s="133"/>
      <c r="D225" s="133"/>
      <c r="E225" s="115"/>
      <c r="F225" s="196" t="s">
        <v>1094</v>
      </c>
      <c r="G225" s="197"/>
      <c r="H225" s="197"/>
      <c r="I225" s="792">
        <v>14600</v>
      </c>
      <c r="J225" s="131"/>
      <c r="L225" s="519"/>
      <c r="M225" s="921"/>
      <c r="N225" s="919"/>
      <c r="O225" s="519"/>
      <c r="P225" s="519"/>
      <c r="Q225" s="519"/>
      <c r="R225" s="519"/>
      <c r="S225" s="519"/>
      <c r="T225" s="519"/>
      <c r="U225" s="519"/>
      <c r="V225" s="519"/>
      <c r="W225" s="519"/>
      <c r="X225" s="519"/>
      <c r="Y225" s="519"/>
      <c r="Z225" s="519"/>
      <c r="AA225" s="519"/>
      <c r="AB225" s="519"/>
      <c r="AC225" s="519"/>
      <c r="AD225" s="519"/>
      <c r="AE225" s="519"/>
      <c r="AF225" s="519"/>
      <c r="AG225" s="519"/>
      <c r="AH225" s="519"/>
      <c r="AI225" s="519"/>
      <c r="AJ225" s="519"/>
      <c r="AK225" s="519"/>
      <c r="AL225" s="519"/>
      <c r="AM225" s="519"/>
      <c r="AN225" s="519"/>
      <c r="AO225" s="519"/>
      <c r="AP225" s="519"/>
      <c r="AQ225" s="519"/>
      <c r="AR225" s="519"/>
      <c r="AS225" s="519"/>
      <c r="AT225" s="519"/>
      <c r="AU225" s="519"/>
      <c r="AV225" s="519"/>
      <c r="AW225" s="519"/>
      <c r="AX225" s="519"/>
      <c r="AY225" s="519"/>
      <c r="AZ225" s="519"/>
      <c r="BA225" s="519"/>
      <c r="BB225" s="519"/>
      <c r="BC225" s="519"/>
      <c r="BD225" s="519"/>
      <c r="BE225" s="519"/>
      <c r="BF225" s="519"/>
      <c r="BG225" s="519"/>
    </row>
    <row r="226" spans="1:59" s="201" customFormat="1" hidden="1">
      <c r="A226" s="112"/>
      <c r="B226" s="203"/>
      <c r="C226" s="133"/>
      <c r="D226" s="133"/>
      <c r="E226" s="115"/>
      <c r="F226" s="196" t="s">
        <v>1041</v>
      </c>
      <c r="G226" s="197"/>
      <c r="H226" s="197"/>
      <c r="I226" s="792" t="s">
        <v>69</v>
      </c>
      <c r="J226" s="513"/>
      <c r="L226" s="918"/>
      <c r="M226" s="918"/>
      <c r="N226" s="519"/>
      <c r="O226" s="519"/>
      <c r="P226" s="519"/>
      <c r="Q226" s="519"/>
      <c r="R226" s="519"/>
      <c r="S226" s="519"/>
      <c r="T226" s="519"/>
      <c r="U226" s="519"/>
      <c r="V226" s="519"/>
      <c r="W226" s="519"/>
      <c r="X226" s="519"/>
      <c r="Y226" s="519"/>
      <c r="Z226" s="519"/>
      <c r="AA226" s="519"/>
      <c r="AB226" s="519"/>
      <c r="AC226" s="519"/>
      <c r="AD226" s="519"/>
      <c r="AE226" s="519"/>
      <c r="AF226" s="519"/>
      <c r="AG226" s="519"/>
      <c r="AH226" s="519"/>
      <c r="AI226" s="519"/>
      <c r="AJ226" s="519"/>
      <c r="AK226" s="519"/>
      <c r="AL226" s="519"/>
      <c r="AM226" s="519"/>
      <c r="AN226" s="519"/>
      <c r="AO226" s="519"/>
      <c r="AP226" s="519"/>
      <c r="AQ226" s="519"/>
      <c r="AR226" s="519"/>
      <c r="AS226" s="519"/>
      <c r="AT226" s="519"/>
      <c r="AU226" s="519"/>
      <c r="AV226" s="519"/>
      <c r="AW226" s="519"/>
      <c r="AX226" s="519"/>
      <c r="AY226" s="519"/>
      <c r="AZ226" s="519"/>
      <c r="BA226" s="519"/>
      <c r="BB226" s="519"/>
      <c r="BC226" s="519"/>
      <c r="BD226" s="519"/>
      <c r="BE226" s="519"/>
      <c r="BF226" s="519"/>
      <c r="BG226" s="519"/>
    </row>
    <row r="227" spans="1:59" s="201" customFormat="1" hidden="1">
      <c r="A227" s="112"/>
      <c r="B227" s="203"/>
      <c r="C227" s="133"/>
      <c r="D227" s="133"/>
      <c r="E227" s="115"/>
      <c r="F227" s="196" t="s">
        <v>1042</v>
      </c>
      <c r="G227" s="197"/>
      <c r="H227" s="197"/>
      <c r="I227" s="792" t="s">
        <v>69</v>
      </c>
      <c r="J227" s="513"/>
      <c r="L227" s="518"/>
      <c r="M227" s="519"/>
      <c r="N227" s="519"/>
      <c r="O227" s="519"/>
      <c r="P227" s="519"/>
      <c r="Q227" s="519"/>
      <c r="R227" s="519"/>
      <c r="S227" s="519"/>
      <c r="T227" s="519"/>
      <c r="U227" s="519"/>
      <c r="V227" s="519"/>
      <c r="W227" s="519"/>
      <c r="X227" s="519"/>
      <c r="Y227" s="519"/>
      <c r="Z227" s="519"/>
      <c r="AA227" s="519"/>
      <c r="AB227" s="519"/>
      <c r="AC227" s="519"/>
      <c r="AD227" s="519"/>
      <c r="AE227" s="519"/>
      <c r="AF227" s="519"/>
      <c r="AG227" s="519"/>
      <c r="AH227" s="519"/>
      <c r="AI227" s="519"/>
      <c r="AJ227" s="519"/>
      <c r="AK227" s="519"/>
      <c r="AL227" s="519"/>
      <c r="AM227" s="519"/>
      <c r="AN227" s="519"/>
      <c r="AO227" s="519"/>
      <c r="AP227" s="519"/>
      <c r="AQ227" s="519"/>
      <c r="AR227" s="519"/>
      <c r="AS227" s="519"/>
      <c r="AT227" s="519"/>
      <c r="AU227" s="519"/>
      <c r="AV227" s="519"/>
      <c r="AW227" s="519"/>
      <c r="AX227" s="519"/>
      <c r="AY227" s="519"/>
      <c r="AZ227" s="519"/>
      <c r="BA227" s="519"/>
      <c r="BB227" s="519"/>
      <c r="BC227" s="519"/>
      <c r="BD227" s="519"/>
      <c r="BE227" s="519"/>
      <c r="BF227" s="519"/>
      <c r="BG227" s="519"/>
    </row>
    <row r="228" spans="1:59" s="201" customFormat="1" hidden="1">
      <c r="A228" s="112"/>
      <c r="B228" s="203"/>
      <c r="C228" s="133"/>
      <c r="D228" s="133"/>
      <c r="E228" s="115"/>
      <c r="F228" s="196"/>
      <c r="G228" s="197"/>
      <c r="H228" s="197"/>
      <c r="I228" s="792"/>
      <c r="J228" s="513"/>
      <c r="L228" s="518"/>
      <c r="M228" s="919"/>
      <c r="N228" s="519"/>
      <c r="O228" s="919"/>
      <c r="P228" s="922"/>
      <c r="Q228" s="919"/>
      <c r="R228" s="519"/>
      <c r="S228" s="519"/>
      <c r="T228" s="519"/>
      <c r="U228" s="519"/>
      <c r="V228" s="519"/>
      <c r="W228" s="519"/>
      <c r="X228" s="519"/>
      <c r="Y228" s="519"/>
      <c r="Z228" s="519"/>
      <c r="AA228" s="519"/>
      <c r="AB228" s="519"/>
      <c r="AC228" s="519"/>
      <c r="AD228" s="519"/>
      <c r="AE228" s="519"/>
      <c r="AF228" s="519"/>
      <c r="AG228" s="519"/>
      <c r="AH228" s="519"/>
      <c r="AI228" s="519"/>
      <c r="AJ228" s="519"/>
      <c r="AK228" s="519"/>
      <c r="AL228" s="519"/>
      <c r="AM228" s="519"/>
      <c r="AN228" s="519"/>
      <c r="AO228" s="519"/>
      <c r="AP228" s="519"/>
      <c r="AQ228" s="519"/>
      <c r="AR228" s="519"/>
      <c r="AS228" s="519"/>
      <c r="AT228" s="519"/>
      <c r="AU228" s="519"/>
      <c r="AV228" s="519"/>
      <c r="AW228" s="519"/>
      <c r="AX228" s="519"/>
      <c r="AY228" s="519"/>
      <c r="AZ228" s="519"/>
      <c r="BA228" s="519"/>
      <c r="BB228" s="519"/>
      <c r="BC228" s="519"/>
      <c r="BD228" s="519"/>
      <c r="BE228" s="519"/>
      <c r="BF228" s="519"/>
      <c r="BG228" s="519"/>
    </row>
    <row r="229" spans="1:59" s="201" customFormat="1" hidden="1">
      <c r="A229" s="112"/>
      <c r="B229" s="203"/>
      <c r="C229" s="133"/>
      <c r="D229" s="133"/>
      <c r="E229" s="115"/>
      <c r="F229" s="196"/>
      <c r="G229" s="197"/>
      <c r="H229" s="197"/>
      <c r="I229" s="792"/>
      <c r="J229" s="513"/>
      <c r="L229" s="518"/>
      <c r="M229" s="519"/>
      <c r="N229" s="519"/>
      <c r="O229" s="519"/>
      <c r="P229" s="519"/>
      <c r="Q229" s="519"/>
      <c r="R229" s="519"/>
      <c r="S229" s="519"/>
      <c r="T229" s="519"/>
      <c r="U229" s="519"/>
      <c r="V229" s="519"/>
      <c r="W229" s="519"/>
      <c r="X229" s="519"/>
      <c r="Y229" s="519"/>
      <c r="Z229" s="519"/>
      <c r="AA229" s="519"/>
      <c r="AB229" s="519"/>
      <c r="AC229" s="519"/>
      <c r="AD229" s="519"/>
      <c r="AE229" s="519"/>
      <c r="AF229" s="519"/>
      <c r="AG229" s="519"/>
      <c r="AH229" s="519"/>
      <c r="AI229" s="519"/>
      <c r="AJ229" s="519"/>
      <c r="AK229" s="519"/>
      <c r="AL229" s="519"/>
      <c r="AM229" s="519"/>
      <c r="AN229" s="519"/>
      <c r="AO229" s="519"/>
      <c r="AP229" s="519"/>
      <c r="AQ229" s="519"/>
      <c r="AR229" s="519"/>
      <c r="AS229" s="519"/>
      <c r="AT229" s="519"/>
      <c r="AU229" s="519"/>
      <c r="AV229" s="519"/>
      <c r="AW229" s="519"/>
      <c r="AX229" s="519"/>
      <c r="AY229" s="519"/>
      <c r="AZ229" s="519"/>
      <c r="BA229" s="519"/>
      <c r="BB229" s="519"/>
      <c r="BC229" s="519"/>
      <c r="BD229" s="519"/>
      <c r="BE229" s="519"/>
      <c r="BF229" s="519"/>
      <c r="BG229" s="519"/>
    </row>
    <row r="230" spans="1:59" s="201" customFormat="1" hidden="1">
      <c r="A230" s="112"/>
      <c r="B230" s="203"/>
      <c r="C230" s="133"/>
      <c r="D230" s="133"/>
      <c r="E230" s="115"/>
      <c r="F230" s="196"/>
      <c r="G230" s="197"/>
      <c r="H230" s="197"/>
      <c r="I230" s="792"/>
      <c r="J230" s="131"/>
      <c r="L230" s="518"/>
      <c r="M230" s="519"/>
      <c r="N230" s="519"/>
      <c r="O230" s="519"/>
      <c r="P230" s="519"/>
      <c r="Q230" s="519"/>
      <c r="R230" s="519"/>
      <c r="S230" s="519"/>
      <c r="T230" s="519"/>
      <c r="U230" s="519"/>
      <c r="V230" s="519"/>
      <c r="W230" s="519"/>
      <c r="X230" s="519"/>
      <c r="Y230" s="519"/>
      <c r="Z230" s="519"/>
      <c r="AA230" s="519"/>
      <c r="AB230" s="519"/>
      <c r="AC230" s="519"/>
      <c r="AD230" s="519"/>
      <c r="AE230" s="519"/>
      <c r="AF230" s="519"/>
      <c r="AG230" s="519"/>
      <c r="AH230" s="519"/>
      <c r="AI230" s="519"/>
      <c r="AJ230" s="519"/>
      <c r="AK230" s="519"/>
      <c r="AL230" s="519"/>
      <c r="AM230" s="519"/>
      <c r="AN230" s="519"/>
      <c r="AO230" s="519"/>
      <c r="AP230" s="519"/>
      <c r="AQ230" s="519"/>
      <c r="AR230" s="519"/>
      <c r="AS230" s="519"/>
      <c r="AT230" s="519"/>
      <c r="AU230" s="519"/>
      <c r="AV230" s="519"/>
      <c r="AW230" s="519"/>
      <c r="AX230" s="519"/>
      <c r="AY230" s="519"/>
      <c r="AZ230" s="519"/>
      <c r="BA230" s="519"/>
      <c r="BB230" s="519"/>
      <c r="BC230" s="519"/>
      <c r="BD230" s="519"/>
      <c r="BE230" s="519"/>
      <c r="BF230" s="519"/>
      <c r="BG230" s="519"/>
    </row>
    <row r="231" spans="1:59" s="201" customFormat="1" hidden="1">
      <c r="A231" s="112"/>
      <c r="B231" s="203"/>
      <c r="C231" s="115"/>
      <c r="D231" s="115"/>
      <c r="E231" s="115"/>
      <c r="F231" s="109"/>
      <c r="G231" s="199"/>
      <c r="H231" s="199"/>
      <c r="I231" s="332"/>
      <c r="J231" s="131"/>
      <c r="L231" s="519"/>
      <c r="M231" s="519"/>
      <c r="N231" s="519"/>
      <c r="O231" s="519"/>
      <c r="P231" s="519"/>
      <c r="Q231" s="519"/>
      <c r="R231" s="519"/>
      <c r="S231" s="519"/>
      <c r="T231" s="519"/>
      <c r="U231" s="519"/>
      <c r="V231" s="519"/>
      <c r="W231" s="519"/>
      <c r="X231" s="519"/>
      <c r="Y231" s="519"/>
      <c r="Z231" s="519"/>
      <c r="AA231" s="519"/>
      <c r="AB231" s="519"/>
      <c r="AC231" s="519"/>
      <c r="AD231" s="519"/>
      <c r="AE231" s="519"/>
      <c r="AF231" s="519"/>
      <c r="AG231" s="519"/>
      <c r="AH231" s="519"/>
      <c r="AI231" s="519"/>
      <c r="AJ231" s="519"/>
      <c r="AK231" s="519"/>
      <c r="AL231" s="519"/>
      <c r="AM231" s="519"/>
      <c r="AN231" s="519"/>
      <c r="AO231" s="519"/>
      <c r="AP231" s="519"/>
      <c r="AQ231" s="519"/>
      <c r="AR231" s="519"/>
      <c r="AS231" s="519"/>
      <c r="AT231" s="519"/>
      <c r="AU231" s="519"/>
      <c r="AV231" s="519"/>
      <c r="AW231" s="519"/>
      <c r="AX231" s="519"/>
      <c r="AY231" s="519"/>
      <c r="AZ231" s="519"/>
      <c r="BA231" s="519"/>
      <c r="BB231" s="519"/>
      <c r="BC231" s="519"/>
      <c r="BD231" s="519"/>
      <c r="BE231" s="519"/>
      <c r="BF231" s="519"/>
      <c r="BG231" s="519"/>
    </row>
    <row r="232" spans="1:59" s="201" customFormat="1" ht="13.5" hidden="1" thickBot="1">
      <c r="A232" s="112"/>
      <c r="B232" s="203"/>
      <c r="C232" s="132"/>
      <c r="D232" s="132" t="s">
        <v>24</v>
      </c>
      <c r="E232" s="115"/>
      <c r="F232" s="204"/>
      <c r="G232" s="199"/>
      <c r="H232" s="199"/>
      <c r="I232" s="332"/>
      <c r="J232" s="131"/>
      <c r="L232" s="519"/>
      <c r="M232" s="519"/>
      <c r="N232" s="519"/>
      <c r="O232" s="519"/>
      <c r="P232" s="519"/>
      <c r="Q232" s="519"/>
      <c r="R232" s="519"/>
      <c r="S232" s="519"/>
      <c r="T232" s="519"/>
      <c r="U232" s="519"/>
      <c r="V232" s="519"/>
      <c r="W232" s="519"/>
      <c r="X232" s="519"/>
      <c r="Y232" s="519"/>
      <c r="Z232" s="519"/>
      <c r="AA232" s="519"/>
      <c r="AB232" s="519"/>
      <c r="AC232" s="519"/>
      <c r="AD232" s="519"/>
      <c r="AE232" s="519"/>
      <c r="AF232" s="519"/>
      <c r="AG232" s="519"/>
      <c r="AH232" s="519"/>
      <c r="AI232" s="519"/>
      <c r="AJ232" s="519"/>
      <c r="AK232" s="519"/>
      <c r="AL232" s="519"/>
      <c r="AM232" s="519"/>
      <c r="AN232" s="519"/>
      <c r="AO232" s="519"/>
      <c r="AP232" s="519"/>
      <c r="AQ232" s="519"/>
      <c r="AR232" s="519"/>
      <c r="AS232" s="519"/>
      <c r="AT232" s="519"/>
      <c r="AU232" s="519"/>
      <c r="AV232" s="519"/>
      <c r="AW232" s="519"/>
      <c r="AX232" s="519"/>
      <c r="AY232" s="519"/>
      <c r="AZ232" s="519"/>
      <c r="BA232" s="519"/>
      <c r="BB232" s="519"/>
      <c r="BC232" s="519"/>
      <c r="BD232" s="519"/>
      <c r="BE232" s="519"/>
      <c r="BF232" s="519"/>
      <c r="BG232" s="519"/>
    </row>
    <row r="233" spans="1:59" s="201" customFormat="1" hidden="1">
      <c r="A233" s="112"/>
      <c r="B233" s="203"/>
      <c r="C233" s="204"/>
      <c r="D233" s="204"/>
      <c r="E233" s="115"/>
      <c r="F233" s="363" t="s">
        <v>325</v>
      </c>
      <c r="G233" s="253"/>
      <c r="H233" s="197"/>
      <c r="I233" s="403">
        <v>423.995</v>
      </c>
      <c r="J233" s="975"/>
      <c r="L233" s="923">
        <v>7900</v>
      </c>
      <c r="M233" s="923"/>
      <c r="N233" s="923"/>
      <c r="O233" s="924"/>
      <c r="P233" s="924"/>
      <c r="Q233" s="519"/>
      <c r="R233" s="519"/>
      <c r="S233" s="519"/>
      <c r="T233" s="519"/>
      <c r="U233" s="519"/>
      <c r="V233" s="519"/>
      <c r="W233" s="519"/>
      <c r="X233" s="519"/>
      <c r="Y233" s="519"/>
      <c r="Z233" s="519"/>
      <c r="AA233" s="519"/>
      <c r="AB233" s="519"/>
      <c r="AC233" s="519"/>
      <c r="AD233" s="519"/>
      <c r="AE233" s="519"/>
      <c r="AF233" s="519"/>
      <c r="AG233" s="519"/>
      <c r="AH233" s="519"/>
      <c r="AI233" s="519"/>
      <c r="AJ233" s="519"/>
      <c r="AK233" s="519"/>
      <c r="AL233" s="519"/>
      <c r="AM233" s="519"/>
      <c r="AN233" s="519"/>
      <c r="AO233" s="519"/>
      <c r="AP233" s="519"/>
      <c r="AQ233" s="519"/>
      <c r="AR233" s="519"/>
      <c r="AS233" s="519"/>
      <c r="AT233" s="519"/>
      <c r="AU233" s="519"/>
      <c r="AV233" s="519"/>
      <c r="AW233" s="519"/>
      <c r="AX233" s="519"/>
      <c r="AY233" s="519"/>
      <c r="AZ233" s="519"/>
      <c r="BA233" s="519"/>
      <c r="BB233" s="519"/>
      <c r="BC233" s="519"/>
      <c r="BD233" s="519"/>
      <c r="BE233" s="519"/>
      <c r="BF233" s="519"/>
      <c r="BG233" s="519"/>
    </row>
    <row r="234" spans="1:59" s="201" customFormat="1" hidden="1">
      <c r="A234" s="112"/>
      <c r="B234" s="203"/>
      <c r="C234" s="204"/>
      <c r="D234" s="204"/>
      <c r="E234" s="115"/>
      <c r="F234" s="99" t="s">
        <v>326</v>
      </c>
      <c r="G234" s="253"/>
      <c r="H234" s="197"/>
      <c r="I234" s="403">
        <v>601</v>
      </c>
      <c r="J234" s="975"/>
      <c r="L234" s="923">
        <v>7900</v>
      </c>
      <c r="M234" s="923"/>
      <c r="N234" s="923"/>
      <c r="O234" s="924"/>
      <c r="P234" s="924"/>
      <c r="Q234" s="519"/>
      <c r="R234" s="519"/>
      <c r="S234" s="519"/>
      <c r="T234" s="519"/>
      <c r="U234" s="519"/>
      <c r="V234" s="519"/>
      <c r="W234" s="519"/>
      <c r="X234" s="519"/>
      <c r="Y234" s="519"/>
      <c r="Z234" s="519"/>
      <c r="AA234" s="519"/>
      <c r="AB234" s="519"/>
      <c r="AC234" s="519"/>
      <c r="AD234" s="519"/>
      <c r="AE234" s="519"/>
      <c r="AF234" s="519"/>
      <c r="AG234" s="519"/>
      <c r="AH234" s="519"/>
      <c r="AI234" s="519"/>
      <c r="AJ234" s="519"/>
      <c r="AK234" s="519"/>
      <c r="AL234" s="519"/>
      <c r="AM234" s="519"/>
      <c r="AN234" s="519"/>
      <c r="AO234" s="519"/>
      <c r="AP234" s="519"/>
      <c r="AQ234" s="519"/>
      <c r="AR234" s="519"/>
      <c r="AS234" s="519"/>
      <c r="AT234" s="519"/>
      <c r="AU234" s="519"/>
      <c r="AV234" s="519"/>
      <c r="AW234" s="519"/>
      <c r="AX234" s="519"/>
      <c r="AY234" s="519"/>
      <c r="AZ234" s="519"/>
      <c r="BA234" s="519"/>
      <c r="BB234" s="519"/>
      <c r="BC234" s="519"/>
      <c r="BD234" s="519"/>
      <c r="BE234" s="519"/>
      <c r="BF234" s="519"/>
      <c r="BG234" s="519"/>
    </row>
    <row r="235" spans="1:59" s="201" customFormat="1" hidden="1">
      <c r="A235" s="112"/>
      <c r="B235" s="203"/>
      <c r="C235" s="204"/>
      <c r="D235" s="204"/>
      <c r="E235" s="115"/>
      <c r="F235" s="99" t="s">
        <v>327</v>
      </c>
      <c r="G235" s="253"/>
      <c r="H235" s="197"/>
      <c r="I235" s="403">
        <v>601</v>
      </c>
      <c r="J235" s="975"/>
      <c r="L235" s="923">
        <v>7900</v>
      </c>
      <c r="M235" s="923"/>
      <c r="N235" s="923"/>
      <c r="O235" s="924"/>
      <c r="P235" s="924"/>
      <c r="Q235" s="519"/>
      <c r="R235" s="519"/>
      <c r="S235" s="519"/>
      <c r="T235" s="519"/>
      <c r="U235" s="519"/>
      <c r="V235" s="519"/>
      <c r="W235" s="519"/>
      <c r="X235" s="519"/>
      <c r="Y235" s="519"/>
      <c r="Z235" s="519"/>
      <c r="AA235" s="519"/>
      <c r="AB235" s="519"/>
      <c r="AC235" s="519"/>
      <c r="AD235" s="519"/>
      <c r="AE235" s="519"/>
      <c r="AF235" s="519"/>
      <c r="AG235" s="519"/>
      <c r="AH235" s="519"/>
      <c r="AI235" s="519"/>
      <c r="AJ235" s="519"/>
      <c r="AK235" s="519"/>
      <c r="AL235" s="519"/>
      <c r="AM235" s="519"/>
      <c r="AN235" s="519"/>
      <c r="AO235" s="519"/>
      <c r="AP235" s="519"/>
      <c r="AQ235" s="519"/>
      <c r="AR235" s="519"/>
      <c r="AS235" s="519"/>
      <c r="AT235" s="519"/>
      <c r="AU235" s="519"/>
      <c r="AV235" s="519"/>
      <c r="AW235" s="519"/>
      <c r="AX235" s="519"/>
      <c r="AY235" s="519"/>
      <c r="AZ235" s="519"/>
      <c r="BA235" s="519"/>
      <c r="BB235" s="519"/>
      <c r="BC235" s="519"/>
      <c r="BD235" s="519"/>
      <c r="BE235" s="519"/>
      <c r="BF235" s="519"/>
      <c r="BG235" s="519"/>
    </row>
    <row r="236" spans="1:59" s="201" customFormat="1" hidden="1">
      <c r="A236" s="112"/>
      <c r="B236" s="203"/>
      <c r="C236" s="204"/>
      <c r="D236" s="204"/>
      <c r="E236" s="115"/>
      <c r="F236" s="99" t="s">
        <v>328</v>
      </c>
      <c r="G236" s="253"/>
      <c r="H236" s="197"/>
      <c r="I236" s="403">
        <v>760</v>
      </c>
      <c r="J236" s="975"/>
      <c r="L236" s="923">
        <v>7900</v>
      </c>
      <c r="M236" s="923"/>
      <c r="N236" s="923"/>
      <c r="O236" s="924"/>
      <c r="P236" s="924"/>
      <c r="Q236" s="519"/>
      <c r="R236" s="519"/>
      <c r="S236" s="519"/>
      <c r="T236" s="519"/>
      <c r="U236" s="519"/>
      <c r="V236" s="519"/>
      <c r="W236" s="519"/>
      <c r="X236" s="519"/>
      <c r="Y236" s="519"/>
      <c r="Z236" s="519"/>
      <c r="AA236" s="519"/>
      <c r="AB236" s="519"/>
      <c r="AC236" s="519"/>
      <c r="AD236" s="519"/>
      <c r="AE236" s="519"/>
      <c r="AF236" s="519"/>
      <c r="AG236" s="519"/>
      <c r="AH236" s="519"/>
      <c r="AI236" s="519"/>
      <c r="AJ236" s="519"/>
      <c r="AK236" s="519"/>
      <c r="AL236" s="519"/>
      <c r="AM236" s="519"/>
      <c r="AN236" s="519"/>
      <c r="AO236" s="519"/>
      <c r="AP236" s="519"/>
      <c r="AQ236" s="519"/>
      <c r="AR236" s="519"/>
      <c r="AS236" s="519"/>
      <c r="AT236" s="519"/>
      <c r="AU236" s="519"/>
      <c r="AV236" s="519"/>
      <c r="AW236" s="519"/>
      <c r="AX236" s="519"/>
      <c r="AY236" s="519"/>
      <c r="AZ236" s="519"/>
      <c r="BA236" s="519"/>
      <c r="BB236" s="519"/>
      <c r="BC236" s="519"/>
      <c r="BD236" s="519"/>
      <c r="BE236" s="519"/>
      <c r="BF236" s="519"/>
      <c r="BG236" s="519"/>
    </row>
    <row r="237" spans="1:59" s="201" customFormat="1" hidden="1">
      <c r="A237" s="112"/>
      <c r="B237" s="203"/>
      <c r="C237" s="204"/>
      <c r="D237" s="204"/>
      <c r="E237" s="115"/>
      <c r="F237" s="196" t="s">
        <v>1010</v>
      </c>
      <c r="G237" s="253"/>
      <c r="H237" s="197"/>
      <c r="I237" s="403">
        <v>972</v>
      </c>
      <c r="J237" s="975"/>
      <c r="L237" s="923">
        <v>7900</v>
      </c>
      <c r="M237" s="923"/>
      <c r="N237" s="923"/>
      <c r="O237" s="924"/>
      <c r="P237" s="924"/>
      <c r="Q237" s="519"/>
      <c r="R237" s="519"/>
      <c r="S237" s="519"/>
      <c r="T237" s="519"/>
      <c r="U237" s="519"/>
      <c r="V237" s="519"/>
      <c r="W237" s="519"/>
      <c r="X237" s="519"/>
      <c r="Y237" s="519"/>
      <c r="Z237" s="519"/>
      <c r="AA237" s="519"/>
      <c r="AB237" s="519"/>
      <c r="AC237" s="519"/>
      <c r="AD237" s="519"/>
      <c r="AE237" s="519"/>
      <c r="AF237" s="519"/>
      <c r="AG237" s="519"/>
      <c r="AH237" s="519"/>
      <c r="AI237" s="519"/>
      <c r="AJ237" s="519"/>
      <c r="AK237" s="519"/>
      <c r="AL237" s="519"/>
      <c r="AM237" s="519"/>
      <c r="AN237" s="519"/>
      <c r="AO237" s="519"/>
      <c r="AP237" s="519"/>
      <c r="AQ237" s="519"/>
      <c r="AR237" s="519"/>
      <c r="AS237" s="519"/>
      <c r="AT237" s="519"/>
      <c r="AU237" s="519"/>
      <c r="AV237" s="519"/>
      <c r="AW237" s="519"/>
      <c r="AX237" s="519"/>
      <c r="AY237" s="519"/>
      <c r="AZ237" s="519"/>
      <c r="BA237" s="519"/>
      <c r="BB237" s="519"/>
      <c r="BC237" s="519"/>
      <c r="BD237" s="519"/>
      <c r="BE237" s="519"/>
      <c r="BF237" s="519"/>
      <c r="BG237" s="519"/>
    </row>
    <row r="238" spans="1:59" s="201" customFormat="1" ht="13.5" hidden="1" thickBot="1">
      <c r="A238" s="112"/>
      <c r="B238" s="203"/>
      <c r="C238" s="204"/>
      <c r="D238" s="204"/>
      <c r="E238" s="115"/>
      <c r="F238" s="373" t="s">
        <v>1011</v>
      </c>
      <c r="G238" s="365"/>
      <c r="H238" s="366"/>
      <c r="I238" s="404">
        <v>972</v>
      </c>
      <c r="J238" s="975"/>
      <c r="L238" s="923">
        <v>7900</v>
      </c>
      <c r="M238" s="923"/>
      <c r="N238" s="923"/>
      <c r="O238" s="924"/>
      <c r="P238" s="924"/>
      <c r="Q238" s="519"/>
      <c r="R238" s="519"/>
      <c r="S238" s="519"/>
      <c r="T238" s="519"/>
      <c r="U238" s="519"/>
      <c r="V238" s="519"/>
      <c r="W238" s="519"/>
      <c r="X238" s="519"/>
      <c r="Y238" s="519"/>
      <c r="Z238" s="519"/>
      <c r="AA238" s="519"/>
      <c r="AB238" s="519"/>
      <c r="AC238" s="519"/>
      <c r="AD238" s="519"/>
      <c r="AE238" s="519"/>
      <c r="AF238" s="519"/>
      <c r="AG238" s="519"/>
      <c r="AH238" s="519"/>
      <c r="AI238" s="519"/>
      <c r="AJ238" s="519"/>
      <c r="AK238" s="519"/>
      <c r="AL238" s="519"/>
      <c r="AM238" s="519"/>
      <c r="AN238" s="519"/>
      <c r="AO238" s="519"/>
      <c r="AP238" s="519"/>
      <c r="AQ238" s="519"/>
      <c r="AR238" s="519"/>
      <c r="AS238" s="519"/>
      <c r="AT238" s="519"/>
      <c r="AU238" s="519"/>
      <c r="AV238" s="519"/>
      <c r="AW238" s="519"/>
      <c r="AX238" s="519"/>
      <c r="AY238" s="519"/>
      <c r="AZ238" s="519"/>
      <c r="BA238" s="519"/>
      <c r="BB238" s="519"/>
      <c r="BC238" s="519"/>
      <c r="BD238" s="519"/>
      <c r="BE238" s="519"/>
      <c r="BF238" s="519"/>
      <c r="BG238" s="519"/>
    </row>
    <row r="239" spans="1:59" s="201" customFormat="1" hidden="1">
      <c r="A239" s="112"/>
      <c r="B239" s="203"/>
      <c r="C239" s="204"/>
      <c r="D239" s="204"/>
      <c r="E239" s="204"/>
      <c r="F239" s="363" t="s">
        <v>340</v>
      </c>
      <c r="G239" s="253"/>
      <c r="H239" s="197"/>
      <c r="I239" s="403">
        <v>165</v>
      </c>
      <c r="J239" s="975"/>
      <c r="L239" s="923">
        <v>7900</v>
      </c>
      <c r="M239" s="923" t="s">
        <v>391</v>
      </c>
      <c r="N239" s="923"/>
      <c r="O239" s="924"/>
      <c r="P239" s="924"/>
      <c r="Q239" s="519"/>
      <c r="R239" s="519"/>
      <c r="S239" s="519"/>
      <c r="T239" s="519"/>
      <c r="U239" s="519"/>
      <c r="V239" s="519"/>
      <c r="W239" s="519"/>
      <c r="X239" s="519"/>
      <c r="Y239" s="519"/>
      <c r="Z239" s="519"/>
      <c r="AA239" s="519"/>
      <c r="AB239" s="519"/>
      <c r="AC239" s="519"/>
      <c r="AD239" s="519"/>
      <c r="AE239" s="519"/>
      <c r="AF239" s="519"/>
      <c r="AG239" s="519"/>
      <c r="AH239" s="519"/>
      <c r="AI239" s="519"/>
      <c r="AJ239" s="519"/>
      <c r="AK239" s="519"/>
      <c r="AL239" s="519"/>
      <c r="AM239" s="519"/>
      <c r="AN239" s="519"/>
      <c r="AO239" s="519"/>
      <c r="AP239" s="519"/>
      <c r="AQ239" s="519"/>
      <c r="AR239" s="519"/>
      <c r="AS239" s="519"/>
      <c r="AT239" s="519"/>
      <c r="AU239" s="519"/>
      <c r="AV239" s="519"/>
      <c r="AW239" s="519"/>
      <c r="AX239" s="519"/>
      <c r="AY239" s="519"/>
      <c r="AZ239" s="519"/>
      <c r="BA239" s="519"/>
      <c r="BB239" s="519"/>
      <c r="BC239" s="519"/>
      <c r="BD239" s="519"/>
      <c r="BE239" s="519"/>
      <c r="BF239" s="519"/>
      <c r="BG239" s="519"/>
    </row>
    <row r="240" spans="1:59" s="201" customFormat="1" hidden="1">
      <c r="A240" s="112"/>
      <c r="B240" s="203"/>
      <c r="C240" s="204"/>
      <c r="D240" s="204"/>
      <c r="E240" s="204"/>
      <c r="F240" s="99" t="s">
        <v>341</v>
      </c>
      <c r="G240" s="253"/>
      <c r="H240" s="197"/>
      <c r="I240" s="403">
        <v>165</v>
      </c>
      <c r="J240" s="975"/>
      <c r="L240" s="923">
        <v>7900</v>
      </c>
      <c r="M240" s="923" t="s">
        <v>391</v>
      </c>
      <c r="N240" s="923"/>
      <c r="O240" s="924"/>
      <c r="P240" s="924"/>
      <c r="Q240" s="519"/>
      <c r="R240" s="519"/>
      <c r="S240" s="519"/>
      <c r="T240" s="519"/>
      <c r="U240" s="519"/>
      <c r="V240" s="519"/>
      <c r="W240" s="519"/>
      <c r="X240" s="519"/>
      <c r="Y240" s="519"/>
      <c r="Z240" s="519"/>
      <c r="AA240" s="519"/>
      <c r="AB240" s="519"/>
      <c r="AC240" s="519"/>
      <c r="AD240" s="519"/>
      <c r="AE240" s="519"/>
      <c r="AF240" s="519"/>
      <c r="AG240" s="519"/>
      <c r="AH240" s="519"/>
      <c r="AI240" s="519"/>
      <c r="AJ240" s="519"/>
      <c r="AK240" s="519"/>
      <c r="AL240" s="519"/>
      <c r="AM240" s="519"/>
      <c r="AN240" s="519"/>
      <c r="AO240" s="519"/>
      <c r="AP240" s="519"/>
      <c r="AQ240" s="519"/>
      <c r="AR240" s="519"/>
      <c r="AS240" s="519"/>
      <c r="AT240" s="519"/>
      <c r="AU240" s="519"/>
      <c r="AV240" s="519"/>
      <c r="AW240" s="519"/>
      <c r="AX240" s="519"/>
      <c r="AY240" s="519"/>
      <c r="AZ240" s="519"/>
      <c r="BA240" s="519"/>
      <c r="BB240" s="519"/>
      <c r="BC240" s="519"/>
      <c r="BD240" s="519"/>
      <c r="BE240" s="519"/>
      <c r="BF240" s="519"/>
      <c r="BG240" s="519"/>
    </row>
    <row r="241" spans="1:59" s="201" customFormat="1" hidden="1">
      <c r="A241" s="112"/>
      <c r="B241" s="203"/>
      <c r="C241" s="204"/>
      <c r="D241" s="204"/>
      <c r="E241" s="204"/>
      <c r="F241" s="99" t="s">
        <v>342</v>
      </c>
      <c r="G241" s="253"/>
      <c r="H241" s="197"/>
      <c r="I241" s="403">
        <v>165</v>
      </c>
      <c r="J241" s="975"/>
      <c r="L241" s="923">
        <v>7900</v>
      </c>
      <c r="M241" s="923" t="s">
        <v>391</v>
      </c>
      <c r="N241" s="923"/>
      <c r="O241" s="924"/>
      <c r="P241" s="924"/>
      <c r="Q241" s="519"/>
      <c r="R241" s="519"/>
      <c r="S241" s="519"/>
      <c r="T241" s="519"/>
      <c r="U241" s="519"/>
      <c r="V241" s="519"/>
      <c r="W241" s="519"/>
      <c r="X241" s="519"/>
      <c r="Y241" s="519"/>
      <c r="Z241" s="519"/>
      <c r="AA241" s="519"/>
      <c r="AB241" s="519"/>
      <c r="AC241" s="519"/>
      <c r="AD241" s="519"/>
      <c r="AE241" s="519"/>
      <c r="AF241" s="519"/>
      <c r="AG241" s="519"/>
      <c r="AH241" s="519"/>
      <c r="AI241" s="519"/>
      <c r="AJ241" s="519"/>
      <c r="AK241" s="519"/>
      <c r="AL241" s="519"/>
      <c r="AM241" s="519"/>
      <c r="AN241" s="519"/>
      <c r="AO241" s="519"/>
      <c r="AP241" s="519"/>
      <c r="AQ241" s="519"/>
      <c r="AR241" s="519"/>
      <c r="AS241" s="519"/>
      <c r="AT241" s="519"/>
      <c r="AU241" s="519"/>
      <c r="AV241" s="519"/>
      <c r="AW241" s="519"/>
      <c r="AX241" s="519"/>
      <c r="AY241" s="519"/>
      <c r="AZ241" s="519"/>
      <c r="BA241" s="519"/>
      <c r="BB241" s="519"/>
      <c r="BC241" s="519"/>
      <c r="BD241" s="519"/>
      <c r="BE241" s="519"/>
      <c r="BF241" s="519"/>
      <c r="BG241" s="519"/>
    </row>
    <row r="242" spans="1:59" s="201" customFormat="1" ht="13.5" hidden="1" thickBot="1">
      <c r="A242" s="112"/>
      <c r="B242" s="203"/>
      <c r="C242" s="204"/>
      <c r="D242" s="204"/>
      <c r="E242" s="204"/>
      <c r="F242" s="362" t="s">
        <v>343</v>
      </c>
      <c r="G242" s="365"/>
      <c r="H242" s="366"/>
      <c r="I242" s="404">
        <v>313</v>
      </c>
      <c r="J242" s="975"/>
      <c r="L242" s="923">
        <v>7900</v>
      </c>
      <c r="M242" s="923" t="s">
        <v>391</v>
      </c>
      <c r="N242" s="923"/>
      <c r="O242" s="924"/>
      <c r="P242" s="924"/>
      <c r="Q242" s="519"/>
      <c r="R242" s="519"/>
      <c r="S242" s="519"/>
      <c r="T242" s="519"/>
      <c r="U242" s="519"/>
      <c r="V242" s="519"/>
      <c r="W242" s="519"/>
      <c r="X242" s="519"/>
      <c r="Y242" s="519"/>
      <c r="Z242" s="519"/>
      <c r="AA242" s="519"/>
      <c r="AB242" s="519"/>
      <c r="AC242" s="519"/>
      <c r="AD242" s="519"/>
      <c r="AE242" s="519"/>
      <c r="AF242" s="519"/>
      <c r="AG242" s="519"/>
      <c r="AH242" s="519"/>
      <c r="AI242" s="519"/>
      <c r="AJ242" s="519"/>
      <c r="AK242" s="519"/>
      <c r="AL242" s="519"/>
      <c r="AM242" s="519"/>
      <c r="AN242" s="519"/>
      <c r="AO242" s="519"/>
      <c r="AP242" s="519"/>
      <c r="AQ242" s="519"/>
      <c r="AR242" s="519"/>
      <c r="AS242" s="519"/>
      <c r="AT242" s="519"/>
      <c r="AU242" s="519"/>
      <c r="AV242" s="519"/>
      <c r="AW242" s="519"/>
      <c r="AX242" s="519"/>
      <c r="AY242" s="519"/>
      <c r="AZ242" s="519"/>
      <c r="BA242" s="519"/>
      <c r="BB242" s="519"/>
      <c r="BC242" s="519"/>
      <c r="BD242" s="519"/>
      <c r="BE242" s="519"/>
      <c r="BF242" s="519"/>
      <c r="BG242" s="519"/>
    </row>
    <row r="243" spans="1:59" s="201" customFormat="1" hidden="1">
      <c r="A243" s="112"/>
      <c r="B243" s="203"/>
      <c r="C243" s="204"/>
      <c r="D243" s="204"/>
      <c r="E243" s="204"/>
      <c r="F243" s="363" t="s">
        <v>344</v>
      </c>
      <c r="G243" s="253"/>
      <c r="H243" s="197"/>
      <c r="I243" s="403">
        <v>148</v>
      </c>
      <c r="J243" s="975"/>
      <c r="L243" s="923">
        <v>7900</v>
      </c>
      <c r="M243" s="923">
        <v>4900</v>
      </c>
      <c r="N243" s="923"/>
      <c r="O243" s="924"/>
      <c r="P243" s="924"/>
      <c r="Q243" s="519"/>
      <c r="R243" s="519"/>
      <c r="S243" s="519"/>
      <c r="T243" s="519"/>
      <c r="U243" s="519"/>
      <c r="V243" s="519"/>
      <c r="W243" s="519"/>
      <c r="X243" s="519"/>
      <c r="Y243" s="519"/>
      <c r="Z243" s="519"/>
      <c r="AA243" s="519"/>
      <c r="AB243" s="519"/>
      <c r="AC243" s="519"/>
      <c r="AD243" s="519"/>
      <c r="AE243" s="519"/>
      <c r="AF243" s="519"/>
      <c r="AG243" s="519"/>
      <c r="AH243" s="519"/>
      <c r="AI243" s="519"/>
      <c r="AJ243" s="519"/>
      <c r="AK243" s="519"/>
      <c r="AL243" s="519"/>
      <c r="AM243" s="519"/>
      <c r="AN243" s="519"/>
      <c r="AO243" s="519"/>
      <c r="AP243" s="519"/>
      <c r="AQ243" s="519"/>
      <c r="AR243" s="519"/>
      <c r="AS243" s="519"/>
      <c r="AT243" s="519"/>
      <c r="AU243" s="519"/>
      <c r="AV243" s="519"/>
      <c r="AW243" s="519"/>
      <c r="AX243" s="519"/>
      <c r="AY243" s="519"/>
      <c r="AZ243" s="519"/>
      <c r="BA243" s="519"/>
      <c r="BB243" s="519"/>
      <c r="BC243" s="519"/>
      <c r="BD243" s="519"/>
      <c r="BE243" s="519"/>
      <c r="BF243" s="519"/>
      <c r="BG243" s="519"/>
    </row>
    <row r="244" spans="1:59" s="201" customFormat="1" hidden="1">
      <c r="A244" s="112"/>
      <c r="B244" s="203"/>
      <c r="C244" s="204"/>
      <c r="D244" s="204"/>
      <c r="E244" s="204"/>
      <c r="F244" s="99" t="s">
        <v>345</v>
      </c>
      <c r="G244" s="253"/>
      <c r="H244" s="197"/>
      <c r="I244" s="403">
        <v>313</v>
      </c>
      <c r="J244" s="975"/>
      <c r="L244" s="923">
        <v>7900</v>
      </c>
      <c r="M244" s="923">
        <v>4900</v>
      </c>
      <c r="N244" s="923"/>
      <c r="O244" s="924"/>
      <c r="P244" s="924"/>
      <c r="Q244" s="519"/>
      <c r="R244" s="519"/>
      <c r="S244" s="519"/>
      <c r="T244" s="519"/>
      <c r="U244" s="519"/>
      <c r="V244" s="519"/>
      <c r="W244" s="519"/>
      <c r="X244" s="519"/>
      <c r="Y244" s="519"/>
      <c r="Z244" s="519"/>
      <c r="AA244" s="519"/>
      <c r="AB244" s="519"/>
      <c r="AC244" s="519"/>
      <c r="AD244" s="519"/>
      <c r="AE244" s="519"/>
      <c r="AF244" s="519"/>
      <c r="AG244" s="519"/>
      <c r="AH244" s="519"/>
      <c r="AI244" s="519"/>
      <c r="AJ244" s="519"/>
      <c r="AK244" s="519"/>
      <c r="AL244" s="519"/>
      <c r="AM244" s="519"/>
      <c r="AN244" s="519"/>
      <c r="AO244" s="519"/>
      <c r="AP244" s="519"/>
      <c r="AQ244" s="519"/>
      <c r="AR244" s="519"/>
      <c r="AS244" s="519"/>
      <c r="AT244" s="519"/>
      <c r="AU244" s="519"/>
      <c r="AV244" s="519"/>
      <c r="AW244" s="519"/>
      <c r="AX244" s="519"/>
      <c r="AY244" s="519"/>
      <c r="AZ244" s="519"/>
      <c r="BA244" s="519"/>
      <c r="BB244" s="519"/>
      <c r="BC244" s="519"/>
      <c r="BD244" s="519"/>
      <c r="BE244" s="519"/>
      <c r="BF244" s="519"/>
      <c r="BG244" s="519"/>
    </row>
    <row r="245" spans="1:59" s="201" customFormat="1" hidden="1">
      <c r="A245" s="112"/>
      <c r="B245" s="203"/>
      <c r="C245" s="204"/>
      <c r="D245" s="204"/>
      <c r="E245" s="204"/>
      <c r="F245" s="99" t="s">
        <v>346</v>
      </c>
      <c r="G245" s="253"/>
      <c r="H245" s="197"/>
      <c r="I245" s="403">
        <v>313</v>
      </c>
      <c r="J245" s="975"/>
      <c r="L245" s="923">
        <v>7900</v>
      </c>
      <c r="M245" s="923">
        <v>4900</v>
      </c>
      <c r="N245" s="923"/>
      <c r="O245" s="924"/>
      <c r="P245" s="924"/>
      <c r="Q245" s="519"/>
      <c r="R245" s="519"/>
      <c r="S245" s="519"/>
      <c r="T245" s="519"/>
      <c r="U245" s="519"/>
      <c r="V245" s="519"/>
      <c r="W245" s="519"/>
      <c r="X245" s="519"/>
      <c r="Y245" s="519"/>
      <c r="Z245" s="519"/>
      <c r="AA245" s="519"/>
      <c r="AB245" s="519"/>
      <c r="AC245" s="519"/>
      <c r="AD245" s="519"/>
      <c r="AE245" s="519"/>
      <c r="AF245" s="519"/>
      <c r="AG245" s="519"/>
      <c r="AH245" s="519"/>
      <c r="AI245" s="519"/>
      <c r="AJ245" s="519"/>
      <c r="AK245" s="519"/>
      <c r="AL245" s="519"/>
      <c r="AM245" s="519"/>
      <c r="AN245" s="519"/>
      <c r="AO245" s="519"/>
      <c r="AP245" s="519"/>
      <c r="AQ245" s="519"/>
      <c r="AR245" s="519"/>
      <c r="AS245" s="519"/>
      <c r="AT245" s="519"/>
      <c r="AU245" s="519"/>
      <c r="AV245" s="519"/>
      <c r="AW245" s="519"/>
      <c r="AX245" s="519"/>
      <c r="AY245" s="519"/>
      <c r="AZ245" s="519"/>
      <c r="BA245" s="519"/>
      <c r="BB245" s="519"/>
      <c r="BC245" s="519"/>
      <c r="BD245" s="519"/>
      <c r="BE245" s="519"/>
      <c r="BF245" s="519"/>
      <c r="BG245" s="519"/>
    </row>
    <row r="246" spans="1:59" s="201" customFormat="1" ht="13.5" hidden="1" thickBot="1">
      <c r="A246" s="112"/>
      <c r="B246" s="203"/>
      <c r="C246" s="204"/>
      <c r="D246" s="204"/>
      <c r="E246" s="204"/>
      <c r="F246" s="362" t="s">
        <v>347</v>
      </c>
      <c r="G246" s="365"/>
      <c r="H246" s="366"/>
      <c r="I246" s="404">
        <v>461</v>
      </c>
      <c r="J246" s="975"/>
      <c r="L246" s="923">
        <v>7900</v>
      </c>
      <c r="M246" s="923">
        <v>4900</v>
      </c>
      <c r="N246" s="923"/>
      <c r="O246" s="924"/>
      <c r="P246" s="924"/>
      <c r="Q246" s="519"/>
      <c r="R246" s="519"/>
      <c r="S246" s="519"/>
      <c r="T246" s="519"/>
      <c r="U246" s="519"/>
      <c r="V246" s="519"/>
      <c r="W246" s="519"/>
      <c r="X246" s="519"/>
      <c r="Y246" s="519"/>
      <c r="Z246" s="519"/>
      <c r="AA246" s="519"/>
      <c r="AB246" s="519"/>
      <c r="AC246" s="519"/>
      <c r="AD246" s="519"/>
      <c r="AE246" s="519"/>
      <c r="AF246" s="519"/>
      <c r="AG246" s="519"/>
      <c r="AH246" s="519"/>
      <c r="AI246" s="519"/>
      <c r="AJ246" s="519"/>
      <c r="AK246" s="519"/>
      <c r="AL246" s="519"/>
      <c r="AM246" s="519"/>
      <c r="AN246" s="519"/>
      <c r="AO246" s="519"/>
      <c r="AP246" s="519"/>
      <c r="AQ246" s="519"/>
      <c r="AR246" s="519"/>
      <c r="AS246" s="519"/>
      <c r="AT246" s="519"/>
      <c r="AU246" s="519"/>
      <c r="AV246" s="519"/>
      <c r="AW246" s="519"/>
      <c r="AX246" s="519"/>
      <c r="AY246" s="519"/>
      <c r="AZ246" s="519"/>
      <c r="BA246" s="519"/>
      <c r="BB246" s="519"/>
      <c r="BC246" s="519"/>
      <c r="BD246" s="519"/>
      <c r="BE246" s="519"/>
      <c r="BF246" s="519"/>
      <c r="BG246" s="519"/>
    </row>
    <row r="247" spans="1:59" s="201" customFormat="1" hidden="1">
      <c r="A247" s="112"/>
      <c r="B247" s="203"/>
      <c r="C247" s="204"/>
      <c r="D247" s="204"/>
      <c r="E247" s="204"/>
      <c r="F247" s="363" t="s">
        <v>352</v>
      </c>
      <c r="G247" s="253"/>
      <c r="H247" s="197"/>
      <c r="I247" s="403">
        <v>141</v>
      </c>
      <c r="J247" s="975"/>
      <c r="L247" s="923"/>
      <c r="M247" s="923"/>
      <c r="N247" s="923"/>
      <c r="O247" s="924"/>
      <c r="P247" s="924"/>
      <c r="Q247" s="519"/>
      <c r="R247" s="519"/>
      <c r="S247" s="519"/>
      <c r="T247" s="519"/>
      <c r="U247" s="519"/>
      <c r="V247" s="519"/>
      <c r="W247" s="519"/>
      <c r="X247" s="519"/>
      <c r="Y247" s="519"/>
      <c r="Z247" s="519"/>
      <c r="AA247" s="519"/>
      <c r="AB247" s="519"/>
      <c r="AC247" s="519"/>
      <c r="AD247" s="519"/>
      <c r="AE247" s="519"/>
      <c r="AF247" s="519"/>
      <c r="AG247" s="519"/>
      <c r="AH247" s="519"/>
      <c r="AI247" s="519"/>
      <c r="AJ247" s="519"/>
      <c r="AK247" s="519"/>
      <c r="AL247" s="519"/>
      <c r="AM247" s="519"/>
      <c r="AN247" s="519"/>
      <c r="AO247" s="519"/>
      <c r="AP247" s="519"/>
      <c r="AQ247" s="519"/>
      <c r="AR247" s="519"/>
      <c r="AS247" s="519"/>
      <c r="AT247" s="519"/>
      <c r="AU247" s="519"/>
      <c r="AV247" s="519"/>
      <c r="AW247" s="519"/>
      <c r="AX247" s="519"/>
      <c r="AY247" s="519"/>
      <c r="AZ247" s="519"/>
      <c r="BA247" s="519"/>
      <c r="BB247" s="519"/>
      <c r="BC247" s="519"/>
      <c r="BD247" s="519"/>
      <c r="BE247" s="519"/>
      <c r="BF247" s="519"/>
      <c r="BG247" s="519"/>
    </row>
    <row r="248" spans="1:59" s="201" customFormat="1" hidden="1">
      <c r="A248" s="112"/>
      <c r="B248" s="203"/>
      <c r="C248" s="204"/>
      <c r="D248" s="204"/>
      <c r="E248" s="204"/>
      <c r="F248" s="99" t="s">
        <v>353</v>
      </c>
      <c r="G248" s="254"/>
      <c r="H248" s="197"/>
      <c r="I248" s="403">
        <v>299</v>
      </c>
      <c r="J248" s="975"/>
      <c r="L248" s="923"/>
      <c r="M248" s="923"/>
      <c r="N248" s="923"/>
      <c r="O248" s="924"/>
      <c r="P248" s="924"/>
      <c r="Q248" s="519"/>
      <c r="R248" s="519"/>
      <c r="S248" s="519"/>
      <c r="T248" s="519"/>
      <c r="U248" s="519"/>
      <c r="V248" s="519"/>
      <c r="W248" s="519"/>
      <c r="X248" s="519"/>
      <c r="Y248" s="519"/>
      <c r="Z248" s="519"/>
      <c r="AA248" s="519"/>
      <c r="AB248" s="519"/>
      <c r="AC248" s="519"/>
      <c r="AD248" s="519"/>
      <c r="AE248" s="519"/>
      <c r="AF248" s="519"/>
      <c r="AG248" s="519"/>
      <c r="AH248" s="519"/>
      <c r="AI248" s="519"/>
      <c r="AJ248" s="519"/>
      <c r="AK248" s="519"/>
      <c r="AL248" s="519"/>
      <c r="AM248" s="519"/>
      <c r="AN248" s="519"/>
      <c r="AO248" s="519"/>
      <c r="AP248" s="519"/>
      <c r="AQ248" s="519"/>
      <c r="AR248" s="519"/>
      <c r="AS248" s="519"/>
      <c r="AT248" s="519"/>
      <c r="AU248" s="519"/>
      <c r="AV248" s="519"/>
      <c r="AW248" s="519"/>
      <c r="AX248" s="519"/>
      <c r="AY248" s="519"/>
      <c r="AZ248" s="519"/>
      <c r="BA248" s="519"/>
      <c r="BB248" s="519"/>
      <c r="BC248" s="519"/>
      <c r="BD248" s="519"/>
      <c r="BE248" s="519"/>
      <c r="BF248" s="519"/>
      <c r="BG248" s="519"/>
    </row>
    <row r="249" spans="1:59" s="201" customFormat="1" hidden="1">
      <c r="A249" s="112"/>
      <c r="B249" s="203"/>
      <c r="C249" s="204"/>
      <c r="D249" s="204"/>
      <c r="E249" s="204"/>
      <c r="F249" s="99" t="s">
        <v>354</v>
      </c>
      <c r="G249" s="253"/>
      <c r="H249" s="197"/>
      <c r="I249" s="403">
        <v>299</v>
      </c>
      <c r="J249" s="975"/>
      <c r="L249" s="923"/>
      <c r="M249" s="923"/>
      <c r="N249" s="923"/>
      <c r="O249" s="924"/>
      <c r="P249" s="924"/>
      <c r="Q249" s="519"/>
      <c r="R249" s="519"/>
      <c r="S249" s="519"/>
      <c r="T249" s="519"/>
      <c r="U249" s="519"/>
      <c r="V249" s="519"/>
      <c r="W249" s="519"/>
      <c r="X249" s="519"/>
      <c r="Y249" s="519"/>
      <c r="Z249" s="519"/>
      <c r="AA249" s="519"/>
      <c r="AB249" s="519"/>
      <c r="AC249" s="519"/>
      <c r="AD249" s="519"/>
      <c r="AE249" s="519"/>
      <c r="AF249" s="519"/>
      <c r="AG249" s="519"/>
      <c r="AH249" s="519"/>
      <c r="AI249" s="519"/>
      <c r="AJ249" s="519"/>
      <c r="AK249" s="519"/>
      <c r="AL249" s="519"/>
      <c r="AM249" s="519"/>
      <c r="AN249" s="519"/>
      <c r="AO249" s="519"/>
      <c r="AP249" s="519"/>
      <c r="AQ249" s="519"/>
      <c r="AR249" s="519"/>
      <c r="AS249" s="519"/>
      <c r="AT249" s="519"/>
      <c r="AU249" s="519"/>
      <c r="AV249" s="519"/>
      <c r="AW249" s="519"/>
      <c r="AX249" s="519"/>
      <c r="AY249" s="519"/>
      <c r="AZ249" s="519"/>
      <c r="BA249" s="519"/>
      <c r="BB249" s="519"/>
      <c r="BC249" s="519"/>
      <c r="BD249" s="519"/>
      <c r="BE249" s="519"/>
      <c r="BF249" s="519"/>
      <c r="BG249" s="519"/>
    </row>
    <row r="250" spans="1:59" s="201" customFormat="1" ht="13.5" hidden="1" thickBot="1">
      <c r="A250" s="112"/>
      <c r="B250" s="203"/>
      <c r="C250" s="204"/>
      <c r="D250" s="204"/>
      <c r="E250" s="204"/>
      <c r="F250" s="362" t="s">
        <v>355</v>
      </c>
      <c r="G250" s="365"/>
      <c r="H250" s="366"/>
      <c r="I250" s="404">
        <v>440</v>
      </c>
      <c r="J250" s="975"/>
      <c r="L250" s="923"/>
      <c r="M250" s="923"/>
      <c r="N250" s="923"/>
      <c r="O250" s="924"/>
      <c r="P250" s="924"/>
      <c r="Q250" s="519"/>
      <c r="R250" s="519"/>
      <c r="S250" s="519"/>
      <c r="T250" s="519"/>
      <c r="U250" s="519"/>
      <c r="V250" s="519"/>
      <c r="W250" s="519"/>
      <c r="X250" s="519"/>
      <c r="Y250" s="519"/>
      <c r="Z250" s="519"/>
      <c r="AA250" s="519"/>
      <c r="AB250" s="519"/>
      <c r="AC250" s="519"/>
      <c r="AD250" s="519"/>
      <c r="AE250" s="519"/>
      <c r="AF250" s="519"/>
      <c r="AG250" s="519"/>
      <c r="AH250" s="519"/>
      <c r="AI250" s="519"/>
      <c r="AJ250" s="519"/>
      <c r="AK250" s="519"/>
      <c r="AL250" s="519"/>
      <c r="AM250" s="519"/>
      <c r="AN250" s="519"/>
      <c r="AO250" s="519"/>
      <c r="AP250" s="519"/>
      <c r="AQ250" s="519"/>
      <c r="AR250" s="519"/>
      <c r="AS250" s="519"/>
      <c r="AT250" s="519"/>
      <c r="AU250" s="519"/>
      <c r="AV250" s="519"/>
      <c r="AW250" s="519"/>
      <c r="AX250" s="519"/>
      <c r="AY250" s="519"/>
      <c r="AZ250" s="519"/>
      <c r="BA250" s="519"/>
      <c r="BB250" s="519"/>
      <c r="BC250" s="519"/>
      <c r="BD250" s="519"/>
      <c r="BE250" s="519"/>
      <c r="BF250" s="519"/>
      <c r="BG250" s="519"/>
    </row>
    <row r="251" spans="1:59" s="201" customFormat="1" hidden="1">
      <c r="A251" s="112"/>
      <c r="B251" s="203"/>
      <c r="C251" s="204"/>
      <c r="D251" s="204"/>
      <c r="E251" s="204"/>
      <c r="F251" s="363" t="s">
        <v>348</v>
      </c>
      <c r="G251" s="253"/>
      <c r="H251" s="197"/>
      <c r="I251" s="403">
        <v>148</v>
      </c>
      <c r="J251" s="975"/>
      <c r="L251" s="923">
        <v>7900</v>
      </c>
      <c r="M251" s="923">
        <v>4900</v>
      </c>
      <c r="N251" s="923" t="s">
        <v>316</v>
      </c>
      <c r="O251" s="924"/>
      <c r="P251" s="924"/>
      <c r="Q251" s="519"/>
      <c r="R251" s="519"/>
      <c r="S251" s="519"/>
      <c r="T251" s="519"/>
      <c r="U251" s="519"/>
      <c r="V251" s="519"/>
      <c r="W251" s="519"/>
      <c r="X251" s="519"/>
      <c r="Y251" s="519"/>
      <c r="Z251" s="519"/>
      <c r="AA251" s="519"/>
      <c r="AB251" s="519"/>
      <c r="AC251" s="519"/>
      <c r="AD251" s="519"/>
      <c r="AE251" s="519"/>
      <c r="AF251" s="519"/>
      <c r="AG251" s="519"/>
      <c r="AH251" s="519"/>
      <c r="AI251" s="519"/>
      <c r="AJ251" s="519"/>
      <c r="AK251" s="519"/>
      <c r="AL251" s="519"/>
      <c r="AM251" s="519"/>
      <c r="AN251" s="519"/>
      <c r="AO251" s="519"/>
      <c r="AP251" s="519"/>
      <c r="AQ251" s="519"/>
      <c r="AR251" s="519"/>
      <c r="AS251" s="519"/>
      <c r="AT251" s="519"/>
      <c r="AU251" s="519"/>
      <c r="AV251" s="519"/>
      <c r="AW251" s="519"/>
      <c r="AX251" s="519"/>
      <c r="AY251" s="519"/>
      <c r="AZ251" s="519"/>
      <c r="BA251" s="519"/>
      <c r="BB251" s="519"/>
      <c r="BC251" s="519"/>
      <c r="BD251" s="519"/>
      <c r="BE251" s="519"/>
      <c r="BF251" s="519"/>
      <c r="BG251" s="519"/>
    </row>
    <row r="252" spans="1:59" s="201" customFormat="1" hidden="1">
      <c r="A252" s="112"/>
      <c r="B252" s="203"/>
      <c r="C252" s="204"/>
      <c r="D252" s="204"/>
      <c r="E252" s="204"/>
      <c r="F252" s="99" t="s">
        <v>349</v>
      </c>
      <c r="G252" s="253"/>
      <c r="H252" s="197"/>
      <c r="I252" s="403">
        <v>313</v>
      </c>
      <c r="J252" s="975"/>
      <c r="L252" s="923">
        <v>7900</v>
      </c>
      <c r="M252" s="923">
        <v>4900</v>
      </c>
      <c r="N252" s="923" t="s">
        <v>316</v>
      </c>
      <c r="O252" s="924"/>
      <c r="P252" s="924"/>
      <c r="Q252" s="519"/>
      <c r="R252" s="519"/>
      <c r="S252" s="519"/>
      <c r="T252" s="519"/>
      <c r="U252" s="519"/>
      <c r="V252" s="519"/>
      <c r="W252" s="519"/>
      <c r="X252" s="519"/>
      <c r="Y252" s="519"/>
      <c r="Z252" s="519"/>
      <c r="AA252" s="519"/>
      <c r="AB252" s="519"/>
      <c r="AC252" s="519"/>
      <c r="AD252" s="519"/>
      <c r="AE252" s="519"/>
      <c r="AF252" s="519"/>
      <c r="AG252" s="519"/>
      <c r="AH252" s="519"/>
      <c r="AI252" s="519"/>
      <c r="AJ252" s="519"/>
      <c r="AK252" s="519"/>
      <c r="AL252" s="519"/>
      <c r="AM252" s="519"/>
      <c r="AN252" s="519"/>
      <c r="AO252" s="519"/>
      <c r="AP252" s="519"/>
      <c r="AQ252" s="519"/>
      <c r="AR252" s="519"/>
      <c r="AS252" s="519"/>
      <c r="AT252" s="519"/>
      <c r="AU252" s="519"/>
      <c r="AV252" s="519"/>
      <c r="AW252" s="519"/>
      <c r="AX252" s="519"/>
      <c r="AY252" s="519"/>
      <c r="AZ252" s="519"/>
      <c r="BA252" s="519"/>
      <c r="BB252" s="519"/>
      <c r="BC252" s="519"/>
      <c r="BD252" s="519"/>
      <c r="BE252" s="519"/>
      <c r="BF252" s="519"/>
      <c r="BG252" s="519"/>
    </row>
    <row r="253" spans="1:59" s="201" customFormat="1" hidden="1">
      <c r="A253" s="112"/>
      <c r="B253" s="203"/>
      <c r="C253" s="204"/>
      <c r="D253" s="204"/>
      <c r="E253" s="204"/>
      <c r="F253" s="99" t="s">
        <v>350</v>
      </c>
      <c r="G253" s="253"/>
      <c r="H253" s="197"/>
      <c r="I253" s="403">
        <v>313</v>
      </c>
      <c r="J253" s="975"/>
      <c r="L253" s="923">
        <v>7900</v>
      </c>
      <c r="M253" s="923">
        <v>4900</v>
      </c>
      <c r="N253" s="923" t="s">
        <v>316</v>
      </c>
      <c r="O253" s="924"/>
      <c r="P253" s="924"/>
      <c r="Q253" s="519"/>
      <c r="R253" s="519"/>
      <c r="S253" s="519"/>
      <c r="T253" s="519"/>
      <c r="U253" s="519"/>
      <c r="V253" s="519"/>
      <c r="W253" s="519"/>
      <c r="X253" s="519"/>
      <c r="Y253" s="519"/>
      <c r="Z253" s="519"/>
      <c r="AA253" s="519"/>
      <c r="AB253" s="519"/>
      <c r="AC253" s="519"/>
      <c r="AD253" s="519"/>
      <c r="AE253" s="519"/>
      <c r="AF253" s="519"/>
      <c r="AG253" s="519"/>
      <c r="AH253" s="519"/>
      <c r="AI253" s="519"/>
      <c r="AJ253" s="519"/>
      <c r="AK253" s="519"/>
      <c r="AL253" s="519"/>
      <c r="AM253" s="519"/>
      <c r="AN253" s="519"/>
      <c r="AO253" s="519"/>
      <c r="AP253" s="519"/>
      <c r="AQ253" s="519"/>
      <c r="AR253" s="519"/>
      <c r="AS253" s="519"/>
      <c r="AT253" s="519"/>
      <c r="AU253" s="519"/>
      <c r="AV253" s="519"/>
      <c r="AW253" s="519"/>
      <c r="AX253" s="519"/>
      <c r="AY253" s="519"/>
      <c r="AZ253" s="519"/>
      <c r="BA253" s="519"/>
      <c r="BB253" s="519"/>
      <c r="BC253" s="519"/>
      <c r="BD253" s="519"/>
      <c r="BE253" s="519"/>
      <c r="BF253" s="519"/>
      <c r="BG253" s="519"/>
    </row>
    <row r="254" spans="1:59" s="201" customFormat="1" ht="13.5" hidden="1" thickBot="1">
      <c r="A254" s="112"/>
      <c r="B254" s="203"/>
      <c r="C254" s="204"/>
      <c r="D254" s="204"/>
      <c r="E254" s="204"/>
      <c r="F254" s="362" t="s">
        <v>351</v>
      </c>
      <c r="G254" s="365"/>
      <c r="H254" s="366"/>
      <c r="I254" s="404">
        <v>461</v>
      </c>
      <c r="J254" s="975"/>
      <c r="L254" s="923">
        <v>7900</v>
      </c>
      <c r="M254" s="923">
        <v>4900</v>
      </c>
      <c r="N254" s="923" t="s">
        <v>316</v>
      </c>
      <c r="O254" s="924"/>
      <c r="P254" s="924"/>
      <c r="Q254" s="519"/>
      <c r="R254" s="519"/>
      <c r="S254" s="519"/>
      <c r="T254" s="519"/>
      <c r="U254" s="519"/>
      <c r="V254" s="519"/>
      <c r="W254" s="519"/>
      <c r="X254" s="519"/>
      <c r="Y254" s="519"/>
      <c r="Z254" s="519"/>
      <c r="AA254" s="519"/>
      <c r="AB254" s="519"/>
      <c r="AC254" s="519"/>
      <c r="AD254" s="519"/>
      <c r="AE254" s="519"/>
      <c r="AF254" s="519"/>
      <c r="AG254" s="519"/>
      <c r="AH254" s="519"/>
      <c r="AI254" s="519"/>
      <c r="AJ254" s="519"/>
      <c r="AK254" s="519"/>
      <c r="AL254" s="519"/>
      <c r="AM254" s="519"/>
      <c r="AN254" s="519"/>
      <c r="AO254" s="519"/>
      <c r="AP254" s="519"/>
      <c r="AQ254" s="519"/>
      <c r="AR254" s="519"/>
      <c r="AS254" s="519"/>
      <c r="AT254" s="519"/>
      <c r="AU254" s="519"/>
      <c r="AV254" s="519"/>
      <c r="AW254" s="519"/>
      <c r="AX254" s="519"/>
      <c r="AY254" s="519"/>
      <c r="AZ254" s="519"/>
      <c r="BA254" s="519"/>
      <c r="BB254" s="519"/>
      <c r="BC254" s="519"/>
      <c r="BD254" s="519"/>
      <c r="BE254" s="519"/>
      <c r="BF254" s="519"/>
      <c r="BG254" s="519"/>
    </row>
    <row r="255" spans="1:59" s="201" customFormat="1" hidden="1">
      <c r="A255" s="112"/>
      <c r="B255" s="203"/>
      <c r="C255" s="204"/>
      <c r="D255" s="204"/>
      <c r="E255" s="115"/>
      <c r="F255" s="363" t="s">
        <v>331</v>
      </c>
      <c r="G255" s="253"/>
      <c r="H255" s="197"/>
      <c r="I255" s="403">
        <v>795</v>
      </c>
      <c r="J255" s="975"/>
      <c r="L255" s="923">
        <v>7900</v>
      </c>
      <c r="M255" s="923"/>
      <c r="N255" s="923" t="s">
        <v>316</v>
      </c>
      <c r="O255" s="924"/>
      <c r="P255" s="924"/>
      <c r="Q255" s="519"/>
      <c r="R255" s="519"/>
      <c r="S255" s="519"/>
      <c r="T255" s="519"/>
      <c r="U255" s="519"/>
      <c r="V255" s="519"/>
      <c r="W255" s="519"/>
      <c r="X255" s="519"/>
      <c r="Y255" s="519"/>
      <c r="Z255" s="519"/>
      <c r="AA255" s="519"/>
      <c r="AB255" s="519"/>
      <c r="AC255" s="519"/>
      <c r="AD255" s="519"/>
      <c r="AE255" s="519"/>
      <c r="AF255" s="519"/>
      <c r="AG255" s="519"/>
      <c r="AH255" s="519"/>
      <c r="AI255" s="519"/>
      <c r="AJ255" s="519"/>
      <c r="AK255" s="519"/>
      <c r="AL255" s="519"/>
      <c r="AM255" s="519"/>
      <c r="AN255" s="519"/>
      <c r="AO255" s="519"/>
      <c r="AP255" s="519"/>
      <c r="AQ255" s="519"/>
      <c r="AR255" s="519"/>
      <c r="AS255" s="519"/>
      <c r="AT255" s="519"/>
      <c r="AU255" s="519"/>
      <c r="AV255" s="519"/>
      <c r="AW255" s="519"/>
      <c r="AX255" s="519"/>
      <c r="AY255" s="519"/>
      <c r="AZ255" s="519"/>
      <c r="BA255" s="519"/>
      <c r="BB255" s="519"/>
      <c r="BC255" s="519"/>
      <c r="BD255" s="519"/>
      <c r="BE255" s="519"/>
      <c r="BF255" s="519"/>
      <c r="BG255" s="519"/>
    </row>
    <row r="256" spans="1:59" s="201" customFormat="1" hidden="1">
      <c r="A256" s="112"/>
      <c r="B256" s="203"/>
      <c r="C256" s="204"/>
      <c r="D256" s="204"/>
      <c r="E256" s="115"/>
      <c r="F256" s="99" t="s">
        <v>332</v>
      </c>
      <c r="G256" s="253"/>
      <c r="H256" s="197"/>
      <c r="I256" s="403">
        <v>972</v>
      </c>
      <c r="J256" s="975"/>
      <c r="L256" s="923">
        <v>7900</v>
      </c>
      <c r="M256" s="923"/>
      <c r="N256" s="923" t="s">
        <v>316</v>
      </c>
      <c r="O256" s="924"/>
      <c r="P256" s="924"/>
      <c r="Q256" s="519"/>
      <c r="R256" s="519"/>
      <c r="S256" s="519"/>
      <c r="T256" s="519"/>
      <c r="U256" s="519"/>
      <c r="V256" s="519"/>
      <c r="W256" s="519"/>
      <c r="X256" s="519"/>
      <c r="Y256" s="519"/>
      <c r="Z256" s="519"/>
      <c r="AA256" s="519"/>
      <c r="AB256" s="519"/>
      <c r="AC256" s="519"/>
      <c r="AD256" s="519"/>
      <c r="AE256" s="519"/>
      <c r="AF256" s="519"/>
      <c r="AG256" s="519"/>
      <c r="AH256" s="519"/>
      <c r="AI256" s="519"/>
      <c r="AJ256" s="519"/>
      <c r="AK256" s="519"/>
      <c r="AL256" s="519"/>
      <c r="AM256" s="519"/>
      <c r="AN256" s="519"/>
      <c r="AO256" s="519"/>
      <c r="AP256" s="519"/>
      <c r="AQ256" s="519"/>
      <c r="AR256" s="519"/>
      <c r="AS256" s="519"/>
      <c r="AT256" s="519"/>
      <c r="AU256" s="519"/>
      <c r="AV256" s="519"/>
      <c r="AW256" s="519"/>
      <c r="AX256" s="519"/>
      <c r="AY256" s="519"/>
      <c r="AZ256" s="519"/>
      <c r="BA256" s="519"/>
      <c r="BB256" s="519"/>
      <c r="BC256" s="519"/>
      <c r="BD256" s="519"/>
      <c r="BE256" s="519"/>
      <c r="BF256" s="519"/>
      <c r="BG256" s="519"/>
    </row>
    <row r="257" spans="1:59" s="201" customFormat="1" hidden="1">
      <c r="A257" s="112"/>
      <c r="B257" s="203"/>
      <c r="C257" s="204"/>
      <c r="D257" s="204"/>
      <c r="E257" s="115"/>
      <c r="F257" s="99" t="s">
        <v>333</v>
      </c>
      <c r="G257" s="253"/>
      <c r="H257" s="197"/>
      <c r="I257" s="403">
        <v>972</v>
      </c>
      <c r="J257" s="975"/>
      <c r="L257" s="923">
        <v>7900</v>
      </c>
      <c r="M257" s="923"/>
      <c r="N257" s="923" t="s">
        <v>316</v>
      </c>
      <c r="O257" s="924"/>
      <c r="P257" s="924"/>
      <c r="Q257" s="519"/>
      <c r="R257" s="519"/>
      <c r="S257" s="519"/>
      <c r="T257" s="519"/>
      <c r="U257" s="519"/>
      <c r="V257" s="519"/>
      <c r="W257" s="519"/>
      <c r="X257" s="519"/>
      <c r="Y257" s="519"/>
      <c r="Z257" s="519"/>
      <c r="AA257" s="519"/>
      <c r="AB257" s="519"/>
      <c r="AC257" s="519"/>
      <c r="AD257" s="519"/>
      <c r="AE257" s="519"/>
      <c r="AF257" s="519"/>
      <c r="AG257" s="519"/>
      <c r="AH257" s="519"/>
      <c r="AI257" s="519"/>
      <c r="AJ257" s="519"/>
      <c r="AK257" s="519"/>
      <c r="AL257" s="519"/>
      <c r="AM257" s="519"/>
      <c r="AN257" s="519"/>
      <c r="AO257" s="519"/>
      <c r="AP257" s="519"/>
      <c r="AQ257" s="519"/>
      <c r="AR257" s="519"/>
      <c r="AS257" s="519"/>
      <c r="AT257" s="519"/>
      <c r="AU257" s="519"/>
      <c r="AV257" s="519"/>
      <c r="AW257" s="519"/>
      <c r="AX257" s="519"/>
      <c r="AY257" s="519"/>
      <c r="AZ257" s="519"/>
      <c r="BA257" s="519"/>
      <c r="BB257" s="519"/>
      <c r="BC257" s="519"/>
      <c r="BD257" s="519"/>
      <c r="BE257" s="519"/>
      <c r="BF257" s="519"/>
      <c r="BG257" s="519"/>
    </row>
    <row r="258" spans="1:59" s="201" customFormat="1" ht="13.5" hidden="1" thickBot="1">
      <c r="A258" s="112"/>
      <c r="B258" s="203"/>
      <c r="C258" s="204"/>
      <c r="D258" s="204"/>
      <c r="E258" s="115"/>
      <c r="F258" s="362" t="s">
        <v>334</v>
      </c>
      <c r="G258" s="365"/>
      <c r="H258" s="366"/>
      <c r="I258" s="404">
        <v>1131</v>
      </c>
      <c r="J258" s="975"/>
      <c r="L258" s="923">
        <v>7900</v>
      </c>
      <c r="M258" s="923"/>
      <c r="N258" s="923" t="s">
        <v>316</v>
      </c>
      <c r="O258" s="924"/>
      <c r="P258" s="924"/>
      <c r="Q258" s="519"/>
      <c r="R258" s="519"/>
      <c r="S258" s="519"/>
      <c r="T258" s="519"/>
      <c r="U258" s="519"/>
      <c r="V258" s="519"/>
      <c r="W258" s="519"/>
      <c r="X258" s="519"/>
      <c r="Y258" s="519"/>
      <c r="Z258" s="519"/>
      <c r="AA258" s="519"/>
      <c r="AB258" s="519"/>
      <c r="AC258" s="519"/>
      <c r="AD258" s="519"/>
      <c r="AE258" s="519"/>
      <c r="AF258" s="519"/>
      <c r="AG258" s="519"/>
      <c r="AH258" s="519"/>
      <c r="AI258" s="519"/>
      <c r="AJ258" s="519"/>
      <c r="AK258" s="519"/>
      <c r="AL258" s="519"/>
      <c r="AM258" s="519"/>
      <c r="AN258" s="519"/>
      <c r="AO258" s="519"/>
      <c r="AP258" s="519"/>
      <c r="AQ258" s="519"/>
      <c r="AR258" s="519"/>
      <c r="AS258" s="519"/>
      <c r="AT258" s="519"/>
      <c r="AU258" s="519"/>
      <c r="AV258" s="519"/>
      <c r="AW258" s="519"/>
      <c r="AX258" s="519"/>
      <c r="AY258" s="519"/>
      <c r="AZ258" s="519"/>
      <c r="BA258" s="519"/>
      <c r="BB258" s="519"/>
      <c r="BC258" s="519"/>
      <c r="BD258" s="519"/>
      <c r="BE258" s="519"/>
      <c r="BF258" s="519"/>
      <c r="BG258" s="519"/>
    </row>
    <row r="259" spans="1:59" s="201" customFormat="1" hidden="1">
      <c r="A259" s="112"/>
      <c r="B259" s="203"/>
      <c r="C259" s="204"/>
      <c r="D259" s="204"/>
      <c r="E259" s="115"/>
      <c r="F259" s="115"/>
      <c r="G259" s="115"/>
      <c r="H259" s="115"/>
      <c r="I259" s="115"/>
      <c r="J259" s="131"/>
      <c r="L259" s="519"/>
      <c r="M259" s="519"/>
      <c r="N259" s="519"/>
      <c r="O259" s="519"/>
      <c r="P259" s="519"/>
      <c r="Q259" s="519"/>
      <c r="R259" s="519"/>
      <c r="S259" s="519"/>
      <c r="T259" s="519"/>
      <c r="U259" s="519"/>
      <c r="V259" s="519"/>
      <c r="W259" s="519"/>
      <c r="X259" s="519"/>
      <c r="Y259" s="519"/>
      <c r="Z259" s="519"/>
      <c r="AA259" s="519"/>
      <c r="AB259" s="519"/>
      <c r="AC259" s="519"/>
      <c r="AD259" s="519"/>
      <c r="AE259" s="519"/>
      <c r="AF259" s="519"/>
      <c r="AG259" s="519"/>
      <c r="AH259" s="519"/>
      <c r="AI259" s="519"/>
      <c r="AJ259" s="519"/>
      <c r="AK259" s="519"/>
      <c r="AL259" s="519"/>
      <c r="AM259" s="519"/>
      <c r="AN259" s="519"/>
      <c r="AO259" s="519"/>
      <c r="AP259" s="519"/>
      <c r="AQ259" s="519"/>
      <c r="AR259" s="519"/>
      <c r="AS259" s="519"/>
      <c r="AT259" s="519"/>
      <c r="AU259" s="519"/>
      <c r="AV259" s="519"/>
      <c r="AW259" s="519"/>
      <c r="AX259" s="519"/>
      <c r="AY259" s="519"/>
      <c r="AZ259" s="519"/>
      <c r="BA259" s="519"/>
      <c r="BB259" s="519"/>
      <c r="BC259" s="519"/>
      <c r="BD259" s="519"/>
      <c r="BE259" s="519"/>
      <c r="BF259" s="519"/>
      <c r="BG259" s="519"/>
    </row>
    <row r="260" spans="1:59" s="201" customFormat="1" hidden="1">
      <c r="A260" s="112"/>
      <c r="B260" s="203"/>
      <c r="C260" s="204"/>
      <c r="D260" s="204"/>
      <c r="E260" s="115"/>
      <c r="F260" s="115"/>
      <c r="G260" s="115"/>
      <c r="H260" s="115"/>
      <c r="I260" s="115"/>
      <c r="J260" s="131"/>
      <c r="L260" s="519"/>
      <c r="M260" s="519"/>
      <c r="N260" s="519"/>
      <c r="O260" s="519"/>
      <c r="P260" s="519"/>
      <c r="Q260" s="519"/>
      <c r="R260" s="519"/>
      <c r="S260" s="519"/>
      <c r="T260" s="519"/>
      <c r="U260" s="519"/>
      <c r="V260" s="519"/>
      <c r="W260" s="519"/>
      <c r="X260" s="519"/>
      <c r="Y260" s="519"/>
      <c r="Z260" s="519"/>
      <c r="AA260" s="519"/>
      <c r="AB260" s="519"/>
      <c r="AC260" s="519"/>
      <c r="AD260" s="519"/>
      <c r="AE260" s="519"/>
      <c r="AF260" s="519"/>
      <c r="AG260" s="519"/>
      <c r="AH260" s="519"/>
      <c r="AI260" s="519"/>
      <c r="AJ260" s="519"/>
      <c r="AK260" s="519"/>
      <c r="AL260" s="519"/>
      <c r="AM260" s="519"/>
      <c r="AN260" s="519"/>
      <c r="AO260" s="519"/>
      <c r="AP260" s="519"/>
      <c r="AQ260" s="519"/>
      <c r="AR260" s="519"/>
      <c r="AS260" s="519"/>
      <c r="AT260" s="519"/>
      <c r="AU260" s="519"/>
      <c r="AV260" s="519"/>
      <c r="AW260" s="519"/>
      <c r="AX260" s="519"/>
      <c r="AY260" s="519"/>
      <c r="AZ260" s="519"/>
      <c r="BA260" s="519"/>
      <c r="BB260" s="519"/>
      <c r="BC260" s="519"/>
      <c r="BD260" s="519"/>
      <c r="BE260" s="519"/>
      <c r="BF260" s="519"/>
      <c r="BG260" s="519"/>
    </row>
    <row r="261" spans="1:59" s="201" customFormat="1" hidden="1">
      <c r="A261" s="112"/>
      <c r="B261" s="203"/>
      <c r="C261" s="204"/>
      <c r="D261" s="204"/>
      <c r="E261" s="115"/>
      <c r="F261" s="115"/>
      <c r="G261" s="115"/>
      <c r="H261" s="115"/>
      <c r="I261" s="115"/>
      <c r="J261" s="131"/>
      <c r="L261" s="519"/>
      <c r="M261" s="519"/>
      <c r="N261" s="519"/>
      <c r="O261" s="519"/>
      <c r="P261" s="519"/>
      <c r="Q261" s="519"/>
      <c r="R261" s="519"/>
      <c r="S261" s="519"/>
      <c r="T261" s="519"/>
      <c r="U261" s="519"/>
      <c r="V261" s="519"/>
      <c r="W261" s="519"/>
      <c r="X261" s="519"/>
      <c r="Y261" s="519"/>
      <c r="Z261" s="519"/>
      <c r="AA261" s="519"/>
      <c r="AB261" s="519"/>
      <c r="AC261" s="519"/>
      <c r="AD261" s="519"/>
      <c r="AE261" s="519"/>
      <c r="AF261" s="519"/>
      <c r="AG261" s="519"/>
      <c r="AH261" s="519"/>
      <c r="AI261" s="519"/>
      <c r="AJ261" s="519"/>
      <c r="AK261" s="519"/>
      <c r="AL261" s="519"/>
      <c r="AM261" s="519"/>
      <c r="AN261" s="519"/>
      <c r="AO261" s="519"/>
      <c r="AP261" s="519"/>
      <c r="AQ261" s="519"/>
      <c r="AR261" s="519"/>
      <c r="AS261" s="519"/>
      <c r="AT261" s="519"/>
      <c r="AU261" s="519"/>
      <c r="AV261" s="519"/>
      <c r="AW261" s="519"/>
      <c r="AX261" s="519"/>
      <c r="AY261" s="519"/>
      <c r="AZ261" s="519"/>
      <c r="BA261" s="519"/>
      <c r="BB261" s="519"/>
      <c r="BC261" s="519"/>
      <c r="BD261" s="519"/>
      <c r="BE261" s="519"/>
      <c r="BF261" s="519"/>
      <c r="BG261" s="519"/>
    </row>
    <row r="262" spans="1:59" s="201" customFormat="1" hidden="1">
      <c r="A262" s="112"/>
      <c r="B262" s="203"/>
      <c r="C262" s="204"/>
      <c r="D262" s="204"/>
      <c r="E262" s="115"/>
      <c r="F262" s="115"/>
      <c r="G262" s="115"/>
      <c r="H262" s="115"/>
      <c r="I262" s="115"/>
      <c r="J262" s="131"/>
      <c r="L262" s="519"/>
      <c r="M262" s="519"/>
      <c r="N262" s="519"/>
      <c r="O262" s="519"/>
      <c r="P262" s="519"/>
      <c r="Q262" s="519"/>
      <c r="R262" s="519"/>
      <c r="S262" s="519"/>
      <c r="T262" s="519"/>
      <c r="U262" s="519"/>
      <c r="V262" s="519"/>
      <c r="W262" s="519"/>
      <c r="X262" s="519"/>
      <c r="Y262" s="519"/>
      <c r="Z262" s="519"/>
      <c r="AA262" s="519"/>
      <c r="AB262" s="519"/>
      <c r="AC262" s="519"/>
      <c r="AD262" s="519"/>
      <c r="AE262" s="519"/>
      <c r="AF262" s="519"/>
      <c r="AG262" s="519"/>
      <c r="AH262" s="519"/>
      <c r="AI262" s="519"/>
      <c r="AJ262" s="519"/>
      <c r="AK262" s="519"/>
      <c r="AL262" s="519"/>
      <c r="AM262" s="519"/>
      <c r="AN262" s="519"/>
      <c r="AO262" s="519"/>
      <c r="AP262" s="519"/>
      <c r="AQ262" s="519"/>
      <c r="AR262" s="519"/>
      <c r="AS262" s="519"/>
      <c r="AT262" s="519"/>
      <c r="AU262" s="519"/>
      <c r="AV262" s="519"/>
      <c r="AW262" s="519"/>
      <c r="AX262" s="519"/>
      <c r="AY262" s="519"/>
      <c r="AZ262" s="519"/>
      <c r="BA262" s="519"/>
      <c r="BB262" s="519"/>
      <c r="BC262" s="519"/>
      <c r="BD262" s="519"/>
      <c r="BE262" s="519"/>
      <c r="BF262" s="519"/>
      <c r="BG262" s="519"/>
    </row>
    <row r="263" spans="1:59" s="201" customFormat="1" hidden="1">
      <c r="A263" s="112"/>
      <c r="B263" s="203"/>
      <c r="C263" s="204"/>
      <c r="D263" s="204"/>
      <c r="E263" s="115"/>
      <c r="F263" s="133"/>
      <c r="G263" s="199"/>
      <c r="H263" s="199"/>
      <c r="I263" s="333"/>
      <c r="J263" s="131"/>
      <c r="L263" s="519"/>
      <c r="M263" s="519"/>
      <c r="N263" s="519"/>
      <c r="O263" s="519"/>
      <c r="P263" s="519"/>
      <c r="Q263" s="519"/>
      <c r="R263" s="519"/>
      <c r="S263" s="519"/>
      <c r="T263" s="519"/>
      <c r="U263" s="519"/>
      <c r="V263" s="519"/>
      <c r="W263" s="519"/>
      <c r="X263" s="519"/>
      <c r="Y263" s="519"/>
      <c r="Z263" s="519"/>
      <c r="AA263" s="519"/>
      <c r="AB263" s="519"/>
      <c r="AC263" s="519"/>
      <c r="AD263" s="519"/>
      <c r="AE263" s="519"/>
      <c r="AF263" s="519"/>
      <c r="AG263" s="519"/>
      <c r="AH263" s="519"/>
      <c r="AI263" s="519"/>
      <c r="AJ263" s="519"/>
      <c r="AK263" s="519"/>
      <c r="AL263" s="519"/>
      <c r="AM263" s="519"/>
      <c r="AN263" s="519"/>
      <c r="AO263" s="519"/>
      <c r="AP263" s="519"/>
      <c r="AQ263" s="519"/>
      <c r="AR263" s="519"/>
      <c r="AS263" s="519"/>
      <c r="AT263" s="519"/>
      <c r="AU263" s="519"/>
      <c r="AV263" s="519"/>
      <c r="AW263" s="519"/>
      <c r="AX263" s="519"/>
      <c r="AY263" s="519"/>
      <c r="AZ263" s="519"/>
      <c r="BA263" s="519"/>
      <c r="BB263" s="519"/>
      <c r="BC263" s="519"/>
      <c r="BD263" s="519"/>
      <c r="BE263" s="519"/>
      <c r="BF263" s="519"/>
      <c r="BG263" s="519"/>
    </row>
    <row r="264" spans="1:59" s="201" customFormat="1" hidden="1">
      <c r="A264" s="112"/>
      <c r="B264" s="203"/>
      <c r="C264" s="132"/>
      <c r="D264" s="132" t="s">
        <v>356</v>
      </c>
      <c r="E264" s="115"/>
      <c r="F264" s="133"/>
      <c r="G264" s="199"/>
      <c r="H264" s="199"/>
      <c r="I264" s="333"/>
      <c r="J264" s="131"/>
      <c r="L264" s="519"/>
      <c r="M264" s="519"/>
      <c r="N264" s="519"/>
      <c r="O264" s="519"/>
      <c r="P264" s="519"/>
      <c r="Q264" s="519"/>
      <c r="R264" s="519"/>
      <c r="S264" s="519"/>
      <c r="T264" s="519"/>
      <c r="U264" s="519"/>
      <c r="V264" s="519"/>
      <c r="W264" s="519"/>
      <c r="X264" s="519"/>
      <c r="Y264" s="519"/>
      <c r="Z264" s="519"/>
      <c r="AA264" s="519"/>
      <c r="AB264" s="519"/>
      <c r="AC264" s="519"/>
      <c r="AD264" s="519"/>
      <c r="AE264" s="519"/>
      <c r="AF264" s="519"/>
      <c r="AG264" s="519"/>
      <c r="AH264" s="519"/>
      <c r="AI264" s="519"/>
      <c r="AJ264" s="519"/>
      <c r="AK264" s="519"/>
      <c r="AL264" s="519"/>
      <c r="AM264" s="519"/>
      <c r="AN264" s="519"/>
      <c r="AO264" s="519"/>
      <c r="AP264" s="519"/>
      <c r="AQ264" s="519"/>
      <c r="AR264" s="519"/>
      <c r="AS264" s="519"/>
      <c r="AT264" s="519"/>
      <c r="AU264" s="519"/>
      <c r="AV264" s="519"/>
      <c r="AW264" s="519"/>
      <c r="AX264" s="519"/>
      <c r="AY264" s="519"/>
      <c r="AZ264" s="519"/>
      <c r="BA264" s="519"/>
      <c r="BB264" s="519"/>
      <c r="BC264" s="519"/>
      <c r="BD264" s="519"/>
      <c r="BE264" s="519"/>
      <c r="BF264" s="519"/>
      <c r="BG264" s="519"/>
    </row>
    <row r="265" spans="1:59" s="201" customFormat="1" hidden="1">
      <c r="A265" s="112"/>
      <c r="B265" s="203"/>
      <c r="C265" s="204"/>
      <c r="D265" s="204"/>
      <c r="E265" s="115">
        <v>7900</v>
      </c>
      <c r="F265" s="196" t="s">
        <v>357</v>
      </c>
      <c r="G265" s="384"/>
      <c r="H265" s="384"/>
      <c r="I265" s="403">
        <v>0</v>
      </c>
      <c r="J265" s="131"/>
      <c r="L265" s="519"/>
      <c r="M265" s="519"/>
      <c r="N265" s="519"/>
      <c r="O265" s="519"/>
      <c r="P265" s="519"/>
      <c r="Q265" s="519"/>
      <c r="R265" s="519"/>
      <c r="S265" s="519"/>
      <c r="T265" s="519"/>
      <c r="U265" s="519"/>
      <c r="V265" s="519"/>
      <c r="W265" s="519"/>
      <c r="X265" s="519"/>
      <c r="Y265" s="519"/>
      <c r="Z265" s="519"/>
      <c r="AA265" s="519"/>
      <c r="AB265" s="519"/>
      <c r="AC265" s="519"/>
      <c r="AD265" s="519"/>
      <c r="AE265" s="519"/>
      <c r="AF265" s="519"/>
      <c r="AG265" s="519"/>
      <c r="AH265" s="519"/>
      <c r="AI265" s="519"/>
      <c r="AJ265" s="519"/>
      <c r="AK265" s="519"/>
      <c r="AL265" s="519"/>
      <c r="AM265" s="519"/>
      <c r="AN265" s="519"/>
      <c r="AO265" s="519"/>
      <c r="AP265" s="519"/>
      <c r="AQ265" s="519"/>
      <c r="AR265" s="519"/>
      <c r="AS265" s="519"/>
      <c r="AT265" s="519"/>
      <c r="AU265" s="519"/>
      <c r="AV265" s="519"/>
      <c r="AW265" s="519"/>
      <c r="AX265" s="519"/>
      <c r="AY265" s="519"/>
      <c r="AZ265" s="519"/>
      <c r="BA265" s="519"/>
      <c r="BB265" s="519"/>
      <c r="BC265" s="519"/>
      <c r="BD265" s="519"/>
      <c r="BE265" s="519"/>
      <c r="BF265" s="519"/>
      <c r="BG265" s="519"/>
    </row>
    <row r="266" spans="1:59" s="201" customFormat="1" hidden="1">
      <c r="A266" s="112"/>
      <c r="B266" s="203"/>
      <c r="C266" s="204"/>
      <c r="D266" s="204"/>
      <c r="E266" s="115">
        <v>7900</v>
      </c>
      <c r="F266" s="196" t="s">
        <v>1077</v>
      </c>
      <c r="G266" s="384" t="s">
        <v>1081</v>
      </c>
      <c r="H266" s="384" t="s">
        <v>1079</v>
      </c>
      <c r="I266" s="403">
        <v>875</v>
      </c>
      <c r="J266" s="131"/>
      <c r="L266" s="519"/>
      <c r="M266" s="519"/>
      <c r="N266" s="519"/>
      <c r="O266" s="519"/>
      <c r="P266" s="519"/>
      <c r="Q266" s="519"/>
      <c r="R266" s="519"/>
      <c r="S266" s="519"/>
      <c r="T266" s="519"/>
      <c r="U266" s="519"/>
      <c r="V266" s="519"/>
      <c r="W266" s="519"/>
      <c r="X266" s="519"/>
      <c r="Y266" s="519"/>
      <c r="Z266" s="519"/>
      <c r="AA266" s="519"/>
      <c r="AB266" s="519"/>
      <c r="AC266" s="519"/>
      <c r="AD266" s="519"/>
      <c r="AE266" s="519"/>
      <c r="AF266" s="519"/>
      <c r="AG266" s="519"/>
      <c r="AH266" s="519"/>
      <c r="AI266" s="519"/>
      <c r="AJ266" s="519"/>
      <c r="AK266" s="519"/>
      <c r="AL266" s="519"/>
      <c r="AM266" s="519"/>
      <c r="AN266" s="519"/>
      <c r="AO266" s="519"/>
      <c r="AP266" s="519"/>
      <c r="AQ266" s="519"/>
      <c r="AR266" s="519"/>
      <c r="AS266" s="519"/>
      <c r="AT266" s="519"/>
      <c r="AU266" s="519"/>
      <c r="AV266" s="519"/>
      <c r="AW266" s="519"/>
      <c r="AX266" s="519"/>
      <c r="AY266" s="519"/>
      <c r="AZ266" s="519"/>
      <c r="BA266" s="519"/>
      <c r="BB266" s="519"/>
      <c r="BC266" s="519"/>
      <c r="BD266" s="519"/>
      <c r="BE266" s="519"/>
      <c r="BF266" s="519"/>
      <c r="BG266" s="519"/>
    </row>
    <row r="267" spans="1:59" s="201" customFormat="1" hidden="1">
      <c r="A267" s="112"/>
      <c r="B267" s="203"/>
      <c r="C267" s="204"/>
      <c r="D267" s="204"/>
      <c r="E267" s="115">
        <v>7900</v>
      </c>
      <c r="F267" s="196" t="s">
        <v>1078</v>
      </c>
      <c r="G267" s="384" t="s">
        <v>1082</v>
      </c>
      <c r="H267" s="384" t="s">
        <v>1080</v>
      </c>
      <c r="I267" s="403">
        <v>950</v>
      </c>
      <c r="J267" s="131"/>
      <c r="L267" s="519"/>
      <c r="M267" s="519"/>
      <c r="N267" s="519"/>
      <c r="O267" s="519"/>
      <c r="P267" s="519"/>
      <c r="Q267" s="519"/>
      <c r="R267" s="519"/>
      <c r="S267" s="519"/>
      <c r="T267" s="519"/>
      <c r="U267" s="519"/>
      <c r="V267" s="519"/>
      <c r="W267" s="519"/>
      <c r="X267" s="519"/>
      <c r="Y267" s="519"/>
      <c r="Z267" s="519"/>
      <c r="AA267" s="519"/>
      <c r="AB267" s="519"/>
      <c r="AC267" s="519"/>
      <c r="AD267" s="519"/>
      <c r="AE267" s="519"/>
      <c r="AF267" s="519"/>
      <c r="AG267" s="519"/>
      <c r="AH267" s="519"/>
      <c r="AI267" s="519"/>
      <c r="AJ267" s="519"/>
      <c r="AK267" s="519"/>
      <c r="AL267" s="519"/>
      <c r="AM267" s="519"/>
      <c r="AN267" s="519"/>
      <c r="AO267" s="519"/>
      <c r="AP267" s="519"/>
      <c r="AQ267" s="519"/>
      <c r="AR267" s="519"/>
      <c r="AS267" s="519"/>
      <c r="AT267" s="519"/>
      <c r="AU267" s="519"/>
      <c r="AV267" s="519"/>
      <c r="AW267" s="519"/>
      <c r="AX267" s="519"/>
      <c r="AY267" s="519"/>
      <c r="AZ267" s="519"/>
      <c r="BA267" s="519"/>
      <c r="BB267" s="519"/>
      <c r="BC267" s="519"/>
      <c r="BD267" s="519"/>
      <c r="BE267" s="519"/>
      <c r="BF267" s="519"/>
      <c r="BG267" s="519"/>
    </row>
    <row r="268" spans="1:59" s="201" customFormat="1" hidden="1">
      <c r="A268" s="112"/>
      <c r="B268" s="203"/>
      <c r="C268" s="204"/>
      <c r="D268" s="204"/>
      <c r="E268" s="115"/>
      <c r="F268" s="204"/>
      <c r="G268" s="199"/>
      <c r="H268" s="199"/>
      <c r="I268" s="405"/>
      <c r="J268" s="131"/>
      <c r="L268" s="519"/>
      <c r="M268" s="519"/>
      <c r="N268" s="519"/>
      <c r="O268" s="519"/>
      <c r="P268" s="519"/>
      <c r="Q268" s="519"/>
      <c r="R268" s="519"/>
      <c r="S268" s="519"/>
      <c r="T268" s="519"/>
      <c r="U268" s="519"/>
      <c r="V268" s="519"/>
      <c r="W268" s="519"/>
      <c r="X268" s="519"/>
      <c r="Y268" s="519"/>
      <c r="Z268" s="519"/>
      <c r="AA268" s="519"/>
      <c r="AB268" s="519"/>
      <c r="AC268" s="519"/>
      <c r="AD268" s="519"/>
      <c r="AE268" s="519"/>
      <c r="AF268" s="519"/>
      <c r="AG268" s="519"/>
      <c r="AH268" s="519"/>
      <c r="AI268" s="519"/>
      <c r="AJ268" s="519"/>
      <c r="AK268" s="519"/>
      <c r="AL268" s="519"/>
      <c r="AM268" s="519"/>
      <c r="AN268" s="519"/>
      <c r="AO268" s="519"/>
      <c r="AP268" s="519"/>
      <c r="AQ268" s="519"/>
      <c r="AR268" s="519"/>
      <c r="AS268" s="519"/>
      <c r="AT268" s="519"/>
      <c r="AU268" s="519"/>
      <c r="AV268" s="519"/>
      <c r="AW268" s="519"/>
      <c r="AX268" s="519"/>
      <c r="AY268" s="519"/>
      <c r="AZ268" s="519"/>
      <c r="BA268" s="519"/>
      <c r="BB268" s="519"/>
      <c r="BC268" s="519"/>
      <c r="BD268" s="519"/>
      <c r="BE268" s="519"/>
      <c r="BF268" s="519"/>
      <c r="BG268" s="519"/>
    </row>
    <row r="269" spans="1:59" s="201" customFormat="1" hidden="1">
      <c r="A269" s="112"/>
      <c r="B269" s="203"/>
      <c r="C269" s="204"/>
      <c r="D269" s="204"/>
      <c r="E269" s="115">
        <v>7900</v>
      </c>
      <c r="F269" s="196" t="s">
        <v>1085</v>
      </c>
      <c r="G269" s="384" t="s">
        <v>1084</v>
      </c>
      <c r="H269" s="384" t="s">
        <v>1083</v>
      </c>
      <c r="I269" s="403"/>
      <c r="J269" s="131"/>
      <c r="L269" s="519"/>
      <c r="M269" s="519"/>
      <c r="N269" s="519"/>
      <c r="O269" s="519"/>
      <c r="P269" s="519"/>
      <c r="Q269" s="519"/>
      <c r="R269" s="519"/>
      <c r="S269" s="519"/>
      <c r="T269" s="519"/>
      <c r="U269" s="519"/>
      <c r="V269" s="519"/>
      <c r="W269" s="519"/>
      <c r="X269" s="519"/>
      <c r="Y269" s="519"/>
      <c r="Z269" s="519"/>
      <c r="AA269" s="519"/>
      <c r="AB269" s="519"/>
      <c r="AC269" s="519"/>
      <c r="AD269" s="519"/>
      <c r="AE269" s="519"/>
      <c r="AF269" s="519"/>
      <c r="AG269" s="519"/>
      <c r="AH269" s="519"/>
      <c r="AI269" s="519"/>
      <c r="AJ269" s="519"/>
      <c r="AK269" s="519"/>
      <c r="AL269" s="519"/>
      <c r="AM269" s="519"/>
      <c r="AN269" s="519"/>
      <c r="AO269" s="519"/>
      <c r="AP269" s="519"/>
      <c r="AQ269" s="519"/>
      <c r="AR269" s="519"/>
      <c r="AS269" s="519"/>
      <c r="AT269" s="519"/>
      <c r="AU269" s="519"/>
      <c r="AV269" s="519"/>
      <c r="AW269" s="519"/>
      <c r="AX269" s="519"/>
      <c r="AY269" s="519"/>
      <c r="AZ269" s="519"/>
      <c r="BA269" s="519"/>
      <c r="BB269" s="519"/>
      <c r="BC269" s="519"/>
      <c r="BD269" s="519"/>
      <c r="BE269" s="519"/>
      <c r="BF269" s="519"/>
      <c r="BG269" s="519"/>
    </row>
    <row r="270" spans="1:59" s="201" customFormat="1" hidden="1">
      <c r="A270" s="112"/>
      <c r="B270" s="203"/>
      <c r="C270" s="204"/>
      <c r="D270" s="204"/>
      <c r="E270" s="115">
        <v>7900</v>
      </c>
      <c r="F270" s="196" t="s">
        <v>363</v>
      </c>
      <c r="G270" s="384"/>
      <c r="H270" s="384" t="s">
        <v>520</v>
      </c>
      <c r="I270" s="403"/>
      <c r="J270" s="131"/>
      <c r="L270" s="519"/>
      <c r="M270" s="519"/>
      <c r="N270" s="519"/>
      <c r="O270" s="519"/>
      <c r="P270" s="519"/>
      <c r="Q270" s="519"/>
      <c r="R270" s="519"/>
      <c r="S270" s="519"/>
      <c r="T270" s="519"/>
      <c r="U270" s="519"/>
      <c r="V270" s="519"/>
      <c r="W270" s="519"/>
      <c r="X270" s="519"/>
      <c r="Y270" s="519"/>
      <c r="Z270" s="519"/>
      <c r="AA270" s="519"/>
      <c r="AB270" s="519"/>
      <c r="AC270" s="519"/>
      <c r="AD270" s="519"/>
      <c r="AE270" s="519"/>
      <c r="AF270" s="519"/>
      <c r="AG270" s="519"/>
      <c r="AH270" s="519"/>
      <c r="AI270" s="519"/>
      <c r="AJ270" s="519"/>
      <c r="AK270" s="519"/>
      <c r="AL270" s="519"/>
      <c r="AM270" s="519"/>
      <c r="AN270" s="519"/>
      <c r="AO270" s="519"/>
      <c r="AP270" s="519"/>
      <c r="AQ270" s="519"/>
      <c r="AR270" s="519"/>
      <c r="AS270" s="519"/>
      <c r="AT270" s="519"/>
      <c r="AU270" s="519"/>
      <c r="AV270" s="519"/>
      <c r="AW270" s="519"/>
      <c r="AX270" s="519"/>
      <c r="AY270" s="519"/>
      <c r="AZ270" s="519"/>
      <c r="BA270" s="519"/>
      <c r="BB270" s="519"/>
      <c r="BC270" s="519"/>
      <c r="BD270" s="519"/>
      <c r="BE270" s="519"/>
      <c r="BF270" s="519"/>
      <c r="BG270" s="519"/>
    </row>
    <row r="271" spans="1:59" s="201" customFormat="1" hidden="1">
      <c r="A271" s="112"/>
      <c r="B271" s="203"/>
      <c r="C271" s="204"/>
      <c r="D271" s="204"/>
      <c r="E271" s="115">
        <v>7900</v>
      </c>
      <c r="F271" s="196" t="s">
        <v>362</v>
      </c>
      <c r="G271" s="384"/>
      <c r="H271" s="384" t="s">
        <v>521</v>
      </c>
      <c r="I271" s="403">
        <v>1000</v>
      </c>
      <c r="J271" s="131"/>
      <c r="L271" s="519"/>
      <c r="M271" s="519"/>
      <c r="N271" s="519"/>
      <c r="O271" s="519"/>
      <c r="P271" s="519"/>
      <c r="Q271" s="519"/>
      <c r="R271" s="519"/>
      <c r="S271" s="519"/>
      <c r="T271" s="519"/>
      <c r="U271" s="519"/>
      <c r="V271" s="519"/>
      <c r="W271" s="519"/>
      <c r="X271" s="519"/>
      <c r="Y271" s="519"/>
      <c r="Z271" s="519"/>
      <c r="AA271" s="519"/>
      <c r="AB271" s="519"/>
      <c r="AC271" s="519"/>
      <c r="AD271" s="519"/>
      <c r="AE271" s="519"/>
      <c r="AF271" s="519"/>
      <c r="AG271" s="519"/>
      <c r="AH271" s="519"/>
      <c r="AI271" s="519"/>
      <c r="AJ271" s="519"/>
      <c r="AK271" s="519"/>
      <c r="AL271" s="519"/>
      <c r="AM271" s="519"/>
      <c r="AN271" s="519"/>
      <c r="AO271" s="519"/>
      <c r="AP271" s="519"/>
      <c r="AQ271" s="519"/>
      <c r="AR271" s="519"/>
      <c r="AS271" s="519"/>
      <c r="AT271" s="519"/>
      <c r="AU271" s="519"/>
      <c r="AV271" s="519"/>
      <c r="AW271" s="519"/>
      <c r="AX271" s="519"/>
      <c r="AY271" s="519"/>
      <c r="AZ271" s="519"/>
      <c r="BA271" s="519"/>
      <c r="BB271" s="519"/>
      <c r="BC271" s="519"/>
      <c r="BD271" s="519"/>
      <c r="BE271" s="519"/>
      <c r="BF271" s="519"/>
      <c r="BG271" s="519"/>
    </row>
    <row r="272" spans="1:59" s="201" customFormat="1" hidden="1">
      <c r="A272" s="112"/>
      <c r="B272" s="203"/>
      <c r="C272" s="204"/>
      <c r="D272" s="204"/>
      <c r="E272" s="115"/>
      <c r="F272" s="380" t="s">
        <v>772</v>
      </c>
      <c r="G272" s="199"/>
      <c r="H272" s="199"/>
      <c r="I272" s="333"/>
      <c r="J272" s="131"/>
      <c r="L272" s="519"/>
      <c r="M272" s="519"/>
      <c r="N272" s="519"/>
      <c r="O272" s="519"/>
      <c r="P272" s="519"/>
      <c r="Q272" s="519"/>
      <c r="R272" s="519"/>
      <c r="S272" s="519"/>
      <c r="T272" s="519"/>
      <c r="U272" s="519"/>
      <c r="V272" s="519"/>
      <c r="W272" s="519"/>
      <c r="X272" s="519"/>
      <c r="Y272" s="519"/>
      <c r="Z272" s="519"/>
      <c r="AA272" s="519"/>
      <c r="AB272" s="519"/>
      <c r="AC272" s="519"/>
      <c r="AD272" s="519"/>
      <c r="AE272" s="519"/>
      <c r="AF272" s="519"/>
      <c r="AG272" s="519"/>
      <c r="AH272" s="519"/>
      <c r="AI272" s="519"/>
      <c r="AJ272" s="519"/>
      <c r="AK272" s="519"/>
      <c r="AL272" s="519"/>
      <c r="AM272" s="519"/>
      <c r="AN272" s="519"/>
      <c r="AO272" s="519"/>
      <c r="AP272" s="519"/>
      <c r="AQ272" s="519"/>
      <c r="AR272" s="519"/>
      <c r="AS272" s="519"/>
      <c r="AT272" s="519"/>
      <c r="AU272" s="519"/>
      <c r="AV272" s="519"/>
      <c r="AW272" s="519"/>
      <c r="AX272" s="519"/>
      <c r="AY272" s="519"/>
      <c r="AZ272" s="519"/>
      <c r="BA272" s="519"/>
      <c r="BB272" s="519"/>
      <c r="BC272" s="519"/>
      <c r="BD272" s="519"/>
      <c r="BE272" s="519"/>
      <c r="BF272" s="519"/>
      <c r="BG272" s="519"/>
    </row>
    <row r="273" spans="1:60" s="201" customFormat="1" hidden="1">
      <c r="A273" s="112"/>
      <c r="B273" s="203"/>
      <c r="C273" s="204"/>
      <c r="D273" s="204"/>
      <c r="E273" s="115"/>
      <c r="F273" s="204"/>
      <c r="G273" s="199"/>
      <c r="H273" s="199"/>
      <c r="I273" s="333"/>
      <c r="J273" s="131"/>
      <c r="L273" s="519"/>
      <c r="M273" s="519"/>
      <c r="N273" s="519"/>
      <c r="O273" s="519"/>
      <c r="P273" s="519"/>
      <c r="Q273" s="519"/>
      <c r="R273" s="519"/>
      <c r="S273" s="519"/>
      <c r="T273" s="519"/>
      <c r="U273" s="519"/>
      <c r="V273" s="519"/>
      <c r="W273" s="519"/>
      <c r="X273" s="519"/>
      <c r="Y273" s="519"/>
      <c r="Z273" s="519"/>
      <c r="AA273" s="519"/>
      <c r="AB273" s="519"/>
      <c r="AC273" s="519"/>
      <c r="AD273" s="519"/>
      <c r="AE273" s="519"/>
      <c r="AF273" s="519"/>
      <c r="AG273" s="519"/>
      <c r="AH273" s="519"/>
      <c r="AI273" s="519"/>
      <c r="AJ273" s="519"/>
      <c r="AK273" s="519"/>
      <c r="AL273" s="519"/>
      <c r="AM273" s="519"/>
      <c r="AN273" s="519"/>
      <c r="AO273" s="519"/>
      <c r="AP273" s="519"/>
      <c r="AQ273" s="519"/>
      <c r="AR273" s="519"/>
      <c r="AS273" s="519"/>
      <c r="AT273" s="519"/>
      <c r="AU273" s="519"/>
      <c r="AV273" s="519"/>
      <c r="AW273" s="519"/>
      <c r="AX273" s="519"/>
      <c r="AY273" s="519"/>
      <c r="AZ273" s="519"/>
      <c r="BA273" s="519"/>
      <c r="BB273" s="519"/>
      <c r="BC273" s="519"/>
      <c r="BD273" s="519"/>
      <c r="BE273" s="519"/>
      <c r="BF273" s="519"/>
      <c r="BG273" s="519"/>
    </row>
    <row r="274" spans="1:60" s="201" customFormat="1" hidden="1">
      <c r="A274" s="112"/>
      <c r="B274" s="203"/>
      <c r="C274" s="204"/>
      <c r="D274" s="204"/>
      <c r="E274" s="115"/>
      <c r="F274" s="115"/>
      <c r="G274" s="115"/>
      <c r="H274" s="115"/>
      <c r="I274" s="115"/>
      <c r="J274" s="131"/>
      <c r="L274" s="519"/>
      <c r="M274" s="519"/>
      <c r="N274" s="519"/>
      <c r="O274" s="519"/>
      <c r="P274" s="519"/>
      <c r="Q274" s="519"/>
      <c r="R274" s="519"/>
      <c r="S274" s="519"/>
      <c r="T274" s="519"/>
      <c r="U274" s="519"/>
      <c r="V274" s="519"/>
      <c r="W274" s="519"/>
      <c r="X274" s="519"/>
      <c r="Y274" s="519"/>
      <c r="Z274" s="519"/>
      <c r="AA274" s="519"/>
      <c r="AB274" s="519"/>
      <c r="AC274" s="519"/>
      <c r="AD274" s="519"/>
      <c r="AE274" s="519"/>
      <c r="AF274" s="519"/>
      <c r="AG274" s="519"/>
      <c r="AH274" s="519"/>
      <c r="AI274" s="519"/>
      <c r="AJ274" s="519"/>
      <c r="AK274" s="519"/>
      <c r="AL274" s="519"/>
      <c r="AM274" s="519"/>
      <c r="AN274" s="519"/>
      <c r="AO274" s="519"/>
      <c r="AP274" s="519"/>
      <c r="AQ274" s="519"/>
      <c r="AR274" s="519"/>
      <c r="AS274" s="519"/>
      <c r="AT274" s="519"/>
      <c r="AU274" s="519"/>
      <c r="AV274" s="519"/>
      <c r="AW274" s="519"/>
      <c r="AX274" s="519"/>
      <c r="AY274" s="519"/>
      <c r="AZ274" s="519"/>
      <c r="BA274" s="519"/>
      <c r="BB274" s="519"/>
      <c r="BC274" s="519"/>
      <c r="BD274" s="519"/>
      <c r="BE274" s="519"/>
      <c r="BF274" s="519"/>
      <c r="BG274" s="519"/>
    </row>
    <row r="275" spans="1:60" s="201" customFormat="1" hidden="1">
      <c r="A275" s="112"/>
      <c r="B275" s="203"/>
      <c r="C275" s="132"/>
      <c r="D275" s="132" t="s">
        <v>361</v>
      </c>
      <c r="E275" s="115"/>
      <c r="F275" s="196"/>
      <c r="G275" s="384"/>
      <c r="H275" s="384"/>
      <c r="I275" s="403"/>
      <c r="J275" s="131"/>
      <c r="L275" s="519"/>
      <c r="M275" s="519"/>
      <c r="N275" s="519"/>
      <c r="O275" s="519"/>
      <c r="P275" s="519"/>
      <c r="Q275" s="519"/>
      <c r="R275" s="519"/>
      <c r="S275" s="519"/>
      <c r="T275" s="519"/>
      <c r="U275" s="519"/>
      <c r="V275" s="519"/>
      <c r="W275" s="519"/>
      <c r="X275" s="519"/>
      <c r="Y275" s="519"/>
      <c r="Z275" s="519"/>
      <c r="AA275" s="519"/>
      <c r="AB275" s="519"/>
      <c r="AC275" s="519"/>
      <c r="AD275" s="519"/>
      <c r="AE275" s="519"/>
      <c r="AF275" s="519"/>
      <c r="AG275" s="519"/>
      <c r="AH275" s="519"/>
      <c r="AI275" s="519"/>
      <c r="AJ275" s="519"/>
      <c r="AK275" s="519"/>
      <c r="AL275" s="519"/>
      <c r="AM275" s="519"/>
      <c r="AN275" s="519"/>
      <c r="AO275" s="519"/>
      <c r="AP275" s="519"/>
      <c r="AQ275" s="519"/>
      <c r="AR275" s="519"/>
      <c r="AS275" s="519"/>
      <c r="AT275" s="519"/>
      <c r="AU275" s="519"/>
      <c r="AV275" s="519"/>
      <c r="AW275" s="519"/>
      <c r="AX275" s="519"/>
      <c r="AY275" s="519"/>
      <c r="AZ275" s="519"/>
      <c r="BA275" s="519"/>
      <c r="BB275" s="519"/>
      <c r="BC275" s="519"/>
      <c r="BD275" s="519"/>
      <c r="BE275" s="519"/>
      <c r="BF275" s="519"/>
      <c r="BG275" s="519"/>
    </row>
    <row r="276" spans="1:60" s="201" customFormat="1" hidden="1">
      <c r="A276" s="112"/>
      <c r="B276" s="203"/>
      <c r="C276" s="204"/>
      <c r="D276" s="204"/>
      <c r="E276" s="115">
        <v>7900</v>
      </c>
      <c r="F276" s="196" t="s">
        <v>393</v>
      </c>
      <c r="G276" s="384" t="s">
        <v>1076</v>
      </c>
      <c r="H276" s="384" t="s">
        <v>1072</v>
      </c>
      <c r="I276" s="403">
        <v>0</v>
      </c>
      <c r="J276" s="131"/>
      <c r="L276" s="519"/>
      <c r="M276" s="519"/>
      <c r="N276" s="519"/>
      <c r="O276" s="519"/>
      <c r="P276" s="519"/>
      <c r="Q276" s="519"/>
      <c r="R276" s="519"/>
      <c r="S276" s="519"/>
      <c r="T276" s="519"/>
      <c r="U276" s="519"/>
      <c r="V276" s="519"/>
      <c r="W276" s="519"/>
      <c r="X276" s="519"/>
      <c r="Y276" s="519"/>
      <c r="Z276" s="519"/>
      <c r="AA276" s="519"/>
      <c r="AB276" s="519"/>
      <c r="AC276" s="519"/>
      <c r="AD276" s="519"/>
      <c r="AE276" s="519"/>
      <c r="AF276" s="519"/>
      <c r="AG276" s="519"/>
      <c r="AH276" s="519"/>
      <c r="AI276" s="519"/>
      <c r="AJ276" s="519"/>
      <c r="AK276" s="519"/>
      <c r="AL276" s="519"/>
      <c r="AM276" s="519"/>
      <c r="AN276" s="519"/>
      <c r="AO276" s="519"/>
      <c r="AP276" s="519"/>
      <c r="AQ276" s="519"/>
      <c r="AR276" s="519"/>
      <c r="AS276" s="519"/>
      <c r="AT276" s="519"/>
      <c r="AU276" s="519"/>
      <c r="AV276" s="519"/>
      <c r="AW276" s="519"/>
      <c r="AX276" s="519"/>
      <c r="AY276" s="519"/>
      <c r="AZ276" s="519"/>
      <c r="BA276" s="519"/>
      <c r="BB276" s="519"/>
      <c r="BC276" s="519"/>
      <c r="BD276" s="519"/>
      <c r="BE276" s="519"/>
      <c r="BF276" s="519"/>
      <c r="BG276" s="519"/>
    </row>
    <row r="277" spans="1:60" s="201" customFormat="1" hidden="1">
      <c r="A277" s="112"/>
      <c r="B277" s="203"/>
      <c r="C277" s="204"/>
      <c r="D277" s="204"/>
      <c r="E277" s="115"/>
      <c r="F277" s="196"/>
      <c r="G277" s="384"/>
      <c r="H277" s="384"/>
      <c r="I277" s="403"/>
      <c r="J277" s="131"/>
      <c r="L277" s="519"/>
      <c r="M277" s="519"/>
      <c r="N277" s="519"/>
      <c r="O277" s="519"/>
      <c r="P277" s="519"/>
      <c r="Q277" s="519"/>
      <c r="R277" s="519"/>
      <c r="S277" s="519"/>
      <c r="T277" s="519"/>
      <c r="U277" s="519"/>
      <c r="V277" s="519"/>
      <c r="W277" s="519"/>
      <c r="X277" s="519"/>
      <c r="Y277" s="519"/>
      <c r="Z277" s="519"/>
      <c r="AA277" s="519"/>
      <c r="AB277" s="519"/>
      <c r="AC277" s="519"/>
      <c r="AD277" s="519"/>
      <c r="AE277" s="519"/>
      <c r="AF277" s="519"/>
      <c r="AG277" s="519"/>
      <c r="AH277" s="519"/>
      <c r="AI277" s="519"/>
      <c r="AJ277" s="519"/>
      <c r="AK277" s="519"/>
      <c r="AL277" s="519"/>
      <c r="AM277" s="519"/>
      <c r="AN277" s="519"/>
      <c r="AO277" s="519"/>
      <c r="AP277" s="519"/>
      <c r="AQ277" s="519"/>
      <c r="AR277" s="519"/>
      <c r="AS277" s="519"/>
      <c r="AT277" s="519"/>
      <c r="AU277" s="519"/>
      <c r="AV277" s="519"/>
      <c r="AW277" s="519"/>
      <c r="AX277" s="519"/>
      <c r="AY277" s="519"/>
      <c r="AZ277" s="519"/>
      <c r="BA277" s="519"/>
      <c r="BB277" s="519"/>
      <c r="BC277" s="519"/>
      <c r="BD277" s="519"/>
      <c r="BE277" s="519"/>
      <c r="BF277" s="519"/>
      <c r="BG277" s="519"/>
    </row>
    <row r="278" spans="1:60" s="201" customFormat="1" hidden="1">
      <c r="A278" s="112"/>
      <c r="B278" s="203"/>
      <c r="C278" s="204"/>
      <c r="D278" s="204"/>
      <c r="E278" s="115"/>
      <c r="F278" s="133"/>
      <c r="G278" s="199"/>
      <c r="H278" s="199"/>
      <c r="I278" s="333"/>
      <c r="J278" s="131"/>
      <c r="L278" s="519"/>
      <c r="M278" s="519"/>
      <c r="N278" s="519"/>
      <c r="O278" s="519"/>
      <c r="P278" s="519"/>
      <c r="Q278" s="519"/>
      <c r="R278" s="519"/>
      <c r="S278" s="519"/>
      <c r="T278" s="519"/>
      <c r="U278" s="519"/>
      <c r="V278" s="519"/>
      <c r="W278" s="519"/>
      <c r="X278" s="519"/>
      <c r="Y278" s="519"/>
      <c r="Z278" s="519"/>
      <c r="AA278" s="519"/>
      <c r="AB278" s="519"/>
      <c r="AC278" s="519"/>
      <c r="AD278" s="519"/>
      <c r="AE278" s="519"/>
      <c r="AF278" s="519"/>
      <c r="AG278" s="519"/>
      <c r="AH278" s="519"/>
      <c r="AI278" s="519"/>
      <c r="AJ278" s="519"/>
      <c r="AK278" s="519"/>
      <c r="AL278" s="519"/>
      <c r="AM278" s="519"/>
      <c r="AN278" s="519"/>
      <c r="AO278" s="519"/>
      <c r="AP278" s="519"/>
      <c r="AQ278" s="519"/>
      <c r="AR278" s="519"/>
      <c r="AS278" s="519"/>
      <c r="AT278" s="519"/>
      <c r="AU278" s="519"/>
      <c r="AV278" s="519"/>
      <c r="AW278" s="519"/>
      <c r="AX278" s="519"/>
      <c r="AY278" s="519"/>
      <c r="AZ278" s="519"/>
      <c r="BA278" s="519"/>
      <c r="BB278" s="519"/>
      <c r="BC278" s="519"/>
      <c r="BD278" s="519"/>
      <c r="BE278" s="519"/>
      <c r="BF278" s="519"/>
      <c r="BG278" s="519"/>
    </row>
    <row r="279" spans="1:60" s="201" customFormat="1" ht="12" hidden="1" customHeight="1">
      <c r="A279" s="112"/>
      <c r="B279" s="203"/>
      <c r="C279" s="133"/>
      <c r="D279" s="133"/>
      <c r="E279" s="115"/>
      <c r="F279" s="133"/>
      <c r="G279" s="199"/>
      <c r="H279" s="199"/>
      <c r="I279" s="333"/>
      <c r="J279" s="131"/>
      <c r="L279" s="519"/>
      <c r="M279" s="519"/>
      <c r="N279" s="519"/>
      <c r="O279" s="519"/>
      <c r="P279" s="519"/>
      <c r="Q279" s="519"/>
      <c r="R279" s="519"/>
      <c r="S279" s="519"/>
      <c r="T279" s="519"/>
      <c r="U279" s="519"/>
      <c r="V279" s="519"/>
      <c r="W279" s="519"/>
      <c r="X279" s="519"/>
      <c r="Y279" s="519"/>
      <c r="Z279" s="519"/>
      <c r="AA279" s="519"/>
      <c r="AB279" s="519"/>
      <c r="AC279" s="519"/>
      <c r="AD279" s="519"/>
      <c r="AE279" s="519"/>
      <c r="AF279" s="519"/>
      <c r="AG279" s="519"/>
      <c r="AH279" s="519"/>
      <c r="AI279" s="519"/>
      <c r="AJ279" s="519"/>
      <c r="AK279" s="519"/>
      <c r="AL279" s="519"/>
      <c r="AM279" s="519"/>
      <c r="AN279" s="519"/>
      <c r="AO279" s="519"/>
      <c r="AP279" s="519"/>
      <c r="AQ279" s="519"/>
      <c r="AR279" s="519"/>
      <c r="AS279" s="519"/>
      <c r="AT279" s="519"/>
      <c r="AU279" s="519"/>
      <c r="AV279" s="519"/>
      <c r="AW279" s="519"/>
      <c r="AX279" s="519"/>
      <c r="AY279" s="519"/>
      <c r="AZ279" s="519"/>
      <c r="BA279" s="519"/>
      <c r="BB279" s="519"/>
      <c r="BC279" s="519"/>
      <c r="BD279" s="519"/>
      <c r="BE279" s="519"/>
      <c r="BF279" s="519"/>
      <c r="BG279" s="519"/>
    </row>
    <row r="280" spans="1:60" s="201" customFormat="1" hidden="1">
      <c r="A280" s="112"/>
      <c r="B280" s="203"/>
      <c r="C280" s="132"/>
      <c r="D280" s="132" t="s">
        <v>109</v>
      </c>
      <c r="E280" s="115"/>
      <c r="F280" s="133"/>
      <c r="G280" s="199"/>
      <c r="H280" s="199"/>
      <c r="I280" s="333"/>
      <c r="J280" s="131"/>
      <c r="L280" s="519"/>
      <c r="M280" s="519"/>
      <c r="N280" s="519"/>
      <c r="O280" s="519"/>
      <c r="P280" s="519"/>
      <c r="Q280" s="519"/>
      <c r="R280" s="519"/>
      <c r="S280" s="519"/>
      <c r="T280" s="519"/>
      <c r="U280" s="519"/>
      <c r="V280" s="519"/>
      <c r="W280" s="519"/>
      <c r="X280" s="519"/>
      <c r="Y280" s="519"/>
      <c r="Z280" s="519"/>
      <c r="AA280" s="519"/>
      <c r="AB280" s="519"/>
      <c r="AC280" s="519"/>
      <c r="AD280" s="519"/>
      <c r="AE280" s="519"/>
      <c r="AF280" s="519"/>
      <c r="AG280" s="519"/>
      <c r="AH280" s="519"/>
      <c r="AI280" s="519"/>
      <c r="AJ280" s="519"/>
      <c r="AK280" s="519"/>
      <c r="AL280" s="519"/>
      <c r="AM280" s="519"/>
      <c r="AN280" s="519"/>
      <c r="AO280" s="519"/>
      <c r="AP280" s="519"/>
      <c r="AQ280" s="519"/>
      <c r="AR280" s="519"/>
      <c r="AS280" s="519"/>
      <c r="AT280" s="519"/>
      <c r="AU280" s="519"/>
      <c r="AV280" s="519"/>
      <c r="AW280" s="519" t="s">
        <v>1045</v>
      </c>
      <c r="AX280" s="519" t="s">
        <v>1046</v>
      </c>
      <c r="AY280" s="519" t="s">
        <v>1047</v>
      </c>
      <c r="AZ280" s="519"/>
      <c r="BA280" s="519"/>
      <c r="BB280" s="519"/>
      <c r="BC280" s="519"/>
      <c r="BD280" s="519"/>
      <c r="BE280" s="519"/>
      <c r="BF280" s="519"/>
      <c r="BG280" s="519"/>
    </row>
    <row r="281" spans="1:60" s="201" customFormat="1" hidden="1">
      <c r="A281" s="112"/>
      <c r="B281" s="203"/>
      <c r="C281" s="133"/>
      <c r="D281" s="133"/>
      <c r="E281" s="115"/>
      <c r="F281" s="157" t="s">
        <v>368</v>
      </c>
      <c r="G281" s="383" t="s">
        <v>527</v>
      </c>
      <c r="H281" s="384" t="s">
        <v>528</v>
      </c>
      <c r="I281" s="403">
        <v>945</v>
      </c>
      <c r="J281" s="131"/>
      <c r="L281" s="519"/>
      <c r="M281" s="519"/>
      <c r="N281" s="519"/>
      <c r="O281" s="519"/>
      <c r="P281" s="519"/>
      <c r="Q281" s="519"/>
      <c r="R281" s="519"/>
      <c r="S281" s="519"/>
      <c r="T281" s="519"/>
      <c r="U281" s="519"/>
      <c r="V281" s="519"/>
      <c r="W281" s="519"/>
      <c r="X281" s="519"/>
      <c r="Y281" s="519"/>
      <c r="Z281" s="519"/>
      <c r="AA281" s="519"/>
      <c r="AB281" s="519"/>
      <c r="AC281" s="519"/>
      <c r="AD281" s="519"/>
      <c r="AE281" s="519"/>
      <c r="AF281" s="519"/>
      <c r="AG281" s="519"/>
      <c r="AH281" s="519"/>
      <c r="AI281" s="519"/>
      <c r="AJ281" s="519"/>
      <c r="AK281" s="519"/>
      <c r="AL281" s="519"/>
      <c r="AM281" s="519"/>
      <c r="AN281" s="519"/>
      <c r="AO281" s="519"/>
      <c r="AP281" s="519"/>
      <c r="AQ281" s="519"/>
      <c r="AR281" s="519"/>
      <c r="AS281" s="519"/>
      <c r="AT281" s="519"/>
      <c r="AU281" s="519"/>
      <c r="AV281" s="519"/>
      <c r="AW281" s="519">
        <v>900</v>
      </c>
      <c r="AX281" s="920">
        <v>0.05</v>
      </c>
      <c r="AY281" s="925">
        <f>AW281*(1+AX281)</f>
        <v>945</v>
      </c>
      <c r="AZ281" s="519"/>
      <c r="BA281" s="519"/>
      <c r="BB281" s="519"/>
      <c r="BC281" s="519"/>
      <c r="BD281" s="519"/>
      <c r="BE281" s="519"/>
      <c r="BF281" s="519"/>
      <c r="BG281" s="519"/>
      <c r="BH281" s="1084">
        <f>I281*1.05</f>
        <v>992.25</v>
      </c>
    </row>
    <row r="282" spans="1:60" s="201" customFormat="1" hidden="1">
      <c r="A282" s="112"/>
      <c r="B282" s="203"/>
      <c r="C282" s="133"/>
      <c r="D282" s="133"/>
      <c r="E282" s="115"/>
      <c r="F282" s="196" t="s">
        <v>371</v>
      </c>
      <c r="G282" s="383" t="s">
        <v>677</v>
      </c>
      <c r="H282" s="384" t="s">
        <v>558</v>
      </c>
      <c r="I282" s="403">
        <v>145</v>
      </c>
      <c r="J282" s="131"/>
      <c r="L282" s="519"/>
      <c r="M282" s="519"/>
      <c r="N282" s="519"/>
      <c r="O282" s="519"/>
      <c r="P282" s="519"/>
      <c r="Q282" s="519"/>
      <c r="R282" s="519"/>
      <c r="S282" s="519"/>
      <c r="T282" s="519"/>
      <c r="U282" s="519"/>
      <c r="V282" s="519"/>
      <c r="W282" s="519"/>
      <c r="X282" s="519"/>
      <c r="Y282" s="519"/>
      <c r="Z282" s="519"/>
      <c r="AA282" s="519"/>
      <c r="AB282" s="519"/>
      <c r="AC282" s="519"/>
      <c r="AD282" s="519"/>
      <c r="AE282" s="519"/>
      <c r="AF282" s="519"/>
      <c r="AG282" s="519"/>
      <c r="AH282" s="519"/>
      <c r="AI282" s="519"/>
      <c r="AJ282" s="519"/>
      <c r="AK282" s="519"/>
      <c r="AL282" s="519"/>
      <c r="AM282" s="519"/>
      <c r="AN282" s="519"/>
      <c r="AO282" s="519"/>
      <c r="AP282" s="519"/>
      <c r="AQ282" s="519"/>
      <c r="AR282" s="519"/>
      <c r="AS282" s="519"/>
      <c r="AT282" s="519"/>
      <c r="AU282" s="519"/>
      <c r="AV282" s="519"/>
      <c r="AW282" s="519">
        <v>138</v>
      </c>
      <c r="AX282" s="920">
        <v>0.05</v>
      </c>
      <c r="AY282" s="925">
        <f t="shared" ref="AY282:AY291" si="23">AW282*(1+AX282)</f>
        <v>144.9</v>
      </c>
      <c r="AZ282" s="519"/>
      <c r="BA282" s="519"/>
      <c r="BB282" s="519"/>
      <c r="BC282" s="519"/>
      <c r="BD282" s="519"/>
      <c r="BE282" s="519"/>
      <c r="BF282" s="519"/>
      <c r="BG282" s="519"/>
      <c r="BH282" s="1084">
        <f t="shared" ref="BH282:BH296" si="24">I282*1.05</f>
        <v>152.25</v>
      </c>
    </row>
    <row r="283" spans="1:60" s="201" customFormat="1" ht="22.5" hidden="1">
      <c r="A283" s="112"/>
      <c r="B283" s="203"/>
      <c r="C283" s="133"/>
      <c r="D283" s="133"/>
      <c r="E283" s="115"/>
      <c r="F283" s="196" t="s">
        <v>372</v>
      </c>
      <c r="G283" s="385" t="s">
        <v>640</v>
      </c>
      <c r="H283" s="384"/>
      <c r="I283" s="403">
        <v>456</v>
      </c>
      <c r="J283" s="131"/>
      <c r="L283" s="519"/>
      <c r="M283" s="519"/>
      <c r="N283" s="519"/>
      <c r="O283" s="519"/>
      <c r="P283" s="519"/>
      <c r="Q283" s="519"/>
      <c r="R283" s="519"/>
      <c r="S283" s="519"/>
      <c r="T283" s="519"/>
      <c r="U283" s="519"/>
      <c r="V283" s="519"/>
      <c r="W283" s="519"/>
      <c r="X283" s="519"/>
      <c r="Y283" s="519"/>
      <c r="Z283" s="519"/>
      <c r="AA283" s="519"/>
      <c r="AB283" s="519"/>
      <c r="AC283" s="519"/>
      <c r="AD283" s="519"/>
      <c r="AE283" s="519"/>
      <c r="AF283" s="519"/>
      <c r="AG283" s="519"/>
      <c r="AH283" s="519"/>
      <c r="AI283" s="519"/>
      <c r="AJ283" s="519"/>
      <c r="AK283" s="519"/>
      <c r="AL283" s="519"/>
      <c r="AM283" s="519"/>
      <c r="AN283" s="519"/>
      <c r="AO283" s="519"/>
      <c r="AP283" s="519"/>
      <c r="AQ283" s="519"/>
      <c r="AR283" s="519"/>
      <c r="AS283" s="519"/>
      <c r="AT283" s="519"/>
      <c r="AU283" s="519"/>
      <c r="AV283" s="519"/>
      <c r="AW283" s="519">
        <v>434</v>
      </c>
      <c r="AX283" s="920">
        <v>0.05</v>
      </c>
      <c r="AY283" s="925">
        <f t="shared" si="23"/>
        <v>455.70000000000005</v>
      </c>
      <c r="AZ283" s="519"/>
      <c r="BA283" s="519"/>
      <c r="BB283" s="519"/>
      <c r="BC283" s="519"/>
      <c r="BD283" s="519"/>
      <c r="BE283" s="519"/>
      <c r="BF283" s="519"/>
      <c r="BG283" s="519"/>
      <c r="BH283" s="1084">
        <f t="shared" si="24"/>
        <v>478.8</v>
      </c>
    </row>
    <row r="284" spans="1:60" s="201" customFormat="1" hidden="1">
      <c r="A284" s="112"/>
      <c r="B284" s="203"/>
      <c r="C284" s="133"/>
      <c r="D284" s="133"/>
      <c r="E284" s="115"/>
      <c r="F284" s="196" t="s">
        <v>374</v>
      </c>
      <c r="G284" s="384" t="s">
        <v>548</v>
      </c>
      <c r="H284" s="384" t="s">
        <v>547</v>
      </c>
      <c r="I284" s="403">
        <v>270</v>
      </c>
      <c r="J284" s="131"/>
      <c r="L284" s="519"/>
      <c r="M284" s="519"/>
      <c r="N284" s="519"/>
      <c r="O284" s="519"/>
      <c r="P284" s="519"/>
      <c r="Q284" s="519"/>
      <c r="R284" s="519"/>
      <c r="S284" s="519"/>
      <c r="T284" s="519"/>
      <c r="U284" s="519"/>
      <c r="V284" s="519"/>
      <c r="W284" s="519"/>
      <c r="X284" s="519"/>
      <c r="Y284" s="519"/>
      <c r="Z284" s="519"/>
      <c r="AA284" s="519"/>
      <c r="AB284" s="519"/>
      <c r="AC284" s="519"/>
      <c r="AD284" s="519"/>
      <c r="AE284" s="519"/>
      <c r="AF284" s="519"/>
      <c r="AG284" s="519"/>
      <c r="AH284" s="519"/>
      <c r="AI284" s="519"/>
      <c r="AJ284" s="519"/>
      <c r="AK284" s="519"/>
      <c r="AL284" s="519"/>
      <c r="AM284" s="519"/>
      <c r="AN284" s="519"/>
      <c r="AO284" s="519"/>
      <c r="AP284" s="519"/>
      <c r="AQ284" s="519"/>
      <c r="AR284" s="519"/>
      <c r="AS284" s="519"/>
      <c r="AT284" s="519"/>
      <c r="AU284" s="519"/>
      <c r="AV284" s="519"/>
      <c r="AW284" s="519">
        <v>257</v>
      </c>
      <c r="AX284" s="920">
        <v>0.05</v>
      </c>
      <c r="AY284" s="925">
        <f t="shared" si="23"/>
        <v>269.85000000000002</v>
      </c>
      <c r="AZ284" s="519"/>
      <c r="BA284" s="519"/>
      <c r="BB284" s="519"/>
      <c r="BC284" s="519"/>
      <c r="BD284" s="519"/>
      <c r="BE284" s="519"/>
      <c r="BF284" s="519"/>
      <c r="BG284" s="519"/>
      <c r="BH284" s="1084">
        <f t="shared" si="24"/>
        <v>283.5</v>
      </c>
    </row>
    <row r="285" spans="1:60" s="201" customFormat="1" hidden="1">
      <c r="A285" s="112"/>
      <c r="B285" s="203"/>
      <c r="C285" s="133"/>
      <c r="D285" s="133"/>
      <c r="E285" s="115"/>
      <c r="F285" s="196" t="s">
        <v>1086</v>
      </c>
      <c r="G285" s="384" t="s">
        <v>1088</v>
      </c>
      <c r="H285" s="384" t="s">
        <v>1087</v>
      </c>
      <c r="I285" s="403">
        <v>160</v>
      </c>
      <c r="J285" s="131"/>
      <c r="L285" s="519"/>
      <c r="M285" s="519"/>
      <c r="N285" s="519"/>
      <c r="O285" s="519"/>
      <c r="P285" s="519"/>
      <c r="Q285" s="519"/>
      <c r="R285" s="519"/>
      <c r="S285" s="519"/>
      <c r="T285" s="519"/>
      <c r="U285" s="519"/>
      <c r="V285" s="519"/>
      <c r="W285" s="519"/>
      <c r="X285" s="519"/>
      <c r="Y285" s="519"/>
      <c r="Z285" s="519"/>
      <c r="AA285" s="519"/>
      <c r="AB285" s="519"/>
      <c r="AC285" s="519"/>
      <c r="AD285" s="519"/>
      <c r="AE285" s="519"/>
      <c r="AF285" s="519"/>
      <c r="AG285" s="519"/>
      <c r="AH285" s="519"/>
      <c r="AI285" s="519"/>
      <c r="AJ285" s="519"/>
      <c r="AK285" s="519"/>
      <c r="AL285" s="519"/>
      <c r="AM285" s="519"/>
      <c r="AN285" s="519"/>
      <c r="AO285" s="519"/>
      <c r="AP285" s="519"/>
      <c r="AQ285" s="519"/>
      <c r="AR285" s="519"/>
      <c r="AS285" s="519"/>
      <c r="AT285" s="519"/>
      <c r="AU285" s="519"/>
      <c r="AV285" s="519"/>
      <c r="AW285" s="519">
        <v>149</v>
      </c>
      <c r="AX285" s="920">
        <v>0.05</v>
      </c>
      <c r="AY285" s="925">
        <f t="shared" si="23"/>
        <v>156.45000000000002</v>
      </c>
      <c r="AZ285" s="519"/>
      <c r="BA285" s="519"/>
      <c r="BB285" s="519"/>
      <c r="BC285" s="519"/>
      <c r="BD285" s="519"/>
      <c r="BE285" s="519"/>
      <c r="BF285" s="519"/>
      <c r="BG285" s="519"/>
      <c r="BH285" s="1084">
        <f t="shared" si="24"/>
        <v>168</v>
      </c>
    </row>
    <row r="286" spans="1:60" s="201" customFormat="1" hidden="1">
      <c r="A286" s="112"/>
      <c r="B286" s="203"/>
      <c r="C286" s="133"/>
      <c r="D286" s="133"/>
      <c r="E286" s="115"/>
      <c r="F286" s="196" t="s">
        <v>508</v>
      </c>
      <c r="G286" s="384" t="s">
        <v>509</v>
      </c>
      <c r="H286" s="384" t="s">
        <v>510</v>
      </c>
      <c r="I286" s="403">
        <v>160</v>
      </c>
      <c r="J286" s="131"/>
      <c r="L286" s="519"/>
      <c r="M286" s="519"/>
      <c r="N286" s="519"/>
      <c r="O286" s="519"/>
      <c r="P286" s="519"/>
      <c r="Q286" s="519"/>
      <c r="R286" s="519"/>
      <c r="S286" s="519"/>
      <c r="T286" s="519"/>
      <c r="U286" s="519"/>
      <c r="V286" s="519"/>
      <c r="W286" s="519"/>
      <c r="X286" s="519"/>
      <c r="Y286" s="519"/>
      <c r="Z286" s="519"/>
      <c r="AA286" s="519"/>
      <c r="AB286" s="519"/>
      <c r="AC286" s="519"/>
      <c r="AD286" s="519"/>
      <c r="AE286" s="519"/>
      <c r="AF286" s="519"/>
      <c r="AG286" s="519"/>
      <c r="AH286" s="519"/>
      <c r="AI286" s="519"/>
      <c r="AJ286" s="519"/>
      <c r="AK286" s="519"/>
      <c r="AL286" s="519"/>
      <c r="AM286" s="519"/>
      <c r="AN286" s="519"/>
      <c r="AO286" s="519"/>
      <c r="AP286" s="519"/>
      <c r="AQ286" s="519"/>
      <c r="AR286" s="519"/>
      <c r="AS286" s="519"/>
      <c r="AT286" s="519"/>
      <c r="AU286" s="519"/>
      <c r="AV286" s="519"/>
      <c r="AW286" s="519">
        <v>149</v>
      </c>
      <c r="AX286" s="920">
        <v>0.05</v>
      </c>
      <c r="AY286" s="925">
        <f t="shared" si="23"/>
        <v>156.45000000000002</v>
      </c>
      <c r="AZ286" s="519"/>
      <c r="BA286" s="519"/>
      <c r="BB286" s="519"/>
      <c r="BC286" s="519"/>
      <c r="BD286" s="519"/>
      <c r="BE286" s="519"/>
      <c r="BF286" s="519"/>
      <c r="BG286" s="519"/>
      <c r="BH286" s="1084">
        <f t="shared" si="24"/>
        <v>168</v>
      </c>
    </row>
    <row r="287" spans="1:60" s="201" customFormat="1" hidden="1">
      <c r="A287" s="112"/>
      <c r="B287" s="203"/>
      <c r="C287" s="133"/>
      <c r="D287" s="133"/>
      <c r="E287" s="115"/>
      <c r="F287" s="196" t="s">
        <v>397</v>
      </c>
      <c r="G287" s="384" t="s">
        <v>523</v>
      </c>
      <c r="H287" s="384" t="s">
        <v>525</v>
      </c>
      <c r="I287" s="403">
        <v>342</v>
      </c>
      <c r="J287" s="131"/>
      <c r="L287" s="519"/>
      <c r="M287" s="519"/>
      <c r="N287" s="519"/>
      <c r="O287" s="519"/>
      <c r="P287" s="519"/>
      <c r="Q287" s="519"/>
      <c r="R287" s="519"/>
      <c r="S287" s="519"/>
      <c r="T287" s="519"/>
      <c r="U287" s="519"/>
      <c r="V287" s="519"/>
      <c r="W287" s="519"/>
      <c r="X287" s="519"/>
      <c r="Y287" s="519"/>
      <c r="Z287" s="519"/>
      <c r="AA287" s="519"/>
      <c r="AB287" s="519"/>
      <c r="AC287" s="519"/>
      <c r="AD287" s="519"/>
      <c r="AE287" s="519"/>
      <c r="AF287" s="519"/>
      <c r="AG287" s="519"/>
      <c r="AH287" s="519"/>
      <c r="AI287" s="519"/>
      <c r="AJ287" s="519"/>
      <c r="AK287" s="519"/>
      <c r="AL287" s="519"/>
      <c r="AM287" s="519"/>
      <c r="AN287" s="519"/>
      <c r="AO287" s="519"/>
      <c r="AP287" s="519"/>
      <c r="AQ287" s="519"/>
      <c r="AR287" s="519"/>
      <c r="AS287" s="519"/>
      <c r="AT287" s="519"/>
      <c r="AU287" s="519"/>
      <c r="AV287" s="519"/>
      <c r="AW287" s="519">
        <v>325.64999999999998</v>
      </c>
      <c r="AX287" s="920">
        <v>0.05</v>
      </c>
      <c r="AY287" s="925">
        <f t="shared" si="23"/>
        <v>341.9325</v>
      </c>
      <c r="AZ287" s="519"/>
      <c r="BA287" s="519"/>
      <c r="BB287" s="519"/>
      <c r="BC287" s="519"/>
      <c r="BD287" s="519"/>
      <c r="BE287" s="519"/>
      <c r="BF287" s="519"/>
      <c r="BG287" s="519"/>
      <c r="BH287" s="1084">
        <f t="shared" si="24"/>
        <v>359.1</v>
      </c>
    </row>
    <row r="288" spans="1:60" hidden="1">
      <c r="B288" s="203"/>
      <c r="C288" s="133"/>
      <c r="D288" s="133"/>
      <c r="E288" s="115"/>
      <c r="F288" s="196" t="s">
        <v>398</v>
      </c>
      <c r="G288" s="386" t="s">
        <v>524</v>
      </c>
      <c r="H288" s="384" t="s">
        <v>526</v>
      </c>
      <c r="I288" s="403">
        <v>1000</v>
      </c>
      <c r="J288" s="131"/>
      <c r="AW288" s="519">
        <v>952.83</v>
      </c>
      <c r="AX288" s="920">
        <v>0.05</v>
      </c>
      <c r="AY288" s="925">
        <f t="shared" si="23"/>
        <v>1000.4715000000001</v>
      </c>
      <c r="BH288" s="1084">
        <f t="shared" si="24"/>
        <v>1050</v>
      </c>
    </row>
    <row r="289" spans="2:60" hidden="1">
      <c r="B289" s="203"/>
      <c r="C289" s="133"/>
      <c r="D289" s="133"/>
      <c r="E289" s="115"/>
      <c r="F289" s="196" t="s">
        <v>373</v>
      </c>
      <c r="G289" s="384" t="s">
        <v>580</v>
      </c>
      <c r="H289" s="384" t="s">
        <v>581</v>
      </c>
      <c r="I289" s="403">
        <v>13</v>
      </c>
      <c r="J289" s="131"/>
      <c r="AW289" s="519">
        <v>12</v>
      </c>
      <c r="AX289" s="920">
        <v>0.05</v>
      </c>
      <c r="AY289" s="925">
        <f t="shared" si="23"/>
        <v>12.600000000000001</v>
      </c>
      <c r="BH289" s="1084">
        <f t="shared" si="24"/>
        <v>13.65</v>
      </c>
    </row>
    <row r="290" spans="2:60" hidden="1">
      <c r="B290" s="203"/>
      <c r="C290" s="133"/>
      <c r="D290" s="133"/>
      <c r="E290" s="115"/>
      <c r="F290" s="196" t="s">
        <v>681</v>
      </c>
      <c r="G290" s="384" t="s">
        <v>582</v>
      </c>
      <c r="H290" s="384" t="s">
        <v>583</v>
      </c>
      <c r="I290" s="403">
        <v>657</v>
      </c>
      <c r="J290" s="131"/>
      <c r="AE290" s="519" t="s">
        <v>656</v>
      </c>
      <c r="AF290" s="519" t="s">
        <v>403</v>
      </c>
      <c r="AK290" s="519" t="s">
        <v>656</v>
      </c>
      <c r="AL290" s="519" t="s">
        <v>403</v>
      </c>
      <c r="AW290" s="519">
        <v>626</v>
      </c>
      <c r="AX290" s="920">
        <v>0.05</v>
      </c>
      <c r="AY290" s="925">
        <f t="shared" si="23"/>
        <v>657.30000000000007</v>
      </c>
      <c r="BH290" s="1084">
        <f t="shared" si="24"/>
        <v>689.85</v>
      </c>
    </row>
    <row r="291" spans="2:60" hidden="1">
      <c r="B291" s="203"/>
      <c r="C291" s="133"/>
      <c r="D291" s="133"/>
      <c r="E291" s="115"/>
      <c r="F291" s="196" t="s">
        <v>369</v>
      </c>
      <c r="G291" s="383" t="s">
        <v>545</v>
      </c>
      <c r="H291" s="384" t="s">
        <v>546</v>
      </c>
      <c r="I291" s="403">
        <v>97</v>
      </c>
      <c r="J291" s="131"/>
      <c r="AB291" s="990">
        <v>1</v>
      </c>
      <c r="AC291" s="519" t="str">
        <f>$L$18</f>
        <v>Ultima Mk7 2M</v>
      </c>
      <c r="AD291" s="519" t="str">
        <f>AB291&amp;AC291</f>
        <v>1Ultima Mk7 2M</v>
      </c>
      <c r="AE291" s="519" t="str">
        <f>IFERROR(VLOOKUP(AD291,SSSS!$E$6:$F$285,2,FALSE),"")</f>
        <v>Ink 1010 Black 10 X 500Ml</v>
      </c>
      <c r="AF291" s="519" t="str">
        <f>IFERROR(VLOOKUP(AE291,$F$335:$O$352,10,FALSE),"")</f>
        <v>Startup Kit - 1010 Ink &amp; 1505 Solvent</v>
      </c>
      <c r="AH291" s="990">
        <v>1</v>
      </c>
      <c r="AI291" s="519" t="str">
        <f>$L$23</f>
        <v>Ultima Mk7 2M</v>
      </c>
      <c r="AJ291" s="519" t="str">
        <f>AH291&amp;AI291</f>
        <v>1Ultima Mk7 2M</v>
      </c>
      <c r="AK291" s="519" t="str">
        <f>IFERROR(VLOOKUP(AJ291,SSSS!$E$6:$F$285,2,FALSE),"")</f>
        <v>Ink 1010 Black 10 X 500Ml</v>
      </c>
      <c r="AL291" s="519" t="str">
        <f>IFERROR(VLOOKUP(AK291,$F$335:$O$352,10,FALSE),"")</f>
        <v>Startup Kit - 1010 Ink &amp; 1505 Solvent</v>
      </c>
      <c r="AW291" s="519">
        <v>83</v>
      </c>
      <c r="AX291" s="920">
        <v>0.05</v>
      </c>
      <c r="AY291" s="925">
        <f t="shared" si="23"/>
        <v>87.15</v>
      </c>
      <c r="BH291" s="1084">
        <f t="shared" si="24"/>
        <v>101.85000000000001</v>
      </c>
    </row>
    <row r="292" spans="2:60" hidden="1">
      <c r="B292" s="203"/>
      <c r="C292" s="133"/>
      <c r="D292" s="133"/>
      <c r="E292" s="115"/>
      <c r="F292" s="196" t="s">
        <v>1066</v>
      </c>
      <c r="G292" s="383" t="s">
        <v>1067</v>
      </c>
      <c r="H292" s="384" t="s">
        <v>1067</v>
      </c>
      <c r="I292" s="403">
        <v>50</v>
      </c>
      <c r="J292" s="131"/>
      <c r="AB292" s="990">
        <f>AB291+1</f>
        <v>2</v>
      </c>
      <c r="AC292" s="519" t="str">
        <f t="shared" ref="AC292:AC315" si="25">$L$18</f>
        <v>Ultima Mk7 2M</v>
      </c>
      <c r="AD292" s="519" t="str">
        <f t="shared" ref="AD292" si="26">AB292&amp;AC292</f>
        <v>2Ultima Mk7 2M</v>
      </c>
      <c r="AE292" s="519" t="str">
        <f>IFERROR(VLOOKUP(AD292,SSSS!$E$6:$F$285,2,FALSE),"")</f>
        <v>Ink 1014 Blk Easypack 2X500Ml</v>
      </c>
      <c r="AF292" s="519" t="str">
        <f>IFERROR(VLOOKUP(AE292,$F$335:$O$352,10,FALSE),"")</f>
        <v>Startup Kit - 1014 Ink &amp; 1505 Solvent</v>
      </c>
      <c r="AH292" s="990">
        <f>AH291+1</f>
        <v>2</v>
      </c>
      <c r="AI292" s="519" t="str">
        <f t="shared" ref="AI292:AI315" si="27">$L$23</f>
        <v>Ultima Mk7 2M</v>
      </c>
      <c r="AJ292" s="519" t="str">
        <f t="shared" ref="AJ292" si="28">AH292&amp;AI292</f>
        <v>2Ultima Mk7 2M</v>
      </c>
      <c r="AK292" s="519" t="str">
        <f>IFERROR(VLOOKUP(AJ292,SSSS!$E$6:$F$285,2,FALSE),"")</f>
        <v>Ink 1014 Blk Easypack 2X500Ml</v>
      </c>
      <c r="AL292" s="519" t="str">
        <f>IFERROR(VLOOKUP(AK292,$F$335:$O$352,10,FALSE),"")</f>
        <v>Startup Kit - 1014 Ink &amp; 1505 Solvent</v>
      </c>
      <c r="AX292" s="990"/>
      <c r="AY292" s="925"/>
      <c r="BH292" s="1084">
        <f t="shared" si="24"/>
        <v>52.5</v>
      </c>
    </row>
    <row r="293" spans="2:60" hidden="1">
      <c r="B293" s="203"/>
      <c r="C293" s="133"/>
      <c r="D293" s="133"/>
      <c r="E293" s="115"/>
      <c r="F293" s="196"/>
      <c r="G293" s="383"/>
      <c r="H293" s="384"/>
      <c r="I293" s="403"/>
      <c r="J293" s="131"/>
      <c r="AB293" s="990">
        <f>AB292+1</f>
        <v>3</v>
      </c>
      <c r="AC293" s="519" t="str">
        <f t="shared" si="25"/>
        <v>Ultima Mk7 2M</v>
      </c>
      <c r="AD293" s="519" t="str">
        <f t="shared" ref="AD293:AD315" si="29">AB293&amp;AC293</f>
        <v>3Ultima Mk7 2M</v>
      </c>
      <c r="AE293" s="519" t="str">
        <f>IFERROR(VLOOKUP(AD293,SSSS!$E$6:$F$285,2,FALSE),"")</f>
        <v>Ink 1016 Blk 10 X 500Ml</v>
      </c>
      <c r="AF293" s="519" t="str">
        <f t="shared" ref="AF293:AF315" si="30">IFERROR(VLOOKUP(AE293,$F$335:$O$352,10,FALSE),"")</f>
        <v>Startup Kit - 1016 Ink &amp; 1506 Solvent</v>
      </c>
      <c r="AH293" s="990">
        <f>AH292+1</f>
        <v>3</v>
      </c>
      <c r="AI293" s="519" t="str">
        <f t="shared" si="27"/>
        <v>Ultima Mk7 2M</v>
      </c>
      <c r="AJ293" s="519" t="str">
        <f t="shared" ref="AJ293:AJ315" si="31">AH293&amp;AI293</f>
        <v>3Ultima Mk7 2M</v>
      </c>
      <c r="AK293" s="519" t="str">
        <f>IFERROR(VLOOKUP(AJ293,SSSS!$E$6:$F$285,2,FALSE),"")</f>
        <v>Ink 1016 Blk 10 X 500Ml</v>
      </c>
      <c r="AL293" s="519" t="str">
        <f t="shared" ref="AL293:AL315" si="32">IFERROR(VLOOKUP(AK293,$F$335:$O$352,10,FALSE),"")</f>
        <v>Startup Kit - 1016 Ink &amp; 1506 Solvent</v>
      </c>
      <c r="AX293" s="990"/>
      <c r="AY293" s="925"/>
      <c r="BH293" s="1084">
        <f t="shared" si="24"/>
        <v>0</v>
      </c>
    </row>
    <row r="294" spans="2:60" hidden="1">
      <c r="B294" s="203"/>
      <c r="C294" s="133"/>
      <c r="D294" s="133"/>
      <c r="E294" s="115"/>
      <c r="F294" s="196" t="s">
        <v>773</v>
      </c>
      <c r="G294" s="383" t="s">
        <v>1084</v>
      </c>
      <c r="H294" s="384" t="s">
        <v>1083</v>
      </c>
      <c r="I294" s="403"/>
      <c r="J294" s="131"/>
      <c r="AB294" s="990">
        <f t="shared" ref="AB294:AB315" si="33">AB293+1</f>
        <v>4</v>
      </c>
      <c r="AC294" s="519" t="str">
        <f t="shared" si="25"/>
        <v>Ultima Mk7 2M</v>
      </c>
      <c r="AD294" s="519" t="str">
        <f t="shared" si="29"/>
        <v>4Ultima Mk7 2M</v>
      </c>
      <c r="AE294" s="519" t="str">
        <f>IFERROR(VLOOKUP(AD294,SSSS!$E$6:$F$285,2,FALSE),"")</f>
        <v>Ink 1056 Blk 10 X 500Ml</v>
      </c>
      <c r="AF294" s="519" t="str">
        <f t="shared" si="30"/>
        <v>Startup Kit - 1056 Ink &amp; 1555 Solvent</v>
      </c>
      <c r="AH294" s="990">
        <f t="shared" ref="AH294:AH315" si="34">AH293+1</f>
        <v>4</v>
      </c>
      <c r="AI294" s="519" t="str">
        <f t="shared" si="27"/>
        <v>Ultima Mk7 2M</v>
      </c>
      <c r="AJ294" s="519" t="str">
        <f t="shared" si="31"/>
        <v>4Ultima Mk7 2M</v>
      </c>
      <c r="AK294" s="519" t="str">
        <f>IFERROR(VLOOKUP(AJ294,SSSS!$E$6:$F$285,2,FALSE),"")</f>
        <v>Ink 1056 Blk 10 X 500Ml</v>
      </c>
      <c r="AL294" s="519" t="str">
        <f t="shared" si="32"/>
        <v>Startup Kit - 1056 Ink &amp; 1555 Solvent</v>
      </c>
      <c r="AX294" s="990"/>
      <c r="AY294" s="925"/>
      <c r="BH294" s="1084">
        <f t="shared" si="24"/>
        <v>0</v>
      </c>
    </row>
    <row r="295" spans="2:60" hidden="1">
      <c r="B295" s="203"/>
      <c r="C295" s="133"/>
      <c r="D295" s="133"/>
      <c r="E295" s="115"/>
      <c r="F295" s="196" t="s">
        <v>1073</v>
      </c>
      <c r="G295" s="383" t="s">
        <v>1091</v>
      </c>
      <c r="H295" s="384" t="s">
        <v>1089</v>
      </c>
      <c r="I295" s="403">
        <v>806</v>
      </c>
      <c r="J295" s="131"/>
      <c r="AB295" s="990">
        <f t="shared" si="33"/>
        <v>5</v>
      </c>
      <c r="AC295" s="519" t="str">
        <f t="shared" si="25"/>
        <v>Ultima Mk7 2M</v>
      </c>
      <c r="AD295" s="519" t="str">
        <f t="shared" si="29"/>
        <v>5Ultima Mk7 2M</v>
      </c>
      <c r="AE295" s="519" t="str">
        <f>IFERROR(VLOOKUP(AD295,SSSS!$E$6:$F$285,2,FALSE),"")</f>
        <v>Ink 1240 Blk 10 X 500Ml</v>
      </c>
      <c r="AF295" s="519" t="str">
        <f t="shared" si="30"/>
        <v>Startup Kit - 1240 Ink &amp; 1512 Solvent</v>
      </c>
      <c r="AH295" s="990">
        <f t="shared" si="34"/>
        <v>5</v>
      </c>
      <c r="AI295" s="519" t="str">
        <f t="shared" si="27"/>
        <v>Ultima Mk7 2M</v>
      </c>
      <c r="AJ295" s="519" t="str">
        <f t="shared" si="31"/>
        <v>5Ultima Mk7 2M</v>
      </c>
      <c r="AK295" s="519" t="str">
        <f>IFERROR(VLOOKUP(AJ295,SSSS!$E$6:$F$285,2,FALSE),"")</f>
        <v>Ink 1240 Blk 10 X 500Ml</v>
      </c>
      <c r="AL295" s="519" t="str">
        <f t="shared" si="32"/>
        <v>Startup Kit - 1240 Ink &amp; 1512 Solvent</v>
      </c>
      <c r="AX295" s="990"/>
      <c r="AY295" s="925"/>
      <c r="BH295" s="1084">
        <f t="shared" si="24"/>
        <v>846.30000000000007</v>
      </c>
    </row>
    <row r="296" spans="2:60" hidden="1">
      <c r="B296" s="203"/>
      <c r="C296" s="133"/>
      <c r="D296" s="133"/>
      <c r="E296" s="115"/>
      <c r="F296" s="196" t="s">
        <v>1074</v>
      </c>
      <c r="G296" s="386" t="s">
        <v>1092</v>
      </c>
      <c r="H296" s="387" t="s">
        <v>1090</v>
      </c>
      <c r="I296" s="419">
        <v>1195</v>
      </c>
      <c r="J296" s="131"/>
      <c r="AB296" s="990">
        <f t="shared" si="33"/>
        <v>6</v>
      </c>
      <c r="AC296" s="519" t="str">
        <f t="shared" si="25"/>
        <v>Ultima Mk7 2M</v>
      </c>
      <c r="AD296" s="519" t="str">
        <f t="shared" si="29"/>
        <v>6Ultima Mk7 2M</v>
      </c>
      <c r="AE296" s="519" t="str">
        <f>IFERROR(VLOOKUP(AD296,SSSS!$E$6:$F$285,2,FALSE),"")</f>
        <v>Ink 1405 Blk 10 X 500Ml</v>
      </c>
      <c r="AF296" s="519" t="str">
        <f t="shared" si="30"/>
        <v>Startup Kit - 1405 Ink &amp; 1705 Solvent</v>
      </c>
      <c r="AH296" s="990">
        <f t="shared" si="34"/>
        <v>6</v>
      </c>
      <c r="AI296" s="519" t="str">
        <f t="shared" si="27"/>
        <v>Ultima Mk7 2M</v>
      </c>
      <c r="AJ296" s="519" t="str">
        <f t="shared" si="31"/>
        <v>6Ultima Mk7 2M</v>
      </c>
      <c r="AK296" s="519" t="str">
        <f>IFERROR(VLOOKUP(AJ296,SSSS!$E$6:$F$285,2,FALSE),"")</f>
        <v>Ink 1405 Blk 10 X 500Ml</v>
      </c>
      <c r="AL296" s="519" t="str">
        <f t="shared" si="32"/>
        <v>Startup Kit - 1405 Ink &amp; 1705 Solvent</v>
      </c>
      <c r="AY296" s="925"/>
      <c r="BH296" s="1084">
        <f t="shared" si="24"/>
        <v>1254.75</v>
      </c>
    </row>
    <row r="297" spans="2:60" hidden="1">
      <c r="B297" s="203"/>
      <c r="C297" s="133"/>
      <c r="D297" s="133"/>
      <c r="E297" s="115"/>
      <c r="F297" s="204"/>
      <c r="G297" s="199"/>
      <c r="H297" s="199"/>
      <c r="I297" s="333"/>
      <c r="J297" s="131"/>
      <c r="AB297" s="990">
        <f t="shared" si="33"/>
        <v>7</v>
      </c>
      <c r="AC297" s="519" t="str">
        <f t="shared" si="25"/>
        <v>Ultima Mk7 2M</v>
      </c>
      <c r="AD297" s="519" t="str">
        <f t="shared" si="29"/>
        <v>7Ultima Mk7 2M</v>
      </c>
      <c r="AE297" s="519" t="str">
        <f>IFERROR(VLOOKUP(AD297,SSSS!$E$6:$F$285,2,FALSE),"")</f>
        <v>Ink 2250 Blk 10 X 500Ml</v>
      </c>
      <c r="AF297" s="519" t="str">
        <f t="shared" si="30"/>
        <v>Startup Kit - 2250 Ink &amp; 2750 Solvent</v>
      </c>
      <c r="AH297" s="990">
        <f t="shared" si="34"/>
        <v>7</v>
      </c>
      <c r="AI297" s="519" t="str">
        <f t="shared" si="27"/>
        <v>Ultima Mk7 2M</v>
      </c>
      <c r="AJ297" s="519" t="str">
        <f t="shared" si="31"/>
        <v>7Ultima Mk7 2M</v>
      </c>
      <c r="AK297" s="519" t="str">
        <f>IFERROR(VLOOKUP(AJ297,SSSS!$E$6:$F$285,2,FALSE),"")</f>
        <v>Ink 2250 Blk 10 X 500Ml</v>
      </c>
      <c r="AL297" s="519" t="str">
        <f t="shared" si="32"/>
        <v>Startup Kit - 2250 Ink &amp; 2750 Solvent</v>
      </c>
      <c r="AY297" s="925"/>
      <c r="BH297" s="912"/>
    </row>
    <row r="298" spans="2:60" hidden="1">
      <c r="B298" s="203"/>
      <c r="C298" s="133"/>
      <c r="D298" s="133"/>
      <c r="E298" s="115"/>
      <c r="F298" s="109"/>
      <c r="G298" s="28"/>
      <c r="H298" s="109"/>
      <c r="I298" s="334"/>
      <c r="J298" s="131"/>
      <c r="AB298" s="990">
        <f t="shared" si="33"/>
        <v>8</v>
      </c>
      <c r="AC298" s="519" t="str">
        <f t="shared" si="25"/>
        <v>Ultima Mk7 2M</v>
      </c>
      <c r="AD298" s="519" t="str">
        <f t="shared" si="29"/>
        <v>8Ultima Mk7 2M</v>
      </c>
      <c r="AE298" s="519" t="str">
        <f>IFERROR(VLOOKUP(AD298,SSSS!$E$6:$F$285,2,FALSE),"")</f>
        <v>Ink 3103 Black 10 X 500Ml</v>
      </c>
      <c r="AF298" s="519" t="str">
        <f t="shared" si="30"/>
        <v>Startup Kit - 3103 Ink &amp; 3501 Solvent</v>
      </c>
      <c r="AH298" s="990">
        <f t="shared" si="34"/>
        <v>8</v>
      </c>
      <c r="AI298" s="519" t="str">
        <f t="shared" si="27"/>
        <v>Ultima Mk7 2M</v>
      </c>
      <c r="AJ298" s="519" t="str">
        <f t="shared" si="31"/>
        <v>8Ultima Mk7 2M</v>
      </c>
      <c r="AK298" s="519" t="str">
        <f>IFERROR(VLOOKUP(AJ298,SSSS!$E$6:$F$285,2,FALSE),"")</f>
        <v>Ink 3103 Black 10 X 500Ml</v>
      </c>
      <c r="AL298" s="519" t="str">
        <f t="shared" si="32"/>
        <v>Startup Kit - 3103 Ink &amp; 3501 Solvent</v>
      </c>
      <c r="AY298" s="925"/>
      <c r="BH298" s="912"/>
    </row>
    <row r="299" spans="2:60" hidden="1">
      <c r="B299" s="203"/>
      <c r="C299" s="132"/>
      <c r="D299" s="132" t="s">
        <v>40</v>
      </c>
      <c r="E299" s="115"/>
      <c r="F299" s="382"/>
      <c r="G299" s="28"/>
      <c r="H299" s="109"/>
      <c r="I299" s="335"/>
      <c r="J299" s="131"/>
      <c r="AB299" s="990">
        <f t="shared" si="33"/>
        <v>9</v>
      </c>
      <c r="AC299" s="519" t="str">
        <f t="shared" si="25"/>
        <v>Ultima Mk7 2M</v>
      </c>
      <c r="AD299" s="519" t="str">
        <f t="shared" si="29"/>
        <v>9Ultima Mk7 2M</v>
      </c>
      <c r="AE299" s="519" t="str">
        <f>IFERROR(VLOOKUP(AD299,SSSS!$E$6:$F$285,2,FALSE),"")</f>
        <v>Ink 3123 Blu Easypack 2X500Ml</v>
      </c>
      <c r="AF299" s="519" t="str">
        <f t="shared" si="30"/>
        <v>Startup Kit - 3123 Ink &amp; 3501 Solvent</v>
      </c>
      <c r="AH299" s="990">
        <f t="shared" si="34"/>
        <v>9</v>
      </c>
      <c r="AI299" s="519" t="str">
        <f t="shared" si="27"/>
        <v>Ultima Mk7 2M</v>
      </c>
      <c r="AJ299" s="519" t="str">
        <f t="shared" si="31"/>
        <v>9Ultima Mk7 2M</v>
      </c>
      <c r="AK299" s="519" t="str">
        <f>IFERROR(VLOOKUP(AJ299,SSSS!$E$6:$F$285,2,FALSE),"")</f>
        <v>Ink 3123 Blu Easypack 2X500Ml</v>
      </c>
      <c r="AL299" s="519" t="str">
        <f t="shared" si="32"/>
        <v>Startup Kit - 3123 Ink &amp; 3501 Solvent</v>
      </c>
      <c r="AY299" s="925"/>
      <c r="BH299" s="912"/>
    </row>
    <row r="300" spans="2:60" hidden="1">
      <c r="B300" s="203"/>
      <c r="C300" s="133"/>
      <c r="D300" s="133"/>
      <c r="E300" s="115"/>
      <c r="F300" s="108"/>
      <c r="G300" s="206"/>
      <c r="H300" s="28"/>
      <c r="I300" s="334"/>
      <c r="J300" s="131"/>
      <c r="AB300" s="990">
        <f t="shared" si="33"/>
        <v>10</v>
      </c>
      <c r="AC300" s="519" t="str">
        <f t="shared" si="25"/>
        <v>Ultima Mk7 2M</v>
      </c>
      <c r="AD300" s="519" t="str">
        <f t="shared" si="29"/>
        <v>10Ultima Mk7 2M</v>
      </c>
      <c r="AE300" s="519" t="str">
        <f>IFERROR(VLOOKUP(AD300,SSSS!$E$6:$F$285,2,FALSE),"")</f>
        <v/>
      </c>
      <c r="AF300" s="519" t="str">
        <f t="shared" si="30"/>
        <v/>
      </c>
      <c r="AH300" s="990">
        <f t="shared" si="34"/>
        <v>10</v>
      </c>
      <c r="AI300" s="519" t="str">
        <f t="shared" si="27"/>
        <v>Ultima Mk7 2M</v>
      </c>
      <c r="AJ300" s="519" t="str">
        <f t="shared" si="31"/>
        <v>10Ultima Mk7 2M</v>
      </c>
      <c r="AK300" s="519" t="str">
        <f>IFERROR(VLOOKUP(AJ300,SSSS!$E$6:$F$285,2,FALSE),"")</f>
        <v/>
      </c>
      <c r="AL300" s="519" t="str">
        <f t="shared" si="32"/>
        <v/>
      </c>
      <c r="AY300" s="925"/>
      <c r="BH300" s="912"/>
    </row>
    <row r="301" spans="2:60" hidden="1">
      <c r="B301" s="203"/>
      <c r="C301" s="133"/>
      <c r="D301" s="133"/>
      <c r="E301" s="115"/>
      <c r="F301" s="108"/>
      <c r="G301" s="206"/>
      <c r="H301" s="28"/>
      <c r="I301" s="334"/>
      <c r="J301" s="131"/>
      <c r="AB301" s="990">
        <f t="shared" si="33"/>
        <v>11</v>
      </c>
      <c r="AC301" s="519" t="str">
        <f t="shared" si="25"/>
        <v>Ultima Mk7 2M</v>
      </c>
      <c r="AD301" s="519" t="str">
        <f t="shared" si="29"/>
        <v>11Ultima Mk7 2M</v>
      </c>
      <c r="AE301" s="519" t="str">
        <f>IFERROR(VLOOKUP(AD301,SSSS!$E$6:$F$285,2,FALSE),"")</f>
        <v/>
      </c>
      <c r="AF301" s="519" t="str">
        <f t="shared" si="30"/>
        <v/>
      </c>
      <c r="AH301" s="990">
        <f t="shared" si="34"/>
        <v>11</v>
      </c>
      <c r="AI301" s="519" t="str">
        <f t="shared" si="27"/>
        <v>Ultima Mk7 2M</v>
      </c>
      <c r="AJ301" s="519" t="str">
        <f t="shared" si="31"/>
        <v>11Ultima Mk7 2M</v>
      </c>
      <c r="AK301" s="519" t="str">
        <f>IFERROR(VLOOKUP(AJ301,SSSS!$E$6:$F$285,2,FALSE),"")</f>
        <v/>
      </c>
      <c r="AL301" s="519" t="str">
        <f t="shared" si="32"/>
        <v/>
      </c>
      <c r="AY301" s="925"/>
      <c r="BH301" s="912"/>
    </row>
    <row r="302" spans="2:60" hidden="1">
      <c r="B302" s="203"/>
      <c r="C302" s="133"/>
      <c r="D302" s="133"/>
      <c r="E302" s="115"/>
      <c r="F302" s="108"/>
      <c r="G302" s="206"/>
      <c r="H302" s="28"/>
      <c r="I302" s="334"/>
      <c r="J302" s="131"/>
      <c r="AB302" s="990">
        <f t="shared" si="33"/>
        <v>12</v>
      </c>
      <c r="AC302" s="519" t="str">
        <f t="shared" si="25"/>
        <v>Ultima Mk7 2M</v>
      </c>
      <c r="AD302" s="519" t="str">
        <f t="shared" si="29"/>
        <v>12Ultima Mk7 2M</v>
      </c>
      <c r="AE302" s="519" t="str">
        <f>IFERROR(VLOOKUP(AD302,SSSS!$E$6:$F$285,2,FALSE),"")</f>
        <v/>
      </c>
      <c r="AF302" s="519" t="str">
        <f t="shared" si="30"/>
        <v/>
      </c>
      <c r="AH302" s="990">
        <f t="shared" si="34"/>
        <v>12</v>
      </c>
      <c r="AI302" s="519" t="str">
        <f t="shared" si="27"/>
        <v>Ultima Mk7 2M</v>
      </c>
      <c r="AJ302" s="519" t="str">
        <f t="shared" si="31"/>
        <v>12Ultima Mk7 2M</v>
      </c>
      <c r="AK302" s="519" t="str">
        <f>IFERROR(VLOOKUP(AJ302,SSSS!$E$6:$F$285,2,FALSE),"")</f>
        <v/>
      </c>
      <c r="AL302" s="519" t="str">
        <f t="shared" si="32"/>
        <v/>
      </c>
      <c r="AY302" s="925"/>
      <c r="BH302" s="912"/>
    </row>
    <row r="303" spans="2:60" hidden="1">
      <c r="B303" s="203"/>
      <c r="C303" s="468"/>
      <c r="D303" s="468" t="s">
        <v>403</v>
      </c>
      <c r="E303" s="115"/>
      <c r="F303" s="382" t="s">
        <v>561</v>
      </c>
      <c r="G303" s="206"/>
      <c r="H303" s="28"/>
      <c r="I303" s="334"/>
      <c r="J303" s="131"/>
      <c r="L303" s="990"/>
      <c r="M303" s="519" t="s">
        <v>619</v>
      </c>
      <c r="P303" s="519" t="s">
        <v>618</v>
      </c>
      <c r="V303" s="519" t="s">
        <v>617</v>
      </c>
      <c r="W303" s="990" t="s">
        <v>562</v>
      </c>
      <c r="AB303" s="990">
        <f t="shared" si="33"/>
        <v>13</v>
      </c>
      <c r="AC303" s="519" t="str">
        <f t="shared" si="25"/>
        <v>Ultima Mk7 2M</v>
      </c>
      <c r="AD303" s="519" t="str">
        <f t="shared" si="29"/>
        <v>13Ultima Mk7 2M</v>
      </c>
      <c r="AE303" s="519" t="str">
        <f>IFERROR(VLOOKUP(AD303,SSSS!$E$6:$F$285,2,FALSE),"")</f>
        <v/>
      </c>
      <c r="AF303" s="519" t="str">
        <f t="shared" si="30"/>
        <v/>
      </c>
      <c r="AH303" s="990">
        <f t="shared" si="34"/>
        <v>13</v>
      </c>
      <c r="AI303" s="519" t="str">
        <f t="shared" si="27"/>
        <v>Ultima Mk7 2M</v>
      </c>
      <c r="AJ303" s="519" t="str">
        <f t="shared" si="31"/>
        <v>13Ultima Mk7 2M</v>
      </c>
      <c r="AK303" s="519" t="str">
        <f>IFERROR(VLOOKUP(AJ303,SSSS!$E$6:$F$285,2,FALSE),"")</f>
        <v/>
      </c>
      <c r="AL303" s="519" t="str">
        <f t="shared" si="32"/>
        <v/>
      </c>
      <c r="AY303" s="925"/>
      <c r="BH303" s="912"/>
    </row>
    <row r="304" spans="2:60" hidden="1">
      <c r="B304" s="203"/>
      <c r="C304" s="133"/>
      <c r="D304" s="133"/>
      <c r="E304" s="115"/>
      <c r="F304" s="157" t="s">
        <v>620</v>
      </c>
      <c r="G304" s="448" t="str">
        <f>VLOOKUP(F304,$O$335:$Z$352,12,FALSE)</f>
        <v>15140020 x 1.5, 16140003 x 0.3</v>
      </c>
      <c r="H304" s="376"/>
      <c r="I304" s="402">
        <v>424</v>
      </c>
      <c r="J304" s="131"/>
      <c r="L304" s="990"/>
      <c r="M304" s="519" t="s">
        <v>404</v>
      </c>
      <c r="P304" s="519" t="s">
        <v>588</v>
      </c>
      <c r="V304" s="926">
        <v>1.5</v>
      </c>
      <c r="W304" s="990">
        <v>1505</v>
      </c>
      <c r="AB304" s="990">
        <f t="shared" si="33"/>
        <v>14</v>
      </c>
      <c r="AC304" s="519" t="str">
        <f t="shared" si="25"/>
        <v>Ultima Mk7 2M</v>
      </c>
      <c r="AD304" s="519" t="str">
        <f t="shared" si="29"/>
        <v>14Ultima Mk7 2M</v>
      </c>
      <c r="AE304" s="519" t="str">
        <f>IFERROR(VLOOKUP(AD304,SSSS!$E$6:$F$285,2,FALSE),"")</f>
        <v/>
      </c>
      <c r="AF304" s="519" t="str">
        <f t="shared" si="30"/>
        <v/>
      </c>
      <c r="AH304" s="990">
        <f t="shared" si="34"/>
        <v>14</v>
      </c>
      <c r="AI304" s="519" t="str">
        <f t="shared" si="27"/>
        <v>Ultima Mk7 2M</v>
      </c>
      <c r="AJ304" s="519" t="str">
        <f t="shared" si="31"/>
        <v>14Ultima Mk7 2M</v>
      </c>
      <c r="AK304" s="519" t="str">
        <f>IFERROR(VLOOKUP(AJ304,SSSS!$E$6:$F$285,2,FALSE),"")</f>
        <v/>
      </c>
      <c r="AL304" s="519" t="str">
        <f t="shared" si="32"/>
        <v/>
      </c>
      <c r="AY304" s="925"/>
      <c r="BH304" s="912"/>
    </row>
    <row r="305" spans="2:60" hidden="1">
      <c r="B305" s="203"/>
      <c r="C305" s="133"/>
      <c r="D305" s="133"/>
      <c r="E305" s="115"/>
      <c r="F305" s="157" t="s">
        <v>621</v>
      </c>
      <c r="G305" s="448" t="str">
        <f t="shared" ref="G305:G321" si="35">VLOOKUP(F305,$O$335:$Z$352,12,FALSE)</f>
        <v>15140022 x 0.3, 16140003 x 0.3</v>
      </c>
      <c r="H305" s="376"/>
      <c r="I305" s="402">
        <v>424</v>
      </c>
      <c r="J305" s="131"/>
      <c r="L305" s="990"/>
      <c r="M305" s="519" t="s">
        <v>405</v>
      </c>
      <c r="P305" s="519" t="s">
        <v>589</v>
      </c>
      <c r="V305" s="926">
        <v>0.3</v>
      </c>
      <c r="W305" s="990">
        <v>1505</v>
      </c>
      <c r="AB305" s="990">
        <f t="shared" si="33"/>
        <v>15</v>
      </c>
      <c r="AC305" s="519" t="str">
        <f t="shared" si="25"/>
        <v>Ultima Mk7 2M</v>
      </c>
      <c r="AD305" s="519" t="str">
        <f t="shared" si="29"/>
        <v>15Ultima Mk7 2M</v>
      </c>
      <c r="AE305" s="519" t="str">
        <f>IFERROR(VLOOKUP(AD305,SSSS!$E$6:$F$285,2,FALSE),"")</f>
        <v/>
      </c>
      <c r="AF305" s="519" t="str">
        <f t="shared" si="30"/>
        <v/>
      </c>
      <c r="AH305" s="990">
        <f t="shared" si="34"/>
        <v>15</v>
      </c>
      <c r="AI305" s="519" t="str">
        <f t="shared" si="27"/>
        <v>Ultima Mk7 2M</v>
      </c>
      <c r="AJ305" s="519" t="str">
        <f t="shared" si="31"/>
        <v>15Ultima Mk7 2M</v>
      </c>
      <c r="AK305" s="519" t="str">
        <f>IFERROR(VLOOKUP(AJ305,SSSS!$E$6:$F$285,2,FALSE),"")</f>
        <v/>
      </c>
      <c r="AL305" s="519" t="str">
        <f t="shared" si="32"/>
        <v/>
      </c>
      <c r="AY305" s="925"/>
      <c r="BH305" s="912"/>
    </row>
    <row r="306" spans="2:60" hidden="1">
      <c r="B306" s="203"/>
      <c r="C306" s="133"/>
      <c r="D306" s="133"/>
      <c r="E306" s="115"/>
      <c r="F306" s="157" t="s">
        <v>622</v>
      </c>
      <c r="G306" s="448" t="str">
        <f t="shared" si="35"/>
        <v>15140024 x 1.5, 16140003 x 0.3</v>
      </c>
      <c r="H306" s="376"/>
      <c r="I306" s="402">
        <v>424</v>
      </c>
      <c r="J306" s="131"/>
      <c r="L306" s="990"/>
      <c r="M306" s="519" t="s">
        <v>406</v>
      </c>
      <c r="P306" s="519" t="s">
        <v>590</v>
      </c>
      <c r="V306" s="926">
        <v>1.5</v>
      </c>
      <c r="W306" s="990">
        <v>1505</v>
      </c>
      <c r="AB306" s="990">
        <f t="shared" si="33"/>
        <v>16</v>
      </c>
      <c r="AC306" s="519" t="str">
        <f t="shared" si="25"/>
        <v>Ultima Mk7 2M</v>
      </c>
      <c r="AD306" s="519" t="str">
        <f t="shared" si="29"/>
        <v>16Ultima Mk7 2M</v>
      </c>
      <c r="AE306" s="519" t="str">
        <f>IFERROR(VLOOKUP(AD306,SSSS!$E$6:$F$285,2,FALSE),"")</f>
        <v/>
      </c>
      <c r="AF306" s="519" t="str">
        <f t="shared" si="30"/>
        <v/>
      </c>
      <c r="AH306" s="990">
        <f t="shared" si="34"/>
        <v>16</v>
      </c>
      <c r="AI306" s="519" t="str">
        <f t="shared" si="27"/>
        <v>Ultima Mk7 2M</v>
      </c>
      <c r="AJ306" s="519" t="str">
        <f t="shared" si="31"/>
        <v>16Ultima Mk7 2M</v>
      </c>
      <c r="AK306" s="519" t="str">
        <f>IFERROR(VLOOKUP(AJ306,SSSS!$E$6:$F$285,2,FALSE),"")</f>
        <v/>
      </c>
      <c r="AL306" s="519" t="str">
        <f t="shared" si="32"/>
        <v/>
      </c>
      <c r="AY306" s="925"/>
      <c r="BH306" s="912"/>
    </row>
    <row r="307" spans="2:60" hidden="1">
      <c r="B307" s="203"/>
      <c r="C307" s="133"/>
      <c r="D307" s="133"/>
      <c r="E307" s="115"/>
      <c r="F307" s="157" t="s">
        <v>623</v>
      </c>
      <c r="G307" s="448" t="str">
        <f t="shared" si="35"/>
        <v>15140025 x 0.3, 16140004 x 0.3</v>
      </c>
      <c r="H307" s="376"/>
      <c r="I307" s="402">
        <v>424</v>
      </c>
      <c r="J307" s="131"/>
      <c r="L307" s="990"/>
      <c r="M307" s="519" t="s">
        <v>407</v>
      </c>
      <c r="P307" s="519" t="s">
        <v>591</v>
      </c>
      <c r="V307" s="926">
        <v>0.3</v>
      </c>
      <c r="W307" s="990">
        <v>1506</v>
      </c>
      <c r="AB307" s="990">
        <f t="shared" si="33"/>
        <v>17</v>
      </c>
      <c r="AC307" s="519" t="str">
        <f t="shared" si="25"/>
        <v>Ultima Mk7 2M</v>
      </c>
      <c r="AD307" s="519" t="str">
        <f t="shared" si="29"/>
        <v>17Ultima Mk7 2M</v>
      </c>
      <c r="AE307" s="519" t="str">
        <f>IFERROR(VLOOKUP(AD307,SSSS!$E$6:$F$285,2,FALSE),"")</f>
        <v/>
      </c>
      <c r="AF307" s="519" t="str">
        <f t="shared" si="30"/>
        <v/>
      </c>
      <c r="AH307" s="990">
        <f t="shared" si="34"/>
        <v>17</v>
      </c>
      <c r="AI307" s="519" t="str">
        <f t="shared" si="27"/>
        <v>Ultima Mk7 2M</v>
      </c>
      <c r="AJ307" s="519" t="str">
        <f t="shared" si="31"/>
        <v>17Ultima Mk7 2M</v>
      </c>
      <c r="AK307" s="519" t="str">
        <f>IFERROR(VLOOKUP(AJ307,SSSS!$E$6:$F$285,2,FALSE),"")</f>
        <v/>
      </c>
      <c r="AL307" s="519" t="str">
        <f t="shared" si="32"/>
        <v/>
      </c>
      <c r="AY307" s="925"/>
      <c r="BH307" s="912"/>
    </row>
    <row r="308" spans="2:60" hidden="1">
      <c r="B308" s="203"/>
      <c r="C308" s="133"/>
      <c r="D308" s="133"/>
      <c r="E308" s="115"/>
      <c r="F308" s="157" t="s">
        <v>624</v>
      </c>
      <c r="G308" s="448" t="str">
        <f t="shared" si="35"/>
        <v>15140033 x 0.3, 16140008 x 0.3</v>
      </c>
      <c r="H308" s="376"/>
      <c r="I308" s="402">
        <v>424</v>
      </c>
      <c r="J308" s="131"/>
      <c r="L308" s="990"/>
      <c r="M308" s="519" t="s">
        <v>408</v>
      </c>
      <c r="P308" s="519" t="s">
        <v>592</v>
      </c>
      <c r="V308" s="926">
        <v>0.3</v>
      </c>
      <c r="W308" s="990">
        <v>1555</v>
      </c>
      <c r="AB308" s="990">
        <f t="shared" si="33"/>
        <v>18</v>
      </c>
      <c r="AC308" s="519" t="str">
        <f t="shared" si="25"/>
        <v>Ultima Mk7 2M</v>
      </c>
      <c r="AD308" s="519" t="str">
        <f t="shared" si="29"/>
        <v>18Ultima Mk7 2M</v>
      </c>
      <c r="AE308" s="519" t="str">
        <f>IFERROR(VLOOKUP(AD308,SSSS!$E$6:$F$285,2,FALSE),"")</f>
        <v/>
      </c>
      <c r="AF308" s="519" t="str">
        <f t="shared" si="30"/>
        <v/>
      </c>
      <c r="AH308" s="990">
        <f t="shared" si="34"/>
        <v>18</v>
      </c>
      <c r="AI308" s="519" t="str">
        <f t="shared" si="27"/>
        <v>Ultima Mk7 2M</v>
      </c>
      <c r="AJ308" s="519" t="str">
        <f t="shared" si="31"/>
        <v>18Ultima Mk7 2M</v>
      </c>
      <c r="AK308" s="519" t="str">
        <f>IFERROR(VLOOKUP(AJ308,SSSS!$E$6:$F$285,2,FALSE),"")</f>
        <v/>
      </c>
      <c r="AL308" s="519" t="str">
        <f t="shared" si="32"/>
        <v/>
      </c>
      <c r="AY308" s="925"/>
      <c r="BH308" s="912"/>
    </row>
    <row r="309" spans="2:60" hidden="1">
      <c r="B309" s="203"/>
      <c r="C309" s="133"/>
      <c r="D309" s="133"/>
      <c r="E309" s="115"/>
      <c r="F309" s="157" t="s">
        <v>625</v>
      </c>
      <c r="G309" s="448" t="str">
        <f t="shared" si="35"/>
        <v>15140034 x 1.5, 16140003 x 0.3</v>
      </c>
      <c r="H309" s="376"/>
      <c r="I309" s="402">
        <v>424</v>
      </c>
      <c r="J309" s="131"/>
      <c r="L309" s="990"/>
      <c r="M309" s="519" t="s">
        <v>409</v>
      </c>
      <c r="P309" s="519" t="s">
        <v>593</v>
      </c>
      <c r="V309" s="926">
        <v>1.5</v>
      </c>
      <c r="W309" s="990">
        <v>1505</v>
      </c>
      <c r="AB309" s="990">
        <f t="shared" si="33"/>
        <v>19</v>
      </c>
      <c r="AC309" s="519" t="str">
        <f t="shared" si="25"/>
        <v>Ultima Mk7 2M</v>
      </c>
      <c r="AD309" s="519" t="str">
        <f t="shared" si="29"/>
        <v>19Ultima Mk7 2M</v>
      </c>
      <c r="AE309" s="519" t="str">
        <f>IFERROR(VLOOKUP(AD309,SSSS!$E$6:$F$285,2,FALSE),"")</f>
        <v/>
      </c>
      <c r="AF309" s="519" t="str">
        <f t="shared" si="30"/>
        <v/>
      </c>
      <c r="AH309" s="990">
        <f t="shared" si="34"/>
        <v>19</v>
      </c>
      <c r="AI309" s="519" t="str">
        <f t="shared" si="27"/>
        <v>Ultima Mk7 2M</v>
      </c>
      <c r="AJ309" s="519" t="str">
        <f t="shared" si="31"/>
        <v>19Ultima Mk7 2M</v>
      </c>
      <c r="AK309" s="519" t="str">
        <f>IFERROR(VLOOKUP(AJ309,SSSS!$E$6:$F$285,2,FALSE),"")</f>
        <v/>
      </c>
      <c r="AL309" s="519" t="str">
        <f t="shared" si="32"/>
        <v/>
      </c>
      <c r="AY309" s="925"/>
      <c r="BH309" s="912"/>
    </row>
    <row r="310" spans="2:60" hidden="1">
      <c r="B310" s="203"/>
      <c r="C310" s="133"/>
      <c r="D310" s="133"/>
      <c r="E310" s="115"/>
      <c r="F310" s="157" t="s">
        <v>626</v>
      </c>
      <c r="G310" s="448" t="str">
        <f t="shared" si="35"/>
        <v>15140035 x 0.3, 16140009 x 0.3</v>
      </c>
      <c r="H310" s="376"/>
      <c r="I310" s="402">
        <v>424</v>
      </c>
      <c r="J310" s="131"/>
      <c r="L310" s="990"/>
      <c r="M310" s="519" t="s">
        <v>410</v>
      </c>
      <c r="P310" s="519" t="s">
        <v>594</v>
      </c>
      <c r="V310" s="926">
        <v>0.3</v>
      </c>
      <c r="W310" s="990">
        <v>1560</v>
      </c>
      <c r="AB310" s="990">
        <f t="shared" si="33"/>
        <v>20</v>
      </c>
      <c r="AC310" s="519" t="str">
        <f t="shared" si="25"/>
        <v>Ultima Mk7 2M</v>
      </c>
      <c r="AD310" s="519" t="str">
        <f t="shared" si="29"/>
        <v>20Ultima Mk7 2M</v>
      </c>
      <c r="AE310" s="519" t="str">
        <f>IFERROR(VLOOKUP(AD310,SSSS!$E$6:$F$285,2,FALSE),"")</f>
        <v/>
      </c>
      <c r="AF310" s="519" t="str">
        <f t="shared" si="30"/>
        <v/>
      </c>
      <c r="AH310" s="990">
        <f t="shared" si="34"/>
        <v>20</v>
      </c>
      <c r="AI310" s="519" t="str">
        <f t="shared" si="27"/>
        <v>Ultima Mk7 2M</v>
      </c>
      <c r="AJ310" s="519" t="str">
        <f t="shared" si="31"/>
        <v>20Ultima Mk7 2M</v>
      </c>
      <c r="AK310" s="519" t="str">
        <f>IFERROR(VLOOKUP(AJ310,SSSS!$E$6:$F$285,2,FALSE),"")</f>
        <v/>
      </c>
      <c r="AL310" s="519" t="str">
        <f t="shared" si="32"/>
        <v/>
      </c>
      <c r="AY310" s="925"/>
      <c r="BH310" s="912"/>
    </row>
    <row r="311" spans="2:60" hidden="1">
      <c r="B311" s="203"/>
      <c r="C311" s="133"/>
      <c r="D311" s="133"/>
      <c r="E311" s="115"/>
      <c r="F311" s="157" t="s">
        <v>627</v>
      </c>
      <c r="G311" s="448" t="str">
        <f t="shared" si="35"/>
        <v>15140036 x 0.3, 16140005 x 0.3</v>
      </c>
      <c r="H311" s="376"/>
      <c r="I311" s="402">
        <v>424</v>
      </c>
      <c r="J311" s="131"/>
      <c r="L311" s="990"/>
      <c r="M311" s="519" t="s">
        <v>411</v>
      </c>
      <c r="P311" s="519" t="s">
        <v>595</v>
      </c>
      <c r="V311" s="926">
        <v>0.3</v>
      </c>
      <c r="W311" s="990">
        <v>1512</v>
      </c>
      <c r="AB311" s="990">
        <f t="shared" si="33"/>
        <v>21</v>
      </c>
      <c r="AC311" s="519" t="str">
        <f t="shared" si="25"/>
        <v>Ultima Mk7 2M</v>
      </c>
      <c r="AD311" s="519" t="str">
        <f t="shared" si="29"/>
        <v>21Ultima Mk7 2M</v>
      </c>
      <c r="AE311" s="519" t="str">
        <f>IFERROR(VLOOKUP(AD311,SSSS!$E$6:$F$285,2,FALSE),"")</f>
        <v/>
      </c>
      <c r="AF311" s="519" t="str">
        <f t="shared" si="30"/>
        <v/>
      </c>
      <c r="AH311" s="990">
        <f t="shared" si="34"/>
        <v>21</v>
      </c>
      <c r="AI311" s="519" t="str">
        <f t="shared" si="27"/>
        <v>Ultima Mk7 2M</v>
      </c>
      <c r="AJ311" s="519" t="str">
        <f t="shared" si="31"/>
        <v>21Ultima Mk7 2M</v>
      </c>
      <c r="AK311" s="519" t="str">
        <f>IFERROR(VLOOKUP(AJ311,SSSS!$E$6:$F$285,2,FALSE),"")</f>
        <v/>
      </c>
      <c r="AL311" s="519" t="str">
        <f t="shared" si="32"/>
        <v/>
      </c>
      <c r="AY311" s="925"/>
      <c r="BH311" s="912"/>
    </row>
    <row r="312" spans="2:60" hidden="1">
      <c r="B312" s="203"/>
      <c r="C312" s="133"/>
      <c r="D312" s="133"/>
      <c r="E312" s="115"/>
      <c r="F312" s="157" t="s">
        <v>628</v>
      </c>
      <c r="G312" s="448" t="str">
        <f t="shared" si="35"/>
        <v>15140037 x 0.3, 16140007 x 0.3</v>
      </c>
      <c r="H312" s="376"/>
      <c r="I312" s="402">
        <v>424</v>
      </c>
      <c r="J312" s="131"/>
      <c r="L312" s="990"/>
      <c r="M312" s="519" t="s">
        <v>412</v>
      </c>
      <c r="P312" s="519" t="s">
        <v>596</v>
      </c>
      <c r="V312" s="926">
        <v>0.3</v>
      </c>
      <c r="W312" s="990">
        <v>1540</v>
      </c>
      <c r="AB312" s="990">
        <f t="shared" si="33"/>
        <v>22</v>
      </c>
      <c r="AC312" s="519" t="str">
        <f t="shared" si="25"/>
        <v>Ultima Mk7 2M</v>
      </c>
      <c r="AD312" s="519" t="str">
        <f t="shared" si="29"/>
        <v>22Ultima Mk7 2M</v>
      </c>
      <c r="AE312" s="519" t="str">
        <f>IFERROR(VLOOKUP(AD312,SSSS!$E$6:$F$285,2,FALSE),"")</f>
        <v/>
      </c>
      <c r="AF312" s="519" t="str">
        <f t="shared" si="30"/>
        <v/>
      </c>
      <c r="AH312" s="990">
        <f t="shared" si="34"/>
        <v>22</v>
      </c>
      <c r="AI312" s="519" t="str">
        <f t="shared" si="27"/>
        <v>Ultima Mk7 2M</v>
      </c>
      <c r="AJ312" s="519" t="str">
        <f t="shared" si="31"/>
        <v>22Ultima Mk7 2M</v>
      </c>
      <c r="AK312" s="519" t="str">
        <f>IFERROR(VLOOKUP(AJ312,SSSS!$E$6:$F$285,2,FALSE),"")</f>
        <v/>
      </c>
      <c r="AL312" s="519" t="str">
        <f t="shared" si="32"/>
        <v/>
      </c>
      <c r="AY312" s="925"/>
      <c r="BH312" s="912"/>
    </row>
    <row r="313" spans="2:60" hidden="1">
      <c r="B313" s="203"/>
      <c r="C313" s="133"/>
      <c r="D313" s="133"/>
      <c r="E313" s="115"/>
      <c r="F313" s="157" t="s">
        <v>629</v>
      </c>
      <c r="G313" s="448" t="str">
        <f t="shared" si="35"/>
        <v>15140040 x 0.3, 16140011 x 0.3</v>
      </c>
      <c r="H313" s="376"/>
      <c r="I313" s="402">
        <v>424</v>
      </c>
      <c r="J313" s="131"/>
      <c r="L313" s="990"/>
      <c r="M313" s="519" t="s">
        <v>413</v>
      </c>
      <c r="P313" s="519" t="s">
        <v>597</v>
      </c>
      <c r="V313" s="926">
        <v>0.3</v>
      </c>
      <c r="W313" s="990">
        <v>1705</v>
      </c>
      <c r="AB313" s="990">
        <f t="shared" si="33"/>
        <v>23</v>
      </c>
      <c r="AC313" s="519" t="str">
        <f t="shared" si="25"/>
        <v>Ultima Mk7 2M</v>
      </c>
      <c r="AD313" s="519" t="str">
        <f t="shared" si="29"/>
        <v>23Ultima Mk7 2M</v>
      </c>
      <c r="AF313" s="519" t="str">
        <f t="shared" si="30"/>
        <v/>
      </c>
      <c r="AH313" s="990">
        <f t="shared" si="34"/>
        <v>23</v>
      </c>
      <c r="AI313" s="519" t="str">
        <f t="shared" si="27"/>
        <v>Ultima Mk7 2M</v>
      </c>
      <c r="AJ313" s="519" t="str">
        <f t="shared" si="31"/>
        <v>23Ultima Mk7 2M</v>
      </c>
      <c r="AK313" s="519" t="str">
        <f>IFERROR(VLOOKUP(AJ313,SSSS!$E$6:$F$285,2,FALSE),"")</f>
        <v/>
      </c>
      <c r="AL313" s="519" t="str">
        <f t="shared" si="32"/>
        <v/>
      </c>
      <c r="AY313" s="925"/>
      <c r="BH313" s="912"/>
    </row>
    <row r="314" spans="2:60" hidden="1">
      <c r="B314" s="203"/>
      <c r="C314" s="133"/>
      <c r="D314" s="133"/>
      <c r="E314" s="115"/>
      <c r="F314" s="157" t="s">
        <v>630</v>
      </c>
      <c r="G314" s="448" t="str">
        <f t="shared" si="35"/>
        <v>15140042 x 0.3, 16140013 x 0.3</v>
      </c>
      <c r="H314" s="376"/>
      <c r="I314" s="402">
        <v>424</v>
      </c>
      <c r="J314" s="131"/>
      <c r="L314" s="990"/>
      <c r="M314" s="519" t="s">
        <v>414</v>
      </c>
      <c r="P314" s="519" t="s">
        <v>598</v>
      </c>
      <c r="V314" s="926">
        <v>0.3</v>
      </c>
      <c r="W314" s="990">
        <v>3501</v>
      </c>
      <c r="AB314" s="990">
        <f t="shared" si="33"/>
        <v>24</v>
      </c>
      <c r="AC314" s="519" t="str">
        <f t="shared" si="25"/>
        <v>Ultima Mk7 2M</v>
      </c>
      <c r="AD314" s="519" t="str">
        <f t="shared" si="29"/>
        <v>24Ultima Mk7 2M</v>
      </c>
      <c r="AF314" s="519" t="str">
        <f t="shared" si="30"/>
        <v/>
      </c>
      <c r="AH314" s="990">
        <f t="shared" si="34"/>
        <v>24</v>
      </c>
      <c r="AI314" s="519" t="str">
        <f t="shared" si="27"/>
        <v>Ultima Mk7 2M</v>
      </c>
      <c r="AJ314" s="519" t="str">
        <f t="shared" si="31"/>
        <v>24Ultima Mk7 2M</v>
      </c>
      <c r="AK314" s="519" t="str">
        <f>IFERROR(VLOOKUP(AJ314,SSSS!$E$6:$F$285,2,FALSE),"")</f>
        <v/>
      </c>
      <c r="AL314" s="519" t="str">
        <f t="shared" si="32"/>
        <v/>
      </c>
      <c r="AY314" s="925"/>
      <c r="BH314" s="912"/>
    </row>
    <row r="315" spans="2:60" hidden="1">
      <c r="B315" s="203"/>
      <c r="C315" s="133"/>
      <c r="D315" s="133"/>
      <c r="E315" s="115"/>
      <c r="F315" s="157" t="s">
        <v>631</v>
      </c>
      <c r="G315" s="448" t="str">
        <f t="shared" si="35"/>
        <v>15140043 x 1.5, 16140013 x 0.3</v>
      </c>
      <c r="H315" s="376"/>
      <c r="I315" s="402">
        <v>424</v>
      </c>
      <c r="J315" s="131"/>
      <c r="L315" s="990"/>
      <c r="M315" s="519" t="s">
        <v>415</v>
      </c>
      <c r="P315" s="519" t="s">
        <v>599</v>
      </c>
      <c r="V315" s="926">
        <v>1.5</v>
      </c>
      <c r="W315" s="990">
        <v>3501</v>
      </c>
      <c r="AB315" s="990">
        <f t="shared" si="33"/>
        <v>25</v>
      </c>
      <c r="AC315" s="519" t="str">
        <f t="shared" si="25"/>
        <v>Ultima Mk7 2M</v>
      </c>
      <c r="AD315" s="519" t="str">
        <f t="shared" si="29"/>
        <v>25Ultima Mk7 2M</v>
      </c>
      <c r="AF315" s="519" t="str">
        <f t="shared" si="30"/>
        <v/>
      </c>
      <c r="AH315" s="990">
        <f t="shared" si="34"/>
        <v>25</v>
      </c>
      <c r="AI315" s="519" t="str">
        <f t="shared" si="27"/>
        <v>Ultima Mk7 2M</v>
      </c>
      <c r="AJ315" s="519" t="str">
        <f t="shared" si="31"/>
        <v>25Ultima Mk7 2M</v>
      </c>
      <c r="AK315" s="519" t="str">
        <f>IFERROR(VLOOKUP(AJ315,SSSS!$E$6:$F$285,2,FALSE),"")</f>
        <v/>
      </c>
      <c r="AL315" s="519" t="str">
        <f t="shared" si="32"/>
        <v/>
      </c>
      <c r="AY315" s="925"/>
      <c r="BH315" s="912"/>
    </row>
    <row r="316" spans="2:60" hidden="1">
      <c r="B316" s="203"/>
      <c r="C316" s="133"/>
      <c r="D316" s="133"/>
      <c r="E316" s="115"/>
      <c r="F316" s="157" t="s">
        <v>632</v>
      </c>
      <c r="G316" s="448" t="str">
        <f t="shared" si="35"/>
        <v>15140054 x 1.5, 16140003 x 0.3</v>
      </c>
      <c r="H316" s="376"/>
      <c r="I316" s="402">
        <v>424</v>
      </c>
      <c r="J316" s="131"/>
      <c r="L316" s="990"/>
      <c r="M316" s="519" t="s">
        <v>416</v>
      </c>
      <c r="P316" s="519" t="s">
        <v>600</v>
      </c>
      <c r="V316" s="926">
        <v>1.5</v>
      </c>
      <c r="W316" s="990">
        <v>1505</v>
      </c>
      <c r="AY316" s="925"/>
      <c r="BH316" s="912"/>
    </row>
    <row r="317" spans="2:60" hidden="1">
      <c r="B317" s="203"/>
      <c r="C317" s="133"/>
      <c r="D317" s="133"/>
      <c r="E317" s="115"/>
      <c r="F317" s="157" t="s">
        <v>633</v>
      </c>
      <c r="G317" s="448" t="str">
        <f t="shared" si="35"/>
        <v>15140055 x 0.3, 16140051 x 0.3</v>
      </c>
      <c r="H317" s="376"/>
      <c r="I317" s="402">
        <v>424</v>
      </c>
      <c r="J317" s="131"/>
      <c r="L317" s="990"/>
      <c r="M317" s="519" t="s">
        <v>417</v>
      </c>
      <c r="P317" s="519" t="s">
        <v>601</v>
      </c>
      <c r="V317" s="926">
        <v>0.3</v>
      </c>
      <c r="W317" s="990">
        <v>1558</v>
      </c>
      <c r="AY317" s="925"/>
      <c r="BH317" s="912"/>
    </row>
    <row r="318" spans="2:60" hidden="1">
      <c r="B318" s="203"/>
      <c r="C318" s="133"/>
      <c r="D318" s="133"/>
      <c r="E318" s="115"/>
      <c r="F318" s="157" t="s">
        <v>634</v>
      </c>
      <c r="G318" s="448" t="str">
        <f t="shared" si="35"/>
        <v>15140057 x 0.3, 16140052 x 0.3</v>
      </c>
      <c r="H318" s="376"/>
      <c r="I318" s="402">
        <v>424</v>
      </c>
      <c r="J318" s="131"/>
      <c r="L318" s="990"/>
      <c r="M318" s="519" t="s">
        <v>418</v>
      </c>
      <c r="P318" s="519" t="s">
        <v>602</v>
      </c>
      <c r="V318" s="926">
        <v>0.3</v>
      </c>
      <c r="W318" s="990">
        <v>2750</v>
      </c>
      <c r="AY318" s="925"/>
      <c r="BH318" s="912"/>
    </row>
    <row r="319" spans="2:60" hidden="1">
      <c r="B319" s="203"/>
      <c r="C319" s="133"/>
      <c r="D319" s="133"/>
      <c r="E319" s="115"/>
      <c r="F319" s="157" t="s">
        <v>635</v>
      </c>
      <c r="G319" s="448" t="str">
        <f t="shared" si="35"/>
        <v>15140058 x 0.3, 16140007 x 0.3</v>
      </c>
      <c r="H319" s="376"/>
      <c r="I319" s="402">
        <v>424</v>
      </c>
      <c r="J319" s="131"/>
      <c r="L319" s="990"/>
      <c r="M319" s="519" t="s">
        <v>419</v>
      </c>
      <c r="P319" s="519" t="s">
        <v>603</v>
      </c>
      <c r="V319" s="926">
        <v>0.3</v>
      </c>
      <c r="W319" s="990">
        <v>1540</v>
      </c>
      <c r="AY319" s="925"/>
      <c r="BH319" s="912"/>
    </row>
    <row r="320" spans="2:60" hidden="1">
      <c r="B320" s="203"/>
      <c r="C320" s="133"/>
      <c r="D320" s="133"/>
      <c r="E320" s="115"/>
      <c r="F320" s="157" t="s">
        <v>636</v>
      </c>
      <c r="G320" s="448" t="str">
        <f t="shared" si="35"/>
        <v>15140061 x 1.5, 16140014 x 0.3</v>
      </c>
      <c r="H320" s="376"/>
      <c r="I320" s="402">
        <v>424</v>
      </c>
      <c r="J320" s="131"/>
      <c r="L320" s="990"/>
      <c r="M320" s="519" t="s">
        <v>420</v>
      </c>
      <c r="P320" s="519" t="s">
        <v>604</v>
      </c>
      <c r="V320" s="926">
        <v>1.5</v>
      </c>
      <c r="W320" s="990">
        <v>1606</v>
      </c>
      <c r="AY320" s="925"/>
      <c r="BH320" s="912"/>
    </row>
    <row r="321" spans="2:60" hidden="1">
      <c r="B321" s="203"/>
      <c r="C321" s="133"/>
      <c r="D321" s="133"/>
      <c r="E321" s="115"/>
      <c r="F321" s="157" t="s">
        <v>637</v>
      </c>
      <c r="G321" s="448" t="str">
        <f t="shared" si="35"/>
        <v>15140062 x 1.5, 16140014 x 0.3</v>
      </c>
      <c r="H321" s="376"/>
      <c r="I321" s="402">
        <v>424</v>
      </c>
      <c r="J321" s="131"/>
      <c r="L321" s="990"/>
      <c r="M321" s="519" t="s">
        <v>421</v>
      </c>
      <c r="P321" s="519" t="s">
        <v>605</v>
      </c>
      <c r="V321" s="926">
        <v>1.5</v>
      </c>
      <c r="W321" s="990">
        <v>1606</v>
      </c>
      <c r="AY321" s="925"/>
      <c r="BH321" s="912"/>
    </row>
    <row r="322" spans="2:60" hidden="1">
      <c r="B322" s="203"/>
      <c r="C322" s="468"/>
      <c r="D322" s="468" t="s">
        <v>641</v>
      </c>
      <c r="E322" s="115"/>
      <c r="F322" s="157"/>
      <c r="G322" s="376"/>
      <c r="H322" s="376"/>
      <c r="I322" s="402"/>
      <c r="J322" s="131"/>
      <c r="V322" s="926"/>
      <c r="AY322" s="925"/>
      <c r="BH322" s="912"/>
    </row>
    <row r="323" spans="2:60" hidden="1">
      <c r="B323" s="203"/>
      <c r="C323" s="133"/>
      <c r="D323" s="133"/>
      <c r="E323" s="115">
        <v>1505</v>
      </c>
      <c r="F323" s="157" t="s">
        <v>606</v>
      </c>
      <c r="G323" s="376" t="s">
        <v>450</v>
      </c>
      <c r="H323" s="376" t="s">
        <v>1064</v>
      </c>
      <c r="I323" s="402">
        <v>308</v>
      </c>
      <c r="J323" s="131"/>
      <c r="K323" s="201">
        <v>254</v>
      </c>
      <c r="M323" s="519" t="s">
        <v>422</v>
      </c>
      <c r="P323" s="519" t="s">
        <v>606</v>
      </c>
      <c r="V323" s="926">
        <v>0.3</v>
      </c>
      <c r="AY323" s="925"/>
      <c r="BH323" s="912"/>
    </row>
    <row r="324" spans="2:60" hidden="1">
      <c r="B324" s="203"/>
      <c r="C324" s="133"/>
      <c r="D324" s="133"/>
      <c r="E324" s="115">
        <v>1506</v>
      </c>
      <c r="F324" s="157" t="s">
        <v>607</v>
      </c>
      <c r="G324" s="376" t="s">
        <v>451</v>
      </c>
      <c r="H324" s="376" t="s">
        <v>1063</v>
      </c>
      <c r="I324" s="402">
        <v>318</v>
      </c>
      <c r="J324" s="131"/>
      <c r="K324" s="201">
        <v>254</v>
      </c>
      <c r="M324" s="519" t="s">
        <v>423</v>
      </c>
      <c r="P324" s="519" t="s">
        <v>607</v>
      </c>
      <c r="V324" s="926">
        <v>0.3</v>
      </c>
      <c r="AY324" s="925"/>
      <c r="BH324" s="912"/>
    </row>
    <row r="325" spans="2:60" hidden="1">
      <c r="B325" s="203"/>
      <c r="C325" s="133"/>
      <c r="D325" s="133"/>
      <c r="E325" s="115">
        <v>1512</v>
      </c>
      <c r="F325" s="157" t="s">
        <v>608</v>
      </c>
      <c r="G325" s="376" t="s">
        <v>452</v>
      </c>
      <c r="H325" s="376" t="s">
        <v>1062</v>
      </c>
      <c r="I325" s="402">
        <v>265</v>
      </c>
      <c r="J325" s="131"/>
      <c r="K325" s="201">
        <v>219</v>
      </c>
      <c r="M325" s="519" t="s">
        <v>424</v>
      </c>
      <c r="P325" s="519" t="s">
        <v>608</v>
      </c>
      <c r="V325" s="926">
        <v>0.3</v>
      </c>
      <c r="AY325" s="925"/>
      <c r="BH325" s="912"/>
    </row>
    <row r="326" spans="2:60" hidden="1">
      <c r="B326" s="203"/>
      <c r="C326" s="133"/>
      <c r="D326" s="133"/>
      <c r="E326" s="115">
        <v>1540</v>
      </c>
      <c r="F326" s="157" t="s">
        <v>609</v>
      </c>
      <c r="G326" s="376" t="s">
        <v>453</v>
      </c>
      <c r="H326" s="376" t="s">
        <v>1061</v>
      </c>
      <c r="I326" s="402">
        <v>695</v>
      </c>
      <c r="J326" s="131"/>
      <c r="K326" s="201">
        <v>570</v>
      </c>
      <c r="M326" s="519" t="s">
        <v>425</v>
      </c>
      <c r="P326" s="519" t="s">
        <v>609</v>
      </c>
      <c r="V326" s="926">
        <v>0.3</v>
      </c>
      <c r="AY326" s="925"/>
      <c r="BH326" s="912"/>
    </row>
    <row r="327" spans="2:60" hidden="1">
      <c r="B327" s="203"/>
      <c r="C327" s="133"/>
      <c r="D327" s="133"/>
      <c r="E327" s="115">
        <v>1555</v>
      </c>
      <c r="F327" s="157" t="s">
        <v>610</v>
      </c>
      <c r="G327" s="376" t="s">
        <v>454</v>
      </c>
      <c r="H327" s="376" t="s">
        <v>1060</v>
      </c>
      <c r="I327" s="402">
        <v>307</v>
      </c>
      <c r="J327" s="131"/>
      <c r="K327" s="201">
        <v>254</v>
      </c>
      <c r="M327" s="519" t="s">
        <v>426</v>
      </c>
      <c r="P327" s="519" t="s">
        <v>610</v>
      </c>
      <c r="V327" s="926">
        <v>0.3</v>
      </c>
      <c r="AY327" s="925"/>
      <c r="BH327" s="912"/>
    </row>
    <row r="328" spans="2:60" hidden="1">
      <c r="B328" s="203"/>
      <c r="C328" s="133"/>
      <c r="D328" s="133"/>
      <c r="E328" s="115">
        <v>1560</v>
      </c>
      <c r="F328" s="157" t="s">
        <v>611</v>
      </c>
      <c r="G328" s="376" t="s">
        <v>455</v>
      </c>
      <c r="H328" s="376" t="s">
        <v>484</v>
      </c>
      <c r="I328" s="402">
        <v>688</v>
      </c>
      <c r="J328" s="131"/>
      <c r="K328" s="201">
        <v>570</v>
      </c>
      <c r="M328" s="519" t="s">
        <v>427</v>
      </c>
      <c r="P328" s="519" t="s">
        <v>611</v>
      </c>
      <c r="V328" s="926">
        <v>0.3</v>
      </c>
      <c r="AY328" s="925"/>
      <c r="BH328" s="912"/>
    </row>
    <row r="329" spans="2:60" hidden="1">
      <c r="B329" s="203"/>
      <c r="C329" s="133"/>
      <c r="D329" s="133"/>
      <c r="E329" s="115">
        <v>1705</v>
      </c>
      <c r="F329" s="157" t="s">
        <v>612</v>
      </c>
      <c r="G329" s="376" t="s">
        <v>456</v>
      </c>
      <c r="H329" s="376" t="s">
        <v>485</v>
      </c>
      <c r="I329" s="402">
        <v>204</v>
      </c>
      <c r="J329" s="131"/>
      <c r="K329" s="201">
        <v>171</v>
      </c>
      <c r="M329" s="519" t="s">
        <v>428</v>
      </c>
      <c r="P329" s="519" t="s">
        <v>612</v>
      </c>
      <c r="V329" s="926">
        <v>0.3</v>
      </c>
      <c r="AY329" s="925"/>
      <c r="BH329" s="912"/>
    </row>
    <row r="330" spans="2:60" hidden="1">
      <c r="B330" s="203"/>
      <c r="C330" s="133"/>
      <c r="D330" s="133"/>
      <c r="E330" s="115">
        <v>3501</v>
      </c>
      <c r="F330" s="157" t="s">
        <v>613</v>
      </c>
      <c r="G330" s="376" t="s">
        <v>457</v>
      </c>
      <c r="H330" s="376" t="s">
        <v>1052</v>
      </c>
      <c r="I330" s="402">
        <v>265</v>
      </c>
      <c r="J330" s="131"/>
      <c r="K330" s="201">
        <v>219</v>
      </c>
      <c r="M330" s="519" t="s">
        <v>429</v>
      </c>
      <c r="P330" s="519" t="s">
        <v>613</v>
      </c>
      <c r="V330" s="926">
        <v>0.3</v>
      </c>
      <c r="AY330" s="925"/>
      <c r="BH330" s="912"/>
    </row>
    <row r="331" spans="2:60" hidden="1">
      <c r="B331" s="203"/>
      <c r="C331" s="133"/>
      <c r="D331" s="133"/>
      <c r="E331" s="115">
        <v>1606</v>
      </c>
      <c r="F331" s="157" t="s">
        <v>614</v>
      </c>
      <c r="G331" s="376" t="s">
        <v>458</v>
      </c>
      <c r="H331" s="376" t="s">
        <v>487</v>
      </c>
      <c r="I331" s="402">
        <v>307</v>
      </c>
      <c r="J331" s="131"/>
      <c r="K331" s="201">
        <v>254</v>
      </c>
      <c r="M331" s="519" t="s">
        <v>430</v>
      </c>
      <c r="P331" s="519" t="s">
        <v>614</v>
      </c>
      <c r="V331" s="926">
        <v>0.3</v>
      </c>
      <c r="AY331" s="925"/>
      <c r="BH331" s="912"/>
    </row>
    <row r="332" spans="2:60" hidden="1">
      <c r="B332" s="203"/>
      <c r="C332" s="133"/>
      <c r="D332" s="133"/>
      <c r="E332" s="115">
        <v>1558</v>
      </c>
      <c r="F332" s="157" t="s">
        <v>615</v>
      </c>
      <c r="G332" s="376" t="s">
        <v>459</v>
      </c>
      <c r="H332" s="376" t="s">
        <v>488</v>
      </c>
      <c r="I332" s="402">
        <v>325</v>
      </c>
      <c r="J332" s="131"/>
      <c r="K332" s="201">
        <v>268</v>
      </c>
      <c r="M332" s="519" t="s">
        <v>431</v>
      </c>
      <c r="P332" s="519" t="s">
        <v>615</v>
      </c>
      <c r="V332" s="926">
        <v>0.3</v>
      </c>
      <c r="AY332" s="925"/>
      <c r="BH332" s="912"/>
    </row>
    <row r="333" spans="2:60" hidden="1">
      <c r="B333" s="203"/>
      <c r="C333" s="133"/>
      <c r="D333" s="133"/>
      <c r="E333" s="115">
        <v>2750</v>
      </c>
      <c r="F333" s="157" t="s">
        <v>616</v>
      </c>
      <c r="G333" s="376" t="s">
        <v>460</v>
      </c>
      <c r="H333" s="376" t="s">
        <v>1053</v>
      </c>
      <c r="I333" s="402">
        <v>394</v>
      </c>
      <c r="J333" s="131"/>
      <c r="K333" s="201">
        <v>325</v>
      </c>
      <c r="M333" s="519" t="s">
        <v>432</v>
      </c>
      <c r="P333" s="519" t="s">
        <v>616</v>
      </c>
      <c r="V333" s="926">
        <v>0.3</v>
      </c>
      <c r="AY333" s="925"/>
      <c r="BH333" s="912"/>
    </row>
    <row r="334" spans="2:60" hidden="1">
      <c r="B334" s="203"/>
      <c r="C334" s="133"/>
      <c r="D334" s="133"/>
      <c r="E334" s="115"/>
      <c r="F334" s="157"/>
      <c r="G334" s="376"/>
      <c r="H334" s="376"/>
      <c r="I334" s="402"/>
      <c r="J334" s="131"/>
      <c r="AY334" s="925"/>
      <c r="BH334" s="912"/>
    </row>
    <row r="335" spans="2:60" hidden="1">
      <c r="B335" s="203"/>
      <c r="C335" s="133"/>
      <c r="D335" s="133"/>
      <c r="E335" s="115">
        <v>1039</v>
      </c>
      <c r="F335" s="157" t="s">
        <v>588</v>
      </c>
      <c r="G335" s="376">
        <v>15140020</v>
      </c>
      <c r="H335" s="376" t="s">
        <v>1054</v>
      </c>
      <c r="I335" s="402">
        <v>594</v>
      </c>
      <c r="J335" s="131"/>
      <c r="K335" s="201">
        <v>491</v>
      </c>
      <c r="L335" s="990">
        <f>VLOOKUP(F335,$P$304:$W$321,8,FALSE)</f>
        <v>1505</v>
      </c>
      <c r="M335" s="519" t="str">
        <f>VLOOKUP(L335,$E$323:$H$333,3,FALSE)</f>
        <v>16140003</v>
      </c>
      <c r="N335" s="519" t="str">
        <f>VLOOKUP(L335,$E$323:$H$333,4,FALSE)</f>
        <v>FA91505/5L</v>
      </c>
      <c r="O335" s="519" t="str">
        <f>"Startup Kit "&amp;"- "&amp;E335&amp;" Ink &amp; "&amp;L335&amp;" Solvent"</f>
        <v>Startup Kit - 1039 Ink &amp; 1505 Solvent</v>
      </c>
      <c r="V335" s="990">
        <f>VLOOKUP(F335,$P$304:$V$333,7,FALSE)</f>
        <v>1.5</v>
      </c>
      <c r="W335" s="990">
        <f>VLOOKUP(L335,$E$323:$V$333,18,FALSE)</f>
        <v>0.3</v>
      </c>
      <c r="X335" s="519" t="str">
        <f>G335&amp;" x "&amp;V335</f>
        <v>15140020 x 1.5</v>
      </c>
      <c r="Y335" s="519" t="str">
        <f>M335&amp;" x "&amp;W335</f>
        <v>16140003 x 0.3</v>
      </c>
      <c r="Z335" s="927" t="str">
        <f>X335&amp;", "&amp;Y335</f>
        <v>15140020 x 1.5, 16140003 x 0.3</v>
      </c>
      <c r="AE335" s="519" t="str">
        <f>VLOOKUP(L335,$E$323:$F$333,2,FALSE)</f>
        <v>Solvent 1505 Clr 10 X 500Ml</v>
      </c>
      <c r="AY335" s="925"/>
      <c r="BH335" s="912"/>
    </row>
    <row r="336" spans="2:60" hidden="1">
      <c r="B336" s="203"/>
      <c r="C336" s="133"/>
      <c r="D336" s="133"/>
      <c r="E336" s="115">
        <v>1010</v>
      </c>
      <c r="F336" s="157" t="s">
        <v>589</v>
      </c>
      <c r="G336" s="376" t="s">
        <v>433</v>
      </c>
      <c r="H336" s="376" t="s">
        <v>462</v>
      </c>
      <c r="I336" s="402">
        <v>1257</v>
      </c>
      <c r="J336" s="131"/>
      <c r="K336" s="201">
        <v>1040</v>
      </c>
      <c r="L336" s="990">
        <f t="shared" ref="L336:L352" si="36">VLOOKUP(F336,$P$304:$W$321,8,FALSE)</f>
        <v>1505</v>
      </c>
      <c r="M336" s="519" t="str">
        <f t="shared" ref="M336:M352" si="37">VLOOKUP(L336,$E$323:$H$333,3,FALSE)</f>
        <v>16140003</v>
      </c>
      <c r="N336" s="519" t="str">
        <f t="shared" ref="N336:N352" si="38">VLOOKUP(L336,$E$323:$H$333,4,FALSE)</f>
        <v>FA91505/5L</v>
      </c>
      <c r="O336" s="519" t="str">
        <f t="shared" ref="O336:O352" si="39">"Startup Kit "&amp;"- "&amp;E336&amp;" Ink &amp; "&amp;L336&amp;" Solvent"</f>
        <v>Startup Kit - 1010 Ink &amp; 1505 Solvent</v>
      </c>
      <c r="V336" s="990">
        <f t="shared" ref="V336:V352" si="40">VLOOKUP(F336,$P$304:$V$333,7,FALSE)</f>
        <v>0.3</v>
      </c>
      <c r="W336" s="990">
        <f t="shared" ref="W336:W352" si="41">VLOOKUP(L336,$E$323:$V$333,18,FALSE)</f>
        <v>0.3</v>
      </c>
      <c r="X336" s="519" t="str">
        <f t="shared" ref="X336:X352" si="42">G336&amp;" x "&amp;V336</f>
        <v>15140022 x 0.3</v>
      </c>
      <c r="Y336" s="519" t="str">
        <f t="shared" ref="Y336:Y352" si="43">M336&amp;" x "&amp;W336</f>
        <v>16140003 x 0.3</v>
      </c>
      <c r="Z336" s="927" t="str">
        <f t="shared" ref="Z336:Z352" si="44">X336&amp;", "&amp;Y336</f>
        <v>15140022 x 0.3, 16140003 x 0.3</v>
      </c>
      <c r="AE336" s="519" t="str">
        <f t="shared" ref="AE336:AE352" si="45">VLOOKUP(L336,$E$323:$F$333,2,FALSE)</f>
        <v>Solvent 1505 Clr 10 X 500Ml</v>
      </c>
      <c r="AY336" s="925"/>
      <c r="BH336" s="912"/>
    </row>
    <row r="337" spans="2:60" hidden="1">
      <c r="B337" s="203"/>
      <c r="C337" s="133"/>
      <c r="D337" s="133"/>
      <c r="E337" s="115">
        <v>1014</v>
      </c>
      <c r="F337" s="157" t="s">
        <v>590</v>
      </c>
      <c r="G337" s="376" t="s">
        <v>434</v>
      </c>
      <c r="H337" s="376" t="s">
        <v>463</v>
      </c>
      <c r="I337" s="402">
        <v>319</v>
      </c>
      <c r="J337" s="131"/>
      <c r="K337" s="201">
        <v>264</v>
      </c>
      <c r="L337" s="990">
        <f t="shared" si="36"/>
        <v>1505</v>
      </c>
      <c r="M337" s="519" t="str">
        <f t="shared" si="37"/>
        <v>16140003</v>
      </c>
      <c r="N337" s="519" t="str">
        <f t="shared" si="38"/>
        <v>FA91505/5L</v>
      </c>
      <c r="O337" s="519" t="str">
        <f t="shared" si="39"/>
        <v>Startup Kit - 1014 Ink &amp; 1505 Solvent</v>
      </c>
      <c r="V337" s="990">
        <f t="shared" si="40"/>
        <v>1.5</v>
      </c>
      <c r="W337" s="990">
        <f t="shared" si="41"/>
        <v>0.3</v>
      </c>
      <c r="X337" s="519" t="str">
        <f t="shared" si="42"/>
        <v>15140024 x 1.5</v>
      </c>
      <c r="Y337" s="519" t="str">
        <f t="shared" si="43"/>
        <v>16140003 x 0.3</v>
      </c>
      <c r="Z337" s="927" t="str">
        <f t="shared" si="44"/>
        <v>15140024 x 1.5, 16140003 x 0.3</v>
      </c>
      <c r="AE337" s="519" t="str">
        <f t="shared" si="45"/>
        <v>Solvent 1505 Clr 10 X 500Ml</v>
      </c>
      <c r="AY337" s="925"/>
      <c r="BH337" s="912"/>
    </row>
    <row r="338" spans="2:60" hidden="1">
      <c r="B338" s="203"/>
      <c r="C338" s="133"/>
      <c r="D338" s="133"/>
      <c r="E338" s="115">
        <v>1016</v>
      </c>
      <c r="F338" s="157" t="s">
        <v>591</v>
      </c>
      <c r="G338" s="376" t="s">
        <v>435</v>
      </c>
      <c r="H338" s="376" t="s">
        <v>1055</v>
      </c>
      <c r="I338" s="402">
        <v>1507</v>
      </c>
      <c r="J338" s="131"/>
      <c r="K338" s="201">
        <v>1208</v>
      </c>
      <c r="L338" s="990">
        <f t="shared" si="36"/>
        <v>1506</v>
      </c>
      <c r="M338" s="519" t="str">
        <f t="shared" si="37"/>
        <v>16140004</v>
      </c>
      <c r="N338" s="519" t="str">
        <f t="shared" si="38"/>
        <v>FA91506/5L</v>
      </c>
      <c r="O338" s="519" t="str">
        <f t="shared" si="39"/>
        <v>Startup Kit - 1016 Ink &amp; 1506 Solvent</v>
      </c>
      <c r="V338" s="990">
        <f t="shared" si="40"/>
        <v>0.3</v>
      </c>
      <c r="W338" s="990">
        <f t="shared" si="41"/>
        <v>0.3</v>
      </c>
      <c r="X338" s="519" t="str">
        <f t="shared" si="42"/>
        <v>15140025 x 0.3</v>
      </c>
      <c r="Y338" s="519" t="str">
        <f t="shared" si="43"/>
        <v>16140004 x 0.3</v>
      </c>
      <c r="Z338" s="927" t="str">
        <f t="shared" si="44"/>
        <v>15140025 x 0.3, 16140004 x 0.3</v>
      </c>
      <c r="AE338" s="519" t="str">
        <f t="shared" si="45"/>
        <v>Solvent 1506 Clr 10 X 500Ml</v>
      </c>
      <c r="AY338" s="925"/>
      <c r="BH338" s="912"/>
    </row>
    <row r="339" spans="2:60" hidden="1">
      <c r="B339" s="203"/>
      <c r="C339" s="133"/>
      <c r="D339" s="133"/>
      <c r="E339" s="115">
        <v>1056</v>
      </c>
      <c r="F339" s="157" t="s">
        <v>592</v>
      </c>
      <c r="G339" s="376" t="s">
        <v>436</v>
      </c>
      <c r="H339" s="376" t="s">
        <v>465</v>
      </c>
      <c r="I339" s="402">
        <v>1414</v>
      </c>
      <c r="J339" s="131"/>
      <c r="K339" s="201">
        <v>1164</v>
      </c>
      <c r="L339" s="990">
        <f t="shared" si="36"/>
        <v>1555</v>
      </c>
      <c r="M339" s="519" t="str">
        <f t="shared" si="37"/>
        <v>16140008</v>
      </c>
      <c r="N339" s="519" t="str">
        <f t="shared" si="38"/>
        <v>FA91555/5L</v>
      </c>
      <c r="O339" s="519" t="str">
        <f t="shared" si="39"/>
        <v>Startup Kit - 1056 Ink &amp; 1555 Solvent</v>
      </c>
      <c r="V339" s="990">
        <f t="shared" si="40"/>
        <v>0.3</v>
      </c>
      <c r="W339" s="990">
        <f t="shared" si="41"/>
        <v>0.3</v>
      </c>
      <c r="X339" s="519" t="str">
        <f t="shared" si="42"/>
        <v>15140033 x 0.3</v>
      </c>
      <c r="Y339" s="519" t="str">
        <f t="shared" si="43"/>
        <v>16140008 x 0.3</v>
      </c>
      <c r="Z339" s="927" t="str">
        <f t="shared" si="44"/>
        <v>15140033 x 0.3, 16140008 x 0.3</v>
      </c>
      <c r="AE339" s="519" t="str">
        <f t="shared" si="45"/>
        <v>Solvent 1555 Clr 10 X 500Ml</v>
      </c>
      <c r="AY339" s="925"/>
      <c r="BH339" s="912"/>
    </row>
    <row r="340" spans="2:60" hidden="1">
      <c r="B340" s="203"/>
      <c r="C340" s="133"/>
      <c r="D340" s="133"/>
      <c r="E340" s="115">
        <v>1059</v>
      </c>
      <c r="F340" s="157" t="s">
        <v>593</v>
      </c>
      <c r="G340" s="376" t="s">
        <v>437</v>
      </c>
      <c r="H340" s="376" t="s">
        <v>466</v>
      </c>
      <c r="I340" s="402">
        <v>579</v>
      </c>
      <c r="J340" s="131"/>
      <c r="K340" s="201">
        <v>479</v>
      </c>
      <c r="L340" s="990">
        <f t="shared" si="36"/>
        <v>1505</v>
      </c>
      <c r="M340" s="519" t="str">
        <f t="shared" si="37"/>
        <v>16140003</v>
      </c>
      <c r="N340" s="519" t="str">
        <f t="shared" si="38"/>
        <v>FA91505/5L</v>
      </c>
      <c r="O340" s="519" t="str">
        <f t="shared" si="39"/>
        <v>Startup Kit - 1059 Ink &amp; 1505 Solvent</v>
      </c>
      <c r="V340" s="990">
        <f t="shared" si="40"/>
        <v>1.5</v>
      </c>
      <c r="W340" s="990">
        <f t="shared" si="41"/>
        <v>0.3</v>
      </c>
      <c r="X340" s="519" t="str">
        <f t="shared" si="42"/>
        <v>15140034 x 1.5</v>
      </c>
      <c r="Y340" s="519" t="str">
        <f t="shared" si="43"/>
        <v>16140003 x 0.3</v>
      </c>
      <c r="Z340" s="927" t="str">
        <f t="shared" si="44"/>
        <v>15140034 x 1.5, 16140003 x 0.3</v>
      </c>
      <c r="AE340" s="519" t="str">
        <f t="shared" si="45"/>
        <v>Solvent 1505 Clr 10 X 500Ml</v>
      </c>
      <c r="AY340" s="925"/>
      <c r="BH340" s="912"/>
    </row>
    <row r="341" spans="2:60" hidden="1">
      <c r="B341" s="203"/>
      <c r="C341" s="133"/>
      <c r="D341" s="133"/>
      <c r="E341" s="115">
        <v>1070</v>
      </c>
      <c r="F341" s="157" t="s">
        <v>594</v>
      </c>
      <c r="G341" s="376" t="s">
        <v>438</v>
      </c>
      <c r="H341" s="376" t="s">
        <v>467</v>
      </c>
      <c r="I341" s="402">
        <v>1507</v>
      </c>
      <c r="J341" s="131"/>
      <c r="K341" s="201">
        <v>1290</v>
      </c>
      <c r="L341" s="990">
        <f t="shared" si="36"/>
        <v>1560</v>
      </c>
      <c r="M341" s="519" t="str">
        <f t="shared" si="37"/>
        <v>16140009</v>
      </c>
      <c r="N341" s="519" t="str">
        <f t="shared" si="38"/>
        <v>FA91560/5L</v>
      </c>
      <c r="O341" s="519" t="str">
        <f t="shared" si="39"/>
        <v>Startup Kit - 1070 Ink &amp; 1560 Solvent</v>
      </c>
      <c r="V341" s="990">
        <f t="shared" si="40"/>
        <v>0.3</v>
      </c>
      <c r="W341" s="990">
        <f t="shared" si="41"/>
        <v>0.3</v>
      </c>
      <c r="X341" s="519" t="str">
        <f t="shared" si="42"/>
        <v>15140035 x 0.3</v>
      </c>
      <c r="Y341" s="519" t="str">
        <f t="shared" si="43"/>
        <v>16140009 x 0.3</v>
      </c>
      <c r="Z341" s="927" t="str">
        <f t="shared" si="44"/>
        <v>15140035 x 0.3, 16140009 x 0.3</v>
      </c>
      <c r="AE341" s="519" t="str">
        <f t="shared" si="45"/>
        <v>Solvent 1560 Clr 10 X 500Ml</v>
      </c>
      <c r="AY341" s="925"/>
      <c r="BH341" s="912"/>
    </row>
    <row r="342" spans="2:60" hidden="1">
      <c r="B342" s="203"/>
      <c r="C342" s="133"/>
      <c r="D342" s="133"/>
      <c r="E342" s="115">
        <v>1240</v>
      </c>
      <c r="F342" s="157" t="s">
        <v>595</v>
      </c>
      <c r="G342" s="376" t="s">
        <v>439</v>
      </c>
      <c r="H342" s="376" t="s">
        <v>1056</v>
      </c>
      <c r="I342" s="402">
        <v>980</v>
      </c>
      <c r="J342" s="131"/>
      <c r="K342" s="201">
        <v>811</v>
      </c>
      <c r="L342" s="990">
        <f t="shared" si="36"/>
        <v>1512</v>
      </c>
      <c r="M342" s="519" t="str">
        <f t="shared" si="37"/>
        <v>16140005</v>
      </c>
      <c r="N342" s="519" t="str">
        <f t="shared" si="38"/>
        <v>FA91512/5L</v>
      </c>
      <c r="O342" s="519" t="str">
        <f t="shared" si="39"/>
        <v>Startup Kit - 1240 Ink &amp; 1512 Solvent</v>
      </c>
      <c r="V342" s="990">
        <f t="shared" si="40"/>
        <v>0.3</v>
      </c>
      <c r="W342" s="990">
        <f t="shared" si="41"/>
        <v>0.3</v>
      </c>
      <c r="X342" s="519" t="str">
        <f t="shared" si="42"/>
        <v>15140036 x 0.3</v>
      </c>
      <c r="Y342" s="519" t="str">
        <f t="shared" si="43"/>
        <v>16140005 x 0.3</v>
      </c>
      <c r="Z342" s="927" t="str">
        <f t="shared" si="44"/>
        <v>15140036 x 0.3, 16140005 x 0.3</v>
      </c>
      <c r="AE342" s="519" t="str">
        <f t="shared" si="45"/>
        <v>Solvent 1512 Clr 10 X 500Ml</v>
      </c>
      <c r="AY342" s="925"/>
      <c r="BH342" s="912"/>
    </row>
    <row r="343" spans="2:60" hidden="1">
      <c r="B343" s="203"/>
      <c r="C343" s="133"/>
      <c r="D343" s="133"/>
      <c r="E343" s="115">
        <v>1290</v>
      </c>
      <c r="F343" s="157" t="s">
        <v>596</v>
      </c>
      <c r="G343" s="376" t="s">
        <v>440</v>
      </c>
      <c r="H343" s="376" t="s">
        <v>1057</v>
      </c>
      <c r="I343" s="402">
        <v>1446</v>
      </c>
      <c r="J343" s="131"/>
      <c r="K343" s="201">
        <v>1169</v>
      </c>
      <c r="L343" s="990">
        <f t="shared" si="36"/>
        <v>1540</v>
      </c>
      <c r="M343" s="519" t="str">
        <f t="shared" si="37"/>
        <v>16140007</v>
      </c>
      <c r="N343" s="519" t="str">
        <f t="shared" si="38"/>
        <v>FA91540/5L</v>
      </c>
      <c r="O343" s="519" t="str">
        <f t="shared" si="39"/>
        <v>Startup Kit - 1290 Ink &amp; 1540 Solvent</v>
      </c>
      <c r="V343" s="990">
        <f t="shared" si="40"/>
        <v>0.3</v>
      </c>
      <c r="W343" s="990">
        <f t="shared" si="41"/>
        <v>0.3</v>
      </c>
      <c r="X343" s="519" t="str">
        <f t="shared" si="42"/>
        <v>15140037 x 0.3</v>
      </c>
      <c r="Y343" s="519" t="str">
        <f t="shared" si="43"/>
        <v>16140007 x 0.3</v>
      </c>
      <c r="Z343" s="927" t="str">
        <f t="shared" si="44"/>
        <v>15140037 x 0.3, 16140007 x 0.3</v>
      </c>
      <c r="AE343" s="519" t="str">
        <f t="shared" si="45"/>
        <v>Solvent 1540 Clr 10 X 500Ml</v>
      </c>
      <c r="AY343" s="925"/>
      <c r="BH343" s="912"/>
    </row>
    <row r="344" spans="2:60" hidden="1">
      <c r="B344" s="203"/>
      <c r="C344" s="133"/>
      <c r="D344" s="133"/>
      <c r="E344" s="115">
        <v>1405</v>
      </c>
      <c r="F344" s="157" t="s">
        <v>597</v>
      </c>
      <c r="G344" s="376" t="s">
        <v>441</v>
      </c>
      <c r="H344" s="376" t="s">
        <v>470</v>
      </c>
      <c r="I344" s="402">
        <v>976</v>
      </c>
      <c r="J344" s="131"/>
      <c r="K344" s="201">
        <v>770</v>
      </c>
      <c r="L344" s="990">
        <f t="shared" si="36"/>
        <v>1705</v>
      </c>
      <c r="M344" s="519" t="str">
        <f t="shared" si="37"/>
        <v>16140011</v>
      </c>
      <c r="N344" s="519" t="str">
        <f t="shared" si="38"/>
        <v>FA91705/5L</v>
      </c>
      <c r="O344" s="519" t="str">
        <f t="shared" si="39"/>
        <v>Startup Kit - 1405 Ink &amp; 1705 Solvent</v>
      </c>
      <c r="V344" s="990">
        <f t="shared" si="40"/>
        <v>0.3</v>
      </c>
      <c r="W344" s="990">
        <f t="shared" si="41"/>
        <v>0.3</v>
      </c>
      <c r="X344" s="519" t="str">
        <f t="shared" si="42"/>
        <v>15140040 x 0.3</v>
      </c>
      <c r="Y344" s="519" t="str">
        <f t="shared" si="43"/>
        <v>16140011 x 0.3</v>
      </c>
      <c r="Z344" s="927" t="str">
        <f t="shared" si="44"/>
        <v>15140040 x 0.3, 16140011 x 0.3</v>
      </c>
      <c r="AE344" s="519" t="str">
        <f t="shared" si="45"/>
        <v>Solvent 1705 Clr 10 X 500Ml</v>
      </c>
      <c r="AY344" s="925"/>
      <c r="BH344" s="912"/>
    </row>
    <row r="345" spans="2:60" hidden="1">
      <c r="B345" s="203"/>
      <c r="C345" s="133"/>
      <c r="D345" s="133"/>
      <c r="E345" s="115">
        <v>3103</v>
      </c>
      <c r="F345" s="157" t="s">
        <v>598</v>
      </c>
      <c r="G345" s="376" t="s">
        <v>442</v>
      </c>
      <c r="H345" s="376" t="s">
        <v>1058</v>
      </c>
      <c r="I345" s="402">
        <v>1002</v>
      </c>
      <c r="J345" s="131"/>
      <c r="K345" s="201">
        <v>830</v>
      </c>
      <c r="L345" s="990">
        <f t="shared" si="36"/>
        <v>3501</v>
      </c>
      <c r="M345" s="519" t="str">
        <f t="shared" si="37"/>
        <v>16140013</v>
      </c>
      <c r="N345" s="519" t="str">
        <f t="shared" si="38"/>
        <v>FA93501/5L</v>
      </c>
      <c r="O345" s="519" t="str">
        <f t="shared" si="39"/>
        <v>Startup Kit - 3103 Ink &amp; 3501 Solvent</v>
      </c>
      <c r="V345" s="990">
        <f t="shared" si="40"/>
        <v>0.3</v>
      </c>
      <c r="W345" s="990">
        <f t="shared" si="41"/>
        <v>0.3</v>
      </c>
      <c r="X345" s="519" t="str">
        <f t="shared" si="42"/>
        <v>15140042 x 0.3</v>
      </c>
      <c r="Y345" s="519" t="str">
        <f t="shared" si="43"/>
        <v>16140013 x 0.3</v>
      </c>
      <c r="Z345" s="927" t="str">
        <f t="shared" si="44"/>
        <v>15140042 x 0.3, 16140013 x 0.3</v>
      </c>
      <c r="AE345" s="519" t="str">
        <f t="shared" si="45"/>
        <v>Solvent 3501 Clr 10 X 500Ml</v>
      </c>
      <c r="AY345" s="925"/>
      <c r="BH345" s="912"/>
    </row>
    <row r="346" spans="2:60" hidden="1">
      <c r="B346" s="203"/>
      <c r="C346" s="133"/>
      <c r="D346" s="133"/>
      <c r="E346" s="115">
        <v>3123</v>
      </c>
      <c r="F346" s="157" t="s">
        <v>599</v>
      </c>
      <c r="G346" s="376" t="s">
        <v>443</v>
      </c>
      <c r="H346" s="376" t="s">
        <v>472</v>
      </c>
      <c r="I346" s="402">
        <v>327</v>
      </c>
      <c r="J346" s="131"/>
      <c r="K346" s="201">
        <v>270</v>
      </c>
      <c r="L346" s="990">
        <f t="shared" si="36"/>
        <v>3501</v>
      </c>
      <c r="M346" s="519" t="str">
        <f t="shared" si="37"/>
        <v>16140013</v>
      </c>
      <c r="N346" s="519" t="str">
        <f t="shared" si="38"/>
        <v>FA93501/5L</v>
      </c>
      <c r="O346" s="519" t="str">
        <f t="shared" si="39"/>
        <v>Startup Kit - 3123 Ink &amp; 3501 Solvent</v>
      </c>
      <c r="V346" s="990">
        <f t="shared" si="40"/>
        <v>1.5</v>
      </c>
      <c r="W346" s="990">
        <f t="shared" si="41"/>
        <v>0.3</v>
      </c>
      <c r="X346" s="519" t="str">
        <f t="shared" si="42"/>
        <v>15140043 x 1.5</v>
      </c>
      <c r="Y346" s="519" t="str">
        <f t="shared" si="43"/>
        <v>16140013 x 0.3</v>
      </c>
      <c r="Z346" s="927" t="str">
        <f t="shared" si="44"/>
        <v>15140043 x 1.5, 16140013 x 0.3</v>
      </c>
      <c r="AE346" s="519" t="str">
        <f t="shared" si="45"/>
        <v>Solvent 3501 Clr 10 X 500Ml</v>
      </c>
      <c r="AY346" s="925"/>
      <c r="BH346" s="912"/>
    </row>
    <row r="347" spans="2:60" hidden="1">
      <c r="B347" s="203"/>
      <c r="C347" s="133"/>
      <c r="D347" s="133"/>
      <c r="E347" s="115">
        <v>1043</v>
      </c>
      <c r="F347" s="157" t="s">
        <v>600</v>
      </c>
      <c r="G347" s="376" t="s">
        <v>444</v>
      </c>
      <c r="H347" s="376" t="s">
        <v>473</v>
      </c>
      <c r="I347" s="402">
        <v>693</v>
      </c>
      <c r="J347" s="131"/>
      <c r="K347" s="201">
        <v>547</v>
      </c>
      <c r="L347" s="990">
        <f t="shared" si="36"/>
        <v>1505</v>
      </c>
      <c r="M347" s="519" t="str">
        <f t="shared" si="37"/>
        <v>16140003</v>
      </c>
      <c r="N347" s="519" t="str">
        <f t="shared" si="38"/>
        <v>FA91505/5L</v>
      </c>
      <c r="O347" s="519" t="str">
        <f t="shared" si="39"/>
        <v>Startup Kit - 1043 Ink &amp; 1505 Solvent</v>
      </c>
      <c r="V347" s="990">
        <f t="shared" si="40"/>
        <v>1.5</v>
      </c>
      <c r="W347" s="990">
        <f t="shared" si="41"/>
        <v>0.3</v>
      </c>
      <c r="X347" s="519" t="str">
        <f t="shared" si="42"/>
        <v>15140054 x 1.5</v>
      </c>
      <c r="Y347" s="519" t="str">
        <f t="shared" si="43"/>
        <v>16140003 x 0.3</v>
      </c>
      <c r="Z347" s="927" t="str">
        <f t="shared" si="44"/>
        <v>15140054 x 1.5, 16140003 x 0.3</v>
      </c>
      <c r="AE347" s="519" t="str">
        <f t="shared" si="45"/>
        <v>Solvent 1505 Clr 10 X 500Ml</v>
      </c>
      <c r="AY347" s="925"/>
      <c r="BH347" s="912"/>
    </row>
    <row r="348" spans="2:60" hidden="1">
      <c r="B348" s="203"/>
      <c r="C348" s="133"/>
      <c r="D348" s="133"/>
      <c r="E348" s="115">
        <v>1058</v>
      </c>
      <c r="F348" s="157" t="s">
        <v>601</v>
      </c>
      <c r="G348" s="376" t="s">
        <v>445</v>
      </c>
      <c r="H348" s="376" t="s">
        <v>474</v>
      </c>
      <c r="I348" s="402">
        <v>1391</v>
      </c>
      <c r="J348" s="131"/>
      <c r="K348" s="201">
        <v>1152</v>
      </c>
      <c r="L348" s="990">
        <f t="shared" si="36"/>
        <v>1558</v>
      </c>
      <c r="M348" s="519" t="str">
        <f t="shared" si="37"/>
        <v>16140051</v>
      </c>
      <c r="N348" s="519" t="str">
        <f t="shared" si="38"/>
        <v>FA91558/5L</v>
      </c>
      <c r="O348" s="519" t="str">
        <f t="shared" si="39"/>
        <v>Startup Kit - 1058 Ink &amp; 1558 Solvent</v>
      </c>
      <c r="V348" s="990">
        <f t="shared" si="40"/>
        <v>0.3</v>
      </c>
      <c r="W348" s="990">
        <f t="shared" si="41"/>
        <v>0.3</v>
      </c>
      <c r="X348" s="519" t="str">
        <f t="shared" si="42"/>
        <v>15140055 x 0.3</v>
      </c>
      <c r="Y348" s="519" t="str">
        <f t="shared" si="43"/>
        <v>16140051 x 0.3</v>
      </c>
      <c r="Z348" s="927" t="str">
        <f t="shared" si="44"/>
        <v>15140055 x 0.3, 16140051 x 0.3</v>
      </c>
      <c r="AE348" s="519" t="str">
        <f t="shared" si="45"/>
        <v>Solvent 1558 Clr 10 X 500Ml</v>
      </c>
      <c r="AY348" s="925"/>
      <c r="BH348" s="912"/>
    </row>
    <row r="349" spans="2:60" hidden="1">
      <c r="B349" s="203"/>
      <c r="C349" s="133"/>
      <c r="D349" s="133"/>
      <c r="E349" s="115">
        <v>2250</v>
      </c>
      <c r="F349" s="157" t="s">
        <v>602</v>
      </c>
      <c r="G349" s="376" t="s">
        <v>446</v>
      </c>
      <c r="H349" s="376" t="s">
        <v>1059</v>
      </c>
      <c r="I349" s="402">
        <v>1053</v>
      </c>
      <c r="J349" s="131"/>
      <c r="K349" s="201">
        <v>859</v>
      </c>
      <c r="L349" s="990">
        <f t="shared" si="36"/>
        <v>2750</v>
      </c>
      <c r="M349" s="519" t="str">
        <f t="shared" si="37"/>
        <v>16140052</v>
      </c>
      <c r="N349" s="519" t="str">
        <f t="shared" si="38"/>
        <v>FA92750/5L</v>
      </c>
      <c r="O349" s="519" t="str">
        <f t="shared" si="39"/>
        <v>Startup Kit - 2250 Ink &amp; 2750 Solvent</v>
      </c>
      <c r="V349" s="990">
        <f t="shared" si="40"/>
        <v>0.3</v>
      </c>
      <c r="W349" s="990">
        <f t="shared" si="41"/>
        <v>0.3</v>
      </c>
      <c r="X349" s="519" t="str">
        <f t="shared" si="42"/>
        <v>15140057 x 0.3</v>
      </c>
      <c r="Y349" s="519" t="str">
        <f t="shared" si="43"/>
        <v>16140052 x 0.3</v>
      </c>
      <c r="Z349" s="927" t="str">
        <f t="shared" si="44"/>
        <v>15140057 x 0.3, 16140052 x 0.3</v>
      </c>
      <c r="AE349" s="519" t="str">
        <f t="shared" si="45"/>
        <v>Solvent 2750 Clr 10 X 500Ml</v>
      </c>
      <c r="AY349" s="925"/>
      <c r="BH349" s="912"/>
    </row>
    <row r="350" spans="2:60" hidden="1">
      <c r="B350" s="203"/>
      <c r="C350" s="133"/>
      <c r="D350" s="133"/>
      <c r="E350" s="115">
        <v>1280</v>
      </c>
      <c r="F350" s="157" t="s">
        <v>603</v>
      </c>
      <c r="G350" s="376" t="s">
        <v>447</v>
      </c>
      <c r="H350" s="376" t="s">
        <v>476</v>
      </c>
      <c r="I350" s="402">
        <v>1446</v>
      </c>
      <c r="J350" s="131"/>
      <c r="K350" s="201">
        <v>1169</v>
      </c>
      <c r="L350" s="990">
        <f t="shared" si="36"/>
        <v>1540</v>
      </c>
      <c r="M350" s="519" t="str">
        <f t="shared" si="37"/>
        <v>16140007</v>
      </c>
      <c r="N350" s="519" t="str">
        <f t="shared" si="38"/>
        <v>FA91540/5L</v>
      </c>
      <c r="O350" s="519" t="str">
        <f t="shared" si="39"/>
        <v>Startup Kit - 1280 Ink &amp; 1540 Solvent</v>
      </c>
      <c r="V350" s="990">
        <f t="shared" si="40"/>
        <v>0.3</v>
      </c>
      <c r="W350" s="990">
        <f t="shared" si="41"/>
        <v>0.3</v>
      </c>
      <c r="X350" s="519" t="str">
        <f t="shared" si="42"/>
        <v>15140058 x 0.3</v>
      </c>
      <c r="Y350" s="519" t="str">
        <f t="shared" si="43"/>
        <v>16140007 x 0.3</v>
      </c>
      <c r="Z350" s="927" t="str">
        <f t="shared" si="44"/>
        <v>15140058 x 0.3, 16140007 x 0.3</v>
      </c>
      <c r="AE350" s="519" t="str">
        <f t="shared" si="45"/>
        <v>Solvent 1540 Clr 10 X 500Ml</v>
      </c>
      <c r="AY350" s="925"/>
      <c r="BH350" s="912"/>
    </row>
    <row r="351" spans="2:60" hidden="1">
      <c r="B351" s="203"/>
      <c r="C351" s="133"/>
      <c r="D351" s="133"/>
      <c r="E351" s="115">
        <v>1306</v>
      </c>
      <c r="F351" s="157" t="s">
        <v>604</v>
      </c>
      <c r="G351" s="376" t="s">
        <v>448</v>
      </c>
      <c r="H351" s="376" t="s">
        <v>477</v>
      </c>
      <c r="I351" s="402">
        <v>653</v>
      </c>
      <c r="J351" s="131"/>
      <c r="K351" s="912">
        <v>2317</v>
      </c>
      <c r="L351" s="990">
        <f t="shared" si="36"/>
        <v>1606</v>
      </c>
      <c r="M351" s="519" t="str">
        <f t="shared" si="37"/>
        <v>16140014</v>
      </c>
      <c r="N351" s="519" t="str">
        <f t="shared" si="38"/>
        <v>FA91606/5L</v>
      </c>
      <c r="O351" s="519" t="str">
        <f t="shared" si="39"/>
        <v>Startup Kit - 1306 Ink &amp; 1606 Solvent</v>
      </c>
      <c r="V351" s="990">
        <f t="shared" si="40"/>
        <v>1.5</v>
      </c>
      <c r="W351" s="990">
        <f t="shared" si="41"/>
        <v>0.3</v>
      </c>
      <c r="X351" s="519" t="str">
        <f t="shared" si="42"/>
        <v>15140061 x 1.5</v>
      </c>
      <c r="Y351" s="519" t="str">
        <f t="shared" si="43"/>
        <v>16140014 x 0.3</v>
      </c>
      <c r="Z351" s="927" t="str">
        <f t="shared" si="44"/>
        <v>15140061 x 1.5, 16140014 x 0.3</v>
      </c>
      <c r="AE351" s="519" t="str">
        <f t="shared" si="45"/>
        <v>Solvent 1606 Clr 10 X 500Ml</v>
      </c>
      <c r="AY351" s="925"/>
      <c r="BH351" s="912"/>
    </row>
    <row r="352" spans="2:60" hidden="1">
      <c r="B352" s="203"/>
      <c r="C352" s="133"/>
      <c r="D352" s="133"/>
      <c r="E352" s="115">
        <v>1311</v>
      </c>
      <c r="F352" s="157" t="s">
        <v>605</v>
      </c>
      <c r="G352" s="376" t="s">
        <v>449</v>
      </c>
      <c r="H352" s="376" t="s">
        <v>478</v>
      </c>
      <c r="I352" s="402">
        <v>648</v>
      </c>
      <c r="J352" s="131"/>
      <c r="K352" s="912">
        <v>2317</v>
      </c>
      <c r="L352" s="990">
        <f t="shared" si="36"/>
        <v>1606</v>
      </c>
      <c r="M352" s="519" t="str">
        <f t="shared" si="37"/>
        <v>16140014</v>
      </c>
      <c r="N352" s="519" t="str">
        <f t="shared" si="38"/>
        <v>FA91606/5L</v>
      </c>
      <c r="O352" s="519" t="str">
        <f t="shared" si="39"/>
        <v>Startup Kit - 1311 Ink &amp; 1606 Solvent</v>
      </c>
      <c r="V352" s="990">
        <f t="shared" si="40"/>
        <v>1.5</v>
      </c>
      <c r="W352" s="990">
        <f t="shared" si="41"/>
        <v>0.3</v>
      </c>
      <c r="X352" s="519" t="str">
        <f t="shared" si="42"/>
        <v>15140062 x 1.5</v>
      </c>
      <c r="Y352" s="519" t="str">
        <f t="shared" si="43"/>
        <v>16140014 x 0.3</v>
      </c>
      <c r="Z352" s="927" t="str">
        <f t="shared" si="44"/>
        <v>15140062 x 1.5, 16140014 x 0.3</v>
      </c>
      <c r="AE352" s="519" t="str">
        <f t="shared" si="45"/>
        <v>Solvent 1606 Clr 10 X 500Ml</v>
      </c>
      <c r="AY352" s="925"/>
      <c r="BH352" s="912"/>
    </row>
    <row r="353" spans="2:60" hidden="1">
      <c r="B353" s="203"/>
      <c r="C353" s="133"/>
      <c r="D353" s="133"/>
      <c r="E353" s="115"/>
      <c r="F353" s="157"/>
      <c r="G353" s="207"/>
      <c r="H353" s="207"/>
      <c r="I353" s="402"/>
      <c r="J353" s="131"/>
      <c r="AY353" s="925"/>
      <c r="BH353" s="912"/>
    </row>
    <row r="354" spans="2:60" hidden="1">
      <c r="B354" s="203"/>
      <c r="C354" s="133"/>
      <c r="D354" s="133"/>
      <c r="E354" s="115"/>
      <c r="F354" s="157"/>
      <c r="G354" s="207"/>
      <c r="H354" s="207"/>
      <c r="I354" s="402"/>
      <c r="J354" s="131"/>
      <c r="AY354" s="925"/>
      <c r="BH354" s="912"/>
    </row>
    <row r="355" spans="2:60" hidden="1">
      <c r="B355" s="203"/>
      <c r="C355" s="133"/>
      <c r="D355" s="133"/>
      <c r="E355" s="115"/>
      <c r="F355" s="157" t="s">
        <v>559</v>
      </c>
      <c r="G355" s="207"/>
      <c r="H355" s="207"/>
      <c r="I355" s="402">
        <v>150</v>
      </c>
      <c r="J355" s="131"/>
      <c r="AY355" s="925"/>
      <c r="BH355" s="912"/>
    </row>
    <row r="356" spans="2:60" hidden="1">
      <c r="B356" s="203"/>
      <c r="C356" s="133"/>
      <c r="D356" s="133"/>
      <c r="E356" s="115"/>
      <c r="F356" s="108"/>
      <c r="G356" s="206"/>
      <c r="H356" s="28"/>
      <c r="I356" s="334"/>
      <c r="J356" s="131"/>
      <c r="AY356" s="925"/>
      <c r="BH356" s="912"/>
    </row>
    <row r="357" spans="2:60" hidden="1">
      <c r="B357" s="203"/>
      <c r="C357" s="133"/>
      <c r="D357" s="133"/>
      <c r="E357" s="115"/>
      <c r="F357" s="108"/>
      <c r="G357" s="206"/>
      <c r="H357" s="28"/>
      <c r="I357" s="334"/>
      <c r="J357" s="131"/>
      <c r="AY357" s="925"/>
      <c r="BH357" s="912"/>
    </row>
    <row r="358" spans="2:60" hidden="1">
      <c r="B358" s="203"/>
      <c r="C358" s="133"/>
      <c r="D358" s="133"/>
      <c r="E358" s="115"/>
      <c r="F358" s="108"/>
      <c r="G358" s="206"/>
      <c r="H358" s="28"/>
      <c r="I358" s="334"/>
      <c r="J358" s="131"/>
      <c r="AY358" s="925"/>
      <c r="BH358" s="912"/>
    </row>
    <row r="359" spans="2:60" hidden="1">
      <c r="B359" s="203"/>
      <c r="C359" s="132"/>
      <c r="D359" s="132" t="s">
        <v>106</v>
      </c>
      <c r="E359" s="115"/>
      <c r="F359" s="157" t="s">
        <v>499</v>
      </c>
      <c r="G359" s="1046" t="s">
        <v>1033</v>
      </c>
      <c r="H359" s="377" t="s">
        <v>491</v>
      </c>
      <c r="I359" s="420">
        <v>78</v>
      </c>
      <c r="J359" s="131"/>
      <c r="AW359" s="990">
        <v>74</v>
      </c>
      <c r="AX359" s="916">
        <v>0.05</v>
      </c>
      <c r="AY359" s="925">
        <f t="shared" ref="AY359:AY371" si="46">AW359*(1+AX359)</f>
        <v>77.7</v>
      </c>
      <c r="BH359" s="1084">
        <f t="shared" ref="BH359:BH374" si="47">I359*1.05</f>
        <v>81.900000000000006</v>
      </c>
    </row>
    <row r="360" spans="2:60" hidden="1">
      <c r="B360" s="203"/>
      <c r="C360" s="133"/>
      <c r="D360" s="133"/>
      <c r="E360" s="115"/>
      <c r="F360" s="157" t="s">
        <v>500</v>
      </c>
      <c r="G360" s="1046" t="s">
        <v>1034</v>
      </c>
      <c r="H360" s="424" t="s">
        <v>492</v>
      </c>
      <c r="I360" s="420">
        <v>72</v>
      </c>
      <c r="J360" s="131"/>
      <c r="AW360" s="990">
        <v>69</v>
      </c>
      <c r="AX360" s="916">
        <v>0.05</v>
      </c>
      <c r="AY360" s="925">
        <f t="shared" si="46"/>
        <v>72.45</v>
      </c>
      <c r="BH360" s="1084">
        <f t="shared" si="47"/>
        <v>75.600000000000009</v>
      </c>
    </row>
    <row r="361" spans="2:60" hidden="1">
      <c r="B361" s="203"/>
      <c r="C361" s="133"/>
      <c r="D361" s="133"/>
      <c r="E361" s="115"/>
      <c r="F361" s="157" t="s">
        <v>501</v>
      </c>
      <c r="G361" s="1046" t="s">
        <v>1035</v>
      </c>
      <c r="H361" s="377" t="s">
        <v>493</v>
      </c>
      <c r="I361" s="420">
        <v>102</v>
      </c>
      <c r="J361" s="131"/>
      <c r="AW361" s="990">
        <v>97</v>
      </c>
      <c r="AX361" s="916">
        <v>0.05</v>
      </c>
      <c r="AY361" s="925">
        <f t="shared" si="46"/>
        <v>101.85000000000001</v>
      </c>
      <c r="BH361" s="1084">
        <f t="shared" si="47"/>
        <v>107.10000000000001</v>
      </c>
    </row>
    <row r="362" spans="2:60" hidden="1">
      <c r="B362" s="203"/>
      <c r="C362" s="133"/>
      <c r="D362" s="133"/>
      <c r="E362" s="115"/>
      <c r="F362" s="157" t="s">
        <v>502</v>
      </c>
      <c r="G362" s="1046" t="s">
        <v>1036</v>
      </c>
      <c r="H362" s="377" t="s">
        <v>494</v>
      </c>
      <c r="I362" s="420">
        <v>134</v>
      </c>
      <c r="J362" s="131"/>
      <c r="AW362" s="990">
        <v>128</v>
      </c>
      <c r="AX362" s="916">
        <v>0.05</v>
      </c>
      <c r="AY362" s="925">
        <f t="shared" si="46"/>
        <v>134.4</v>
      </c>
      <c r="BH362" s="1084">
        <f t="shared" si="47"/>
        <v>140.70000000000002</v>
      </c>
    </row>
    <row r="363" spans="2:60" hidden="1">
      <c r="B363" s="203"/>
      <c r="C363" s="133"/>
      <c r="D363" s="133"/>
      <c r="E363" s="115"/>
      <c r="F363" s="157" t="s">
        <v>503</v>
      </c>
      <c r="G363" s="1046" t="s">
        <v>668</v>
      </c>
      <c r="H363" s="377" t="s">
        <v>495</v>
      </c>
      <c r="I363" s="420">
        <v>91</v>
      </c>
      <c r="J363" s="131"/>
      <c r="AW363" s="990">
        <v>87</v>
      </c>
      <c r="AX363" s="916">
        <v>0.05</v>
      </c>
      <c r="AY363" s="925">
        <f t="shared" si="46"/>
        <v>91.350000000000009</v>
      </c>
      <c r="BH363" s="1084">
        <f t="shared" si="47"/>
        <v>95.55</v>
      </c>
    </row>
    <row r="364" spans="2:60" hidden="1">
      <c r="B364" s="203"/>
      <c r="C364" s="115"/>
      <c r="D364" s="115"/>
      <c r="E364" s="115"/>
      <c r="F364" s="157" t="s">
        <v>367</v>
      </c>
      <c r="G364" s="377">
        <v>13080029</v>
      </c>
      <c r="H364" s="377" t="s">
        <v>529</v>
      </c>
      <c r="I364" s="420">
        <v>66</v>
      </c>
      <c r="J364" s="131"/>
      <c r="AW364" s="990">
        <v>63</v>
      </c>
      <c r="AX364" s="916">
        <v>0.05</v>
      </c>
      <c r="AY364" s="925">
        <f t="shared" si="46"/>
        <v>66.150000000000006</v>
      </c>
      <c r="BH364" s="1084">
        <f t="shared" si="47"/>
        <v>69.3</v>
      </c>
    </row>
    <row r="365" spans="2:60" hidden="1">
      <c r="B365" s="203"/>
      <c r="C365" s="115"/>
      <c r="D365" s="115"/>
      <c r="E365" s="115"/>
      <c r="F365" s="157" t="s">
        <v>504</v>
      </c>
      <c r="G365" s="377" t="s">
        <v>530</v>
      </c>
      <c r="H365" s="377" t="s">
        <v>496</v>
      </c>
      <c r="I365" s="420">
        <v>347</v>
      </c>
      <c r="J365" s="131"/>
      <c r="AW365" s="990">
        <v>330</v>
      </c>
      <c r="AX365" s="916">
        <v>0.05</v>
      </c>
      <c r="AY365" s="925">
        <f t="shared" si="46"/>
        <v>346.5</v>
      </c>
      <c r="BH365" s="1084">
        <f t="shared" si="47"/>
        <v>364.35</v>
      </c>
    </row>
    <row r="366" spans="2:60" hidden="1">
      <c r="B366" s="203"/>
      <c r="C366" s="115"/>
      <c r="D366" s="115"/>
      <c r="E366" s="115"/>
      <c r="F366" s="157" t="s">
        <v>505</v>
      </c>
      <c r="G366" s="377" t="s">
        <v>531</v>
      </c>
      <c r="H366" s="377" t="s">
        <v>497</v>
      </c>
      <c r="I366" s="420">
        <v>254</v>
      </c>
      <c r="J366" s="131"/>
      <c r="AW366" s="990">
        <v>242</v>
      </c>
      <c r="AX366" s="916">
        <v>0.05</v>
      </c>
      <c r="AY366" s="925">
        <f t="shared" si="46"/>
        <v>254.10000000000002</v>
      </c>
      <c r="BH366" s="1084">
        <f t="shared" si="47"/>
        <v>266.7</v>
      </c>
    </row>
    <row r="367" spans="2:60" hidden="1">
      <c r="B367" s="203"/>
      <c r="C367" s="115"/>
      <c r="D367" s="115"/>
      <c r="E367" s="115"/>
      <c r="F367" s="157" t="s">
        <v>506</v>
      </c>
      <c r="G367" s="377" t="s">
        <v>532</v>
      </c>
      <c r="H367" s="377" t="s">
        <v>498</v>
      </c>
      <c r="I367" s="420">
        <v>198</v>
      </c>
      <c r="J367" s="131"/>
      <c r="AW367" s="990">
        <v>189</v>
      </c>
      <c r="AX367" s="916">
        <v>0.05</v>
      </c>
      <c r="AY367" s="925">
        <f t="shared" si="46"/>
        <v>198.45000000000002</v>
      </c>
      <c r="BH367" s="1084">
        <f t="shared" si="47"/>
        <v>207.9</v>
      </c>
    </row>
    <row r="368" spans="2:60" hidden="1">
      <c r="B368" s="203"/>
      <c r="C368" s="115"/>
      <c r="D368" s="115"/>
      <c r="E368" s="115"/>
      <c r="F368" s="196" t="s">
        <v>1140</v>
      </c>
      <c r="G368" s="377">
        <v>13090026</v>
      </c>
      <c r="H368" s="377" t="s">
        <v>1141</v>
      </c>
      <c r="I368" s="420">
        <v>250</v>
      </c>
      <c r="J368" s="131"/>
      <c r="AW368" s="1026"/>
      <c r="AX368" s="916"/>
      <c r="AY368" s="925"/>
      <c r="BH368" s="1084">
        <f t="shared" si="47"/>
        <v>262.5</v>
      </c>
    </row>
    <row r="369" spans="2:60" hidden="1">
      <c r="B369" s="203"/>
      <c r="C369" s="115"/>
      <c r="D369" s="115"/>
      <c r="E369" s="115"/>
      <c r="F369" s="157" t="s">
        <v>366</v>
      </c>
      <c r="G369" s="377" t="s">
        <v>533</v>
      </c>
      <c r="H369" s="377" t="s">
        <v>534</v>
      </c>
      <c r="I369" s="420">
        <v>50</v>
      </c>
      <c r="J369" s="131"/>
      <c r="AW369" s="990">
        <v>48</v>
      </c>
      <c r="AX369" s="916">
        <v>0.05</v>
      </c>
      <c r="AY369" s="925">
        <f t="shared" si="46"/>
        <v>50.400000000000006</v>
      </c>
      <c r="BH369" s="1084">
        <f t="shared" si="47"/>
        <v>52.5</v>
      </c>
    </row>
    <row r="370" spans="2:60" hidden="1">
      <c r="B370" s="203"/>
      <c r="C370" s="115"/>
      <c r="D370" s="115"/>
      <c r="E370" s="115"/>
      <c r="F370" s="157" t="s">
        <v>365</v>
      </c>
      <c r="G370" s="377" t="s">
        <v>535</v>
      </c>
      <c r="H370" s="377" t="s">
        <v>534</v>
      </c>
      <c r="I370" s="420">
        <v>16</v>
      </c>
      <c r="J370" s="131"/>
      <c r="AW370" s="990">
        <v>15</v>
      </c>
      <c r="AX370" s="916">
        <v>0.05</v>
      </c>
      <c r="AY370" s="925">
        <f t="shared" si="46"/>
        <v>15.75</v>
      </c>
      <c r="BH370" s="1084">
        <f t="shared" si="47"/>
        <v>16.8</v>
      </c>
    </row>
    <row r="371" spans="2:60" hidden="1">
      <c r="B371" s="203"/>
      <c r="C371" s="115"/>
      <c r="D371" s="115"/>
      <c r="E371" s="115"/>
      <c r="F371" s="157" t="s">
        <v>364</v>
      </c>
      <c r="G371" s="377">
        <v>13110001</v>
      </c>
      <c r="H371" s="377">
        <v>16304</v>
      </c>
      <c r="I371" s="420">
        <v>1083</v>
      </c>
      <c r="J371" s="131"/>
      <c r="AW371" s="990">
        <v>1031</v>
      </c>
      <c r="AX371" s="916">
        <v>0.05</v>
      </c>
      <c r="AY371" s="925">
        <f t="shared" si="46"/>
        <v>1082.55</v>
      </c>
      <c r="BH371" s="1084">
        <f t="shared" si="47"/>
        <v>1137.1500000000001</v>
      </c>
    </row>
    <row r="372" spans="2:60" hidden="1">
      <c r="B372" s="203"/>
      <c r="C372" s="115"/>
      <c r="D372" s="115"/>
      <c r="E372" s="115"/>
      <c r="F372" s="157" t="s">
        <v>490</v>
      </c>
      <c r="G372" s="377"/>
      <c r="H372" s="377" t="s">
        <v>574</v>
      </c>
      <c r="I372" s="420">
        <v>1370</v>
      </c>
      <c r="J372" s="131"/>
      <c r="AW372" s="990">
        <v>1370</v>
      </c>
      <c r="AX372" s="916">
        <v>0.05</v>
      </c>
      <c r="AY372" s="925"/>
      <c r="BH372" s="1084">
        <f t="shared" si="47"/>
        <v>1438.5</v>
      </c>
    </row>
    <row r="373" spans="2:60" hidden="1">
      <c r="B373" s="203"/>
      <c r="C373" s="115"/>
      <c r="D373" s="115"/>
      <c r="E373" s="115"/>
      <c r="F373" s="157" t="s">
        <v>1028</v>
      </c>
      <c r="G373" s="377" t="s">
        <v>1025</v>
      </c>
      <c r="H373" s="377"/>
      <c r="I373" s="420">
        <v>2495</v>
      </c>
      <c r="J373" s="131"/>
      <c r="AW373" s="990">
        <v>2495</v>
      </c>
      <c r="AX373" s="916">
        <v>0.05</v>
      </c>
      <c r="AY373" s="925"/>
      <c r="BH373" s="1084">
        <f t="shared" si="47"/>
        <v>2619.75</v>
      </c>
    </row>
    <row r="374" spans="2:60" hidden="1">
      <c r="B374" s="203"/>
      <c r="C374" s="115"/>
      <c r="D374" s="115"/>
      <c r="E374" s="115"/>
      <c r="F374" s="157" t="s">
        <v>1027</v>
      </c>
      <c r="G374" s="887" t="s">
        <v>1026</v>
      </c>
      <c r="H374" s="377"/>
      <c r="I374" s="420">
        <v>2945</v>
      </c>
      <c r="J374" s="131"/>
      <c r="AW374" s="990">
        <v>2945</v>
      </c>
      <c r="AX374" s="916">
        <v>0.05</v>
      </c>
      <c r="AY374" s="925"/>
      <c r="BH374" s="1084">
        <f t="shared" si="47"/>
        <v>3092.25</v>
      </c>
    </row>
    <row r="375" spans="2:60" hidden="1">
      <c r="B375" s="203"/>
      <c r="C375" s="115"/>
      <c r="D375" s="115"/>
      <c r="E375" s="115"/>
      <c r="F375" s="109"/>
      <c r="G375" s="28"/>
      <c r="H375" s="109"/>
      <c r="I375" s="335"/>
      <c r="J375" s="131"/>
      <c r="AW375" s="990"/>
      <c r="AY375" s="925"/>
      <c r="BH375" s="912"/>
    </row>
    <row r="376" spans="2:60" hidden="1">
      <c r="B376" s="203"/>
      <c r="C376" s="115"/>
      <c r="D376" s="115"/>
      <c r="E376" s="115"/>
      <c r="F376" s="109"/>
      <c r="G376" s="28"/>
      <c r="H376" s="109"/>
      <c r="I376" s="335"/>
      <c r="J376" s="131"/>
      <c r="AW376" s="990"/>
      <c r="AY376" s="925"/>
      <c r="BH376" s="912"/>
    </row>
    <row r="377" spans="2:60" hidden="1">
      <c r="B377" s="203"/>
      <c r="C377" s="115"/>
      <c r="D377" s="115"/>
      <c r="E377" s="115"/>
      <c r="F377" s="109"/>
      <c r="G377" s="28"/>
      <c r="H377" s="109"/>
      <c r="I377" s="335"/>
      <c r="J377" s="131"/>
      <c r="AW377" s="990"/>
      <c r="AY377" s="925"/>
      <c r="BH377" s="912"/>
    </row>
    <row r="378" spans="2:60" ht="12" hidden="1" customHeight="1">
      <c r="B378" s="203"/>
      <c r="C378" s="132"/>
      <c r="D378" s="132" t="s">
        <v>27</v>
      </c>
      <c r="E378" s="115"/>
      <c r="F378" s="109" t="s">
        <v>67</v>
      </c>
      <c r="G378" s="28"/>
      <c r="H378" s="109"/>
      <c r="I378" s="335"/>
      <c r="J378" s="131"/>
      <c r="AW378" s="990"/>
      <c r="AY378" s="925"/>
      <c r="BH378" s="1084">
        <f t="shared" ref="BH378:BH388" si="48">I378*1.05</f>
        <v>0</v>
      </c>
    </row>
    <row r="379" spans="2:60" ht="12" hidden="1" customHeight="1">
      <c r="B379" s="203"/>
      <c r="C379" s="132"/>
      <c r="D379" s="132"/>
      <c r="E379" s="115"/>
      <c r="F379" s="157" t="s">
        <v>87</v>
      </c>
      <c r="G379" s="376">
        <v>11050023</v>
      </c>
      <c r="H379" s="376" t="s">
        <v>88</v>
      </c>
      <c r="I379" s="402">
        <v>417</v>
      </c>
      <c r="J379" s="131"/>
      <c r="AW379" s="990">
        <v>397</v>
      </c>
      <c r="AX379" s="916">
        <v>0.05</v>
      </c>
      <c r="AY379" s="925">
        <f t="shared" ref="AY379:AY413" si="49">AW379*(1+AX379)</f>
        <v>416.85</v>
      </c>
      <c r="BH379" s="1084">
        <f t="shared" si="48"/>
        <v>437.85</v>
      </c>
    </row>
    <row r="380" spans="2:60" hidden="1">
      <c r="B380" s="203"/>
      <c r="C380" s="133"/>
      <c r="D380" s="133"/>
      <c r="E380" s="115"/>
      <c r="F380" s="157" t="s">
        <v>98</v>
      </c>
      <c r="G380" s="376">
        <v>11990007</v>
      </c>
      <c r="H380" s="376">
        <v>5318678</v>
      </c>
      <c r="I380" s="420">
        <v>100</v>
      </c>
      <c r="J380" s="131"/>
      <c r="AW380" s="990">
        <v>95</v>
      </c>
      <c r="AX380" s="916">
        <v>0.05</v>
      </c>
      <c r="AY380" s="925">
        <f t="shared" si="49"/>
        <v>99.75</v>
      </c>
      <c r="BH380" s="1084">
        <f t="shared" si="48"/>
        <v>105</v>
      </c>
    </row>
    <row r="381" spans="2:60" hidden="1">
      <c r="B381" s="203"/>
      <c r="C381" s="133"/>
      <c r="D381" s="133"/>
      <c r="E381" s="115"/>
      <c r="F381" s="157" t="s">
        <v>89</v>
      </c>
      <c r="G381" s="376" t="s">
        <v>91</v>
      </c>
      <c r="H381" s="376" t="s">
        <v>92</v>
      </c>
      <c r="I381" s="420">
        <v>74</v>
      </c>
      <c r="J381" s="131"/>
      <c r="AW381" s="990">
        <v>70</v>
      </c>
      <c r="AX381" s="916">
        <v>0.05</v>
      </c>
      <c r="AY381" s="925">
        <f t="shared" si="49"/>
        <v>73.5</v>
      </c>
      <c r="BH381" s="1084">
        <f t="shared" si="48"/>
        <v>77.7</v>
      </c>
    </row>
    <row r="382" spans="2:60" s="113" customFormat="1" hidden="1">
      <c r="B382" s="203"/>
      <c r="C382" s="133"/>
      <c r="D382" s="133"/>
      <c r="E382" s="115"/>
      <c r="F382" s="157" t="s">
        <v>90</v>
      </c>
      <c r="G382" s="377" t="s">
        <v>94</v>
      </c>
      <c r="H382" s="377" t="s">
        <v>93</v>
      </c>
      <c r="I382" s="420">
        <v>210</v>
      </c>
      <c r="J382" s="131"/>
      <c r="K382" s="201"/>
      <c r="L382" s="519"/>
      <c r="M382" s="519"/>
      <c r="N382" s="518"/>
      <c r="O382" s="518"/>
      <c r="P382" s="518"/>
      <c r="Q382" s="518"/>
      <c r="R382" s="518"/>
      <c r="S382" s="518"/>
      <c r="T382" s="518"/>
      <c r="U382" s="518"/>
      <c r="V382" s="518"/>
      <c r="W382" s="518"/>
      <c r="X382" s="518"/>
      <c r="Y382" s="518"/>
      <c r="Z382" s="518"/>
      <c r="AA382" s="518"/>
      <c r="AB382" s="518"/>
      <c r="AC382" s="518"/>
      <c r="AD382" s="518"/>
      <c r="AE382" s="518"/>
      <c r="AF382" s="518"/>
      <c r="AG382" s="518"/>
      <c r="AH382" s="518"/>
      <c r="AI382" s="518"/>
      <c r="AJ382" s="518"/>
      <c r="AK382" s="518"/>
      <c r="AL382" s="518"/>
      <c r="AM382" s="518"/>
      <c r="AN382" s="518"/>
      <c r="AO382" s="518"/>
      <c r="AP382" s="518"/>
      <c r="AQ382" s="518"/>
      <c r="AR382" s="518"/>
      <c r="AS382" s="518"/>
      <c r="AT382" s="518"/>
      <c r="AU382" s="518"/>
      <c r="AV382" s="518"/>
      <c r="AW382" s="990">
        <v>200</v>
      </c>
      <c r="AX382" s="916">
        <v>0.05</v>
      </c>
      <c r="AY382" s="925">
        <f t="shared" si="49"/>
        <v>210</v>
      </c>
      <c r="AZ382" s="518"/>
      <c r="BA382" s="518"/>
      <c r="BB382" s="518"/>
      <c r="BC382" s="518"/>
      <c r="BD382" s="518"/>
      <c r="BE382" s="518"/>
      <c r="BF382" s="518"/>
      <c r="BG382" s="518"/>
      <c r="BH382" s="1084">
        <f t="shared" si="48"/>
        <v>220.5</v>
      </c>
    </row>
    <row r="383" spans="2:60" s="113" customFormat="1" hidden="1">
      <c r="B383" s="203"/>
      <c r="C383" s="133"/>
      <c r="D383" s="133"/>
      <c r="E383" s="115"/>
      <c r="F383" s="154"/>
      <c r="G383" s="377"/>
      <c r="H383" s="425"/>
      <c r="I383" s="402"/>
      <c r="J383" s="131"/>
      <c r="K383" s="201"/>
      <c r="L383" s="519"/>
      <c r="M383" s="519"/>
      <c r="N383" s="518"/>
      <c r="O383" s="518"/>
      <c r="P383" s="518"/>
      <c r="Q383" s="518"/>
      <c r="R383" s="518"/>
      <c r="S383" s="518"/>
      <c r="T383" s="518"/>
      <c r="U383" s="518"/>
      <c r="V383" s="518"/>
      <c r="W383" s="518"/>
      <c r="X383" s="518"/>
      <c r="Y383" s="518"/>
      <c r="Z383" s="518"/>
      <c r="AA383" s="518"/>
      <c r="AB383" s="518"/>
      <c r="AC383" s="518"/>
      <c r="AD383" s="518"/>
      <c r="AE383" s="518"/>
      <c r="AF383" s="518"/>
      <c r="AG383" s="518"/>
      <c r="AH383" s="518"/>
      <c r="AI383" s="518"/>
      <c r="AJ383" s="518"/>
      <c r="AK383" s="518"/>
      <c r="AL383" s="518"/>
      <c r="AM383" s="518"/>
      <c r="AN383" s="518"/>
      <c r="AO383" s="518"/>
      <c r="AP383" s="518"/>
      <c r="AQ383" s="518"/>
      <c r="AR383" s="518"/>
      <c r="AS383" s="518"/>
      <c r="AT383" s="518"/>
      <c r="AU383" s="518"/>
      <c r="AV383" s="518"/>
      <c r="AW383" s="990"/>
      <c r="AX383" s="916">
        <v>0.05</v>
      </c>
      <c r="AY383" s="925">
        <f t="shared" si="49"/>
        <v>0</v>
      </c>
      <c r="AZ383" s="518"/>
      <c r="BA383" s="518"/>
      <c r="BB383" s="518"/>
      <c r="BC383" s="518"/>
      <c r="BD383" s="518"/>
      <c r="BE383" s="518"/>
      <c r="BF383" s="518"/>
      <c r="BG383" s="518"/>
      <c r="BH383" s="1084">
        <f t="shared" si="48"/>
        <v>0</v>
      </c>
    </row>
    <row r="384" spans="2:60" s="113" customFormat="1" hidden="1">
      <c r="B384" s="203"/>
      <c r="C384" s="133"/>
      <c r="D384" s="133"/>
      <c r="E384" s="115"/>
      <c r="F384" s="153"/>
      <c r="G384" s="426"/>
      <c r="H384" s="427"/>
      <c r="I384" s="421"/>
      <c r="J384" s="131"/>
      <c r="K384" s="201"/>
      <c r="L384" s="519"/>
      <c r="M384" s="519"/>
      <c r="N384" s="518"/>
      <c r="O384" s="518"/>
      <c r="P384" s="518"/>
      <c r="Q384" s="518"/>
      <c r="R384" s="518"/>
      <c r="S384" s="518"/>
      <c r="T384" s="518"/>
      <c r="U384" s="518"/>
      <c r="V384" s="518"/>
      <c r="W384" s="518"/>
      <c r="X384" s="518"/>
      <c r="Y384" s="518"/>
      <c r="Z384" s="518"/>
      <c r="AA384" s="518"/>
      <c r="AB384" s="518"/>
      <c r="AC384" s="518"/>
      <c r="AD384" s="518"/>
      <c r="AE384" s="518"/>
      <c r="AF384" s="518"/>
      <c r="AG384" s="518"/>
      <c r="AH384" s="518"/>
      <c r="AI384" s="518"/>
      <c r="AJ384" s="518"/>
      <c r="AK384" s="518"/>
      <c r="AL384" s="518"/>
      <c r="AM384" s="518"/>
      <c r="AN384" s="518"/>
      <c r="AO384" s="518"/>
      <c r="AP384" s="518"/>
      <c r="AQ384" s="518"/>
      <c r="AR384" s="518"/>
      <c r="AS384" s="518"/>
      <c r="AT384" s="518"/>
      <c r="AU384" s="518"/>
      <c r="AV384" s="518"/>
      <c r="AW384" s="990"/>
      <c r="AX384" s="916">
        <v>0.05</v>
      </c>
      <c r="AY384" s="925">
        <f t="shared" si="49"/>
        <v>0</v>
      </c>
      <c r="AZ384" s="518"/>
      <c r="BA384" s="518"/>
      <c r="BB384" s="518"/>
      <c r="BC384" s="518"/>
      <c r="BD384" s="518"/>
      <c r="BE384" s="518"/>
      <c r="BF384" s="518"/>
      <c r="BG384" s="518"/>
      <c r="BH384" s="1084">
        <f t="shared" si="48"/>
        <v>0</v>
      </c>
    </row>
    <row r="385" spans="2:60" s="113" customFormat="1" hidden="1">
      <c r="B385" s="127"/>
      <c r="C385" s="133"/>
      <c r="D385" s="133"/>
      <c r="E385" s="115"/>
      <c r="F385" s="157" t="s">
        <v>100</v>
      </c>
      <c r="G385" s="376">
        <v>13120007</v>
      </c>
      <c r="H385" s="376" t="s">
        <v>99</v>
      </c>
      <c r="I385" s="402">
        <v>683</v>
      </c>
      <c r="J385" s="131"/>
      <c r="K385" s="201"/>
      <c r="L385" s="519"/>
      <c r="M385" s="519"/>
      <c r="N385" s="518"/>
      <c r="O385" s="518"/>
      <c r="P385" s="518"/>
      <c r="Q385" s="518"/>
      <c r="R385" s="518"/>
      <c r="S385" s="518"/>
      <c r="T385" s="518"/>
      <c r="U385" s="518"/>
      <c r="V385" s="518"/>
      <c r="W385" s="518"/>
      <c r="X385" s="518"/>
      <c r="Y385" s="518"/>
      <c r="Z385" s="518"/>
      <c r="AA385" s="518"/>
      <c r="AB385" s="518"/>
      <c r="AC385" s="518"/>
      <c r="AD385" s="518"/>
      <c r="AE385" s="518"/>
      <c r="AF385" s="518"/>
      <c r="AG385" s="518"/>
      <c r="AH385" s="518"/>
      <c r="AI385" s="518"/>
      <c r="AJ385" s="518"/>
      <c r="AK385" s="518"/>
      <c r="AL385" s="518"/>
      <c r="AM385" s="518"/>
      <c r="AN385" s="518"/>
      <c r="AO385" s="518"/>
      <c r="AP385" s="518"/>
      <c r="AQ385" s="518"/>
      <c r="AR385" s="518"/>
      <c r="AS385" s="518"/>
      <c r="AT385" s="518"/>
      <c r="AU385" s="518"/>
      <c r="AV385" s="518"/>
      <c r="AW385" s="990">
        <v>650</v>
      </c>
      <c r="AX385" s="916">
        <v>0.05</v>
      </c>
      <c r="AY385" s="925">
        <f t="shared" si="49"/>
        <v>682.5</v>
      </c>
      <c r="AZ385" s="518"/>
      <c r="BA385" s="518"/>
      <c r="BB385" s="518"/>
      <c r="BC385" s="518"/>
      <c r="BD385" s="518"/>
      <c r="BE385" s="518"/>
      <c r="BF385" s="518"/>
      <c r="BG385" s="518"/>
      <c r="BH385" s="1084">
        <f t="shared" si="48"/>
        <v>717.15</v>
      </c>
    </row>
    <row r="386" spans="2:60" s="113" customFormat="1" hidden="1">
      <c r="B386" s="127"/>
      <c r="C386" s="133"/>
      <c r="D386" s="133"/>
      <c r="E386" s="115"/>
      <c r="F386" s="157" t="s">
        <v>396</v>
      </c>
      <c r="G386" s="376">
        <v>13120016</v>
      </c>
      <c r="H386" s="376" t="s">
        <v>544</v>
      </c>
      <c r="I386" s="402">
        <v>268</v>
      </c>
      <c r="J386" s="131"/>
      <c r="K386" s="201"/>
      <c r="L386" s="519"/>
      <c r="M386" s="519"/>
      <c r="N386" s="518"/>
      <c r="O386" s="518"/>
      <c r="P386" s="518"/>
      <c r="Q386" s="518"/>
      <c r="R386" s="518"/>
      <c r="S386" s="518"/>
      <c r="T386" s="518"/>
      <c r="U386" s="518"/>
      <c r="V386" s="518"/>
      <c r="W386" s="518"/>
      <c r="X386" s="518"/>
      <c r="Y386" s="518"/>
      <c r="Z386" s="518"/>
      <c r="AA386" s="518"/>
      <c r="AB386" s="518"/>
      <c r="AC386" s="518"/>
      <c r="AD386" s="518"/>
      <c r="AE386" s="518"/>
      <c r="AF386" s="518"/>
      <c r="AG386" s="518"/>
      <c r="AH386" s="518"/>
      <c r="AI386" s="518"/>
      <c r="AJ386" s="518"/>
      <c r="AK386" s="518"/>
      <c r="AL386" s="518"/>
      <c r="AM386" s="518"/>
      <c r="AN386" s="518"/>
      <c r="AO386" s="518"/>
      <c r="AP386" s="518"/>
      <c r="AQ386" s="518"/>
      <c r="AR386" s="518"/>
      <c r="AS386" s="518"/>
      <c r="AT386" s="518"/>
      <c r="AU386" s="518"/>
      <c r="AV386" s="518"/>
      <c r="AW386" s="990">
        <v>255</v>
      </c>
      <c r="AX386" s="916">
        <v>0.05</v>
      </c>
      <c r="AY386" s="925">
        <f t="shared" si="49"/>
        <v>267.75</v>
      </c>
      <c r="AZ386" s="518"/>
      <c r="BA386" s="518"/>
      <c r="BB386" s="518"/>
      <c r="BC386" s="518"/>
      <c r="BD386" s="518"/>
      <c r="BE386" s="518"/>
      <c r="BF386" s="518"/>
      <c r="BG386" s="518"/>
      <c r="BH386" s="1084">
        <f t="shared" si="48"/>
        <v>281.40000000000003</v>
      </c>
    </row>
    <row r="387" spans="2:60" s="113" customFormat="1" hidden="1">
      <c r="B387" s="127"/>
      <c r="C387" s="133"/>
      <c r="D387" s="133"/>
      <c r="E387" s="115"/>
      <c r="F387" s="157"/>
      <c r="G387" s="376"/>
      <c r="H387" s="376"/>
      <c r="I387" s="402"/>
      <c r="J387" s="131"/>
      <c r="K387" s="201"/>
      <c r="L387" s="519"/>
      <c r="M387" s="519"/>
      <c r="N387" s="518"/>
      <c r="O387" s="518"/>
      <c r="P387" s="518"/>
      <c r="Q387" s="518"/>
      <c r="R387" s="518"/>
      <c r="S387" s="518"/>
      <c r="T387" s="518"/>
      <c r="U387" s="518"/>
      <c r="V387" s="518"/>
      <c r="W387" s="518"/>
      <c r="X387" s="518"/>
      <c r="Y387" s="518"/>
      <c r="Z387" s="518"/>
      <c r="AA387" s="518"/>
      <c r="AB387" s="518"/>
      <c r="AC387" s="518"/>
      <c r="AD387" s="518"/>
      <c r="AE387" s="518"/>
      <c r="AF387" s="518"/>
      <c r="AG387" s="518"/>
      <c r="AH387" s="518"/>
      <c r="AI387" s="518"/>
      <c r="AJ387" s="518"/>
      <c r="AK387" s="518"/>
      <c r="AL387" s="518"/>
      <c r="AM387" s="518"/>
      <c r="AN387" s="518"/>
      <c r="AO387" s="518"/>
      <c r="AP387" s="518"/>
      <c r="AQ387" s="518"/>
      <c r="AR387" s="518"/>
      <c r="AS387" s="518"/>
      <c r="AT387" s="518"/>
      <c r="AU387" s="518"/>
      <c r="AV387" s="518"/>
      <c r="AW387" s="990"/>
      <c r="AX387" s="916">
        <v>0.05</v>
      </c>
      <c r="AY387" s="925">
        <f t="shared" si="49"/>
        <v>0</v>
      </c>
      <c r="AZ387" s="518"/>
      <c r="BA387" s="518"/>
      <c r="BB387" s="518"/>
      <c r="BC387" s="518"/>
      <c r="BD387" s="518"/>
      <c r="BE387" s="518"/>
      <c r="BF387" s="518"/>
      <c r="BG387" s="518"/>
      <c r="BH387" s="1084">
        <f t="shared" si="48"/>
        <v>0</v>
      </c>
    </row>
    <row r="388" spans="2:60" s="113" customFormat="1" hidden="1">
      <c r="B388" s="127"/>
      <c r="C388" s="133"/>
      <c r="D388" s="133"/>
      <c r="E388" s="115"/>
      <c r="F388" s="153"/>
      <c r="G388" s="426"/>
      <c r="H388" s="427"/>
      <c r="I388" s="334"/>
      <c r="J388" s="131"/>
      <c r="K388" s="201"/>
      <c r="L388" s="519"/>
      <c r="M388" s="519"/>
      <c r="N388" s="518"/>
      <c r="O388" s="518"/>
      <c r="P388" s="518"/>
      <c r="Q388" s="518"/>
      <c r="R388" s="518"/>
      <c r="S388" s="518"/>
      <c r="T388" s="518"/>
      <c r="U388" s="518"/>
      <c r="V388" s="518"/>
      <c r="W388" s="518"/>
      <c r="X388" s="518"/>
      <c r="Y388" s="518"/>
      <c r="Z388" s="518"/>
      <c r="AA388" s="518"/>
      <c r="AB388" s="518"/>
      <c r="AC388" s="518"/>
      <c r="AD388" s="518"/>
      <c r="AE388" s="518"/>
      <c r="AF388" s="518"/>
      <c r="AG388" s="518"/>
      <c r="AH388" s="518"/>
      <c r="AI388" s="518"/>
      <c r="AJ388" s="518"/>
      <c r="AK388" s="518"/>
      <c r="AL388" s="518"/>
      <c r="AM388" s="518"/>
      <c r="AN388" s="518"/>
      <c r="AO388" s="518"/>
      <c r="AP388" s="518"/>
      <c r="AQ388" s="518"/>
      <c r="AR388" s="518"/>
      <c r="AS388" s="518"/>
      <c r="AT388" s="518"/>
      <c r="AU388" s="518"/>
      <c r="AV388" s="518"/>
      <c r="AW388" s="990"/>
      <c r="AX388" s="916">
        <v>0.05</v>
      </c>
      <c r="AY388" s="925">
        <f t="shared" si="49"/>
        <v>0</v>
      </c>
      <c r="AZ388" s="518"/>
      <c r="BA388" s="518"/>
      <c r="BB388" s="518"/>
      <c r="BC388" s="518"/>
      <c r="BD388" s="518"/>
      <c r="BE388" s="518"/>
      <c r="BF388" s="518"/>
      <c r="BG388" s="518"/>
      <c r="BH388" s="1084">
        <f t="shared" si="48"/>
        <v>0</v>
      </c>
    </row>
    <row r="389" spans="2:60" s="113" customFormat="1" hidden="1">
      <c r="B389" s="127"/>
      <c r="C389" s="133"/>
      <c r="D389" s="133"/>
      <c r="E389" s="115"/>
      <c r="F389" s="153"/>
      <c r="G389" s="426"/>
      <c r="H389" s="427"/>
      <c r="I389" s="334"/>
      <c r="J389" s="131"/>
      <c r="K389" s="201"/>
      <c r="L389" s="519"/>
      <c r="M389" s="519"/>
      <c r="N389" s="518"/>
      <c r="O389" s="518"/>
      <c r="P389" s="518"/>
      <c r="Q389" s="518"/>
      <c r="R389" s="518"/>
      <c r="S389" s="518"/>
      <c r="T389" s="518"/>
      <c r="U389" s="518"/>
      <c r="V389" s="518"/>
      <c r="W389" s="518"/>
      <c r="X389" s="518"/>
      <c r="Y389" s="518"/>
      <c r="Z389" s="518"/>
      <c r="AA389" s="518"/>
      <c r="AB389" s="518"/>
      <c r="AC389" s="518"/>
      <c r="AD389" s="518"/>
      <c r="AE389" s="518"/>
      <c r="AF389" s="518"/>
      <c r="AG389" s="518"/>
      <c r="AH389" s="518"/>
      <c r="AI389" s="518"/>
      <c r="AJ389" s="518"/>
      <c r="AK389" s="518"/>
      <c r="AL389" s="518"/>
      <c r="AM389" s="518"/>
      <c r="AN389" s="518"/>
      <c r="AO389" s="518"/>
      <c r="AP389" s="518"/>
      <c r="AQ389" s="518"/>
      <c r="AR389" s="518"/>
      <c r="AS389" s="518"/>
      <c r="AT389" s="518"/>
      <c r="AU389" s="518"/>
      <c r="AV389" s="518"/>
      <c r="AW389" s="990"/>
      <c r="AX389" s="916">
        <v>0.05</v>
      </c>
      <c r="AY389" s="925">
        <f t="shared" si="49"/>
        <v>0</v>
      </c>
      <c r="AZ389" s="518"/>
      <c r="BA389" s="518"/>
      <c r="BB389" s="518"/>
      <c r="BC389" s="518"/>
      <c r="BD389" s="518"/>
      <c r="BE389" s="518"/>
      <c r="BF389" s="518"/>
      <c r="BG389" s="518"/>
      <c r="BH389" s="1074"/>
    </row>
    <row r="390" spans="2:60" hidden="1">
      <c r="B390" s="127"/>
      <c r="C390" s="115"/>
      <c r="D390" s="115"/>
      <c r="E390" s="115"/>
      <c r="F390" s="109"/>
      <c r="G390" s="426"/>
      <c r="H390" s="427"/>
      <c r="I390" s="335"/>
      <c r="J390" s="131"/>
      <c r="L390" s="1657" t="s">
        <v>536</v>
      </c>
      <c r="M390" s="1657"/>
      <c r="N390" s="1657"/>
      <c r="O390" s="1657" t="s">
        <v>537</v>
      </c>
      <c r="P390" s="1657"/>
      <c r="Q390" s="1657"/>
      <c r="AW390" s="990"/>
      <c r="AX390" s="916">
        <v>0.05</v>
      </c>
      <c r="AY390" s="925">
        <f t="shared" si="49"/>
        <v>0</v>
      </c>
      <c r="BH390" s="912"/>
    </row>
    <row r="391" spans="2:60" s="113" customFormat="1" hidden="1">
      <c r="B391" s="127"/>
      <c r="C391" s="132"/>
      <c r="D391" s="132" t="s">
        <v>28</v>
      </c>
      <c r="E391" s="115"/>
      <c r="F391" s="109" t="s">
        <v>68</v>
      </c>
      <c r="G391" s="426"/>
      <c r="H391" s="427"/>
      <c r="I391" s="335"/>
      <c r="J391" s="131"/>
      <c r="K391" s="201"/>
      <c r="L391" s="928" t="s">
        <v>70</v>
      </c>
      <c r="M391" s="928" t="s">
        <v>71</v>
      </c>
      <c r="N391" s="928" t="s">
        <v>72</v>
      </c>
      <c r="O391" s="928" t="s">
        <v>70</v>
      </c>
      <c r="P391" s="928" t="s">
        <v>71</v>
      </c>
      <c r="Q391" s="928" t="s">
        <v>72</v>
      </c>
      <c r="R391" s="928"/>
      <c r="S391" s="518"/>
      <c r="T391" s="518"/>
      <c r="U391" s="518"/>
      <c r="V391" s="518"/>
      <c r="W391" s="518"/>
      <c r="X391" s="518"/>
      <c r="Y391" s="518"/>
      <c r="Z391" s="518"/>
      <c r="AA391" s="518"/>
      <c r="AB391" s="518"/>
      <c r="AC391" s="518"/>
      <c r="AD391" s="518"/>
      <c r="AE391" s="518"/>
      <c r="AF391" s="518"/>
      <c r="AG391" s="518"/>
      <c r="AH391" s="518"/>
      <c r="AI391" s="518"/>
      <c r="AJ391" s="518"/>
      <c r="AK391" s="518"/>
      <c r="AL391" s="518"/>
      <c r="AM391" s="518"/>
      <c r="AN391" s="518"/>
      <c r="AO391" s="518"/>
      <c r="AP391" s="518"/>
      <c r="AQ391" s="518"/>
      <c r="AR391" s="518"/>
      <c r="AS391" s="518"/>
      <c r="AT391" s="518"/>
      <c r="AU391" s="518"/>
      <c r="AV391" s="518"/>
      <c r="AW391" s="990"/>
      <c r="AX391" s="916">
        <v>0.05</v>
      </c>
      <c r="AY391" s="925">
        <f t="shared" si="49"/>
        <v>0</v>
      </c>
      <c r="AZ391" s="518"/>
      <c r="BA391" s="518"/>
      <c r="BB391" s="518"/>
      <c r="BC391" s="518"/>
      <c r="BD391" s="518"/>
      <c r="BE391" s="518"/>
      <c r="BF391" s="518"/>
      <c r="BG391" s="518"/>
      <c r="BH391" s="1084"/>
    </row>
    <row r="392" spans="2:60" s="113" customFormat="1" ht="56.25" hidden="1">
      <c r="B392" s="127"/>
      <c r="C392" s="133"/>
      <c r="D392" s="133">
        <v>1</v>
      </c>
      <c r="E392" s="115"/>
      <c r="F392" s="794" t="s">
        <v>399</v>
      </c>
      <c r="G392" s="962" t="s">
        <v>1227</v>
      </c>
      <c r="H392" s="962" t="s">
        <v>1229</v>
      </c>
      <c r="I392" s="963">
        <v>200</v>
      </c>
      <c r="J392" s="131"/>
      <c r="K392" s="201"/>
      <c r="L392" s="928">
        <v>11020007</v>
      </c>
      <c r="M392" s="928">
        <v>0</v>
      </c>
      <c r="N392" s="928">
        <v>0</v>
      </c>
      <c r="O392" s="928" t="s">
        <v>1009</v>
      </c>
      <c r="P392" s="928">
        <v>0</v>
      </c>
      <c r="Q392" s="928">
        <v>0</v>
      </c>
      <c r="R392" s="518"/>
      <c r="S392" s="518"/>
      <c r="T392" s="518"/>
      <c r="U392" s="518"/>
      <c r="V392" s="518"/>
      <c r="W392" s="518"/>
      <c r="X392" s="518"/>
      <c r="Y392" s="518"/>
      <c r="Z392" s="518"/>
      <c r="AA392" s="518"/>
      <c r="AB392" s="518"/>
      <c r="AC392" s="518"/>
      <c r="AD392" s="518"/>
      <c r="AE392" s="518"/>
      <c r="AF392" s="518"/>
      <c r="AG392" s="518"/>
      <c r="AH392" s="518"/>
      <c r="AI392" s="518"/>
      <c r="AJ392" s="518"/>
      <c r="AK392" s="518"/>
      <c r="AL392" s="518"/>
      <c r="AM392" s="518"/>
      <c r="AN392" s="518"/>
      <c r="AO392" s="518"/>
      <c r="AP392" s="518"/>
      <c r="AQ392" s="518"/>
      <c r="AR392" s="518"/>
      <c r="AS392" s="518"/>
      <c r="AT392" s="518"/>
      <c r="AU392" s="518"/>
      <c r="AV392" s="518"/>
      <c r="AW392" s="990">
        <v>183</v>
      </c>
      <c r="AX392" s="916">
        <v>0.05</v>
      </c>
      <c r="AY392" s="925">
        <f t="shared" si="49"/>
        <v>192.15</v>
      </c>
      <c r="AZ392" s="518"/>
      <c r="BA392" s="518"/>
      <c r="BB392" s="518"/>
      <c r="BC392" s="518"/>
      <c r="BD392" s="518"/>
      <c r="BE392" s="518"/>
      <c r="BF392" s="518"/>
      <c r="BG392" s="518"/>
      <c r="BH392" s="1084">
        <f t="shared" ref="BH392:BH398" si="50">I392*1.05</f>
        <v>210</v>
      </c>
    </row>
    <row r="393" spans="2:60" s="113" customFormat="1" ht="33.75" hidden="1">
      <c r="B393" s="127"/>
      <c r="C393" s="133"/>
      <c r="D393" s="133">
        <v>2</v>
      </c>
      <c r="E393" s="115"/>
      <c r="F393" s="794" t="s">
        <v>400</v>
      </c>
      <c r="G393" s="962" t="s">
        <v>1228</v>
      </c>
      <c r="H393" s="962" t="s">
        <v>1230</v>
      </c>
      <c r="I393" s="963">
        <v>230</v>
      </c>
      <c r="J393" s="131"/>
      <c r="K393" s="201"/>
      <c r="L393" s="928">
        <v>11020007</v>
      </c>
      <c r="M393" s="928">
        <v>11060096</v>
      </c>
      <c r="N393" s="928">
        <v>0</v>
      </c>
      <c r="O393" s="928" t="s">
        <v>1009</v>
      </c>
      <c r="P393" s="928" t="s">
        <v>540</v>
      </c>
      <c r="Q393" s="928">
        <v>0</v>
      </c>
      <c r="R393" s="518"/>
      <c r="S393" s="518"/>
      <c r="T393" s="518"/>
      <c r="U393" s="518"/>
      <c r="V393" s="518"/>
      <c r="W393" s="518"/>
      <c r="X393" s="518"/>
      <c r="Y393" s="518"/>
      <c r="Z393" s="518"/>
      <c r="AA393" s="518"/>
      <c r="AB393" s="518"/>
      <c r="AC393" s="518"/>
      <c r="AD393" s="518"/>
      <c r="AE393" s="518"/>
      <c r="AF393" s="518"/>
      <c r="AG393" s="518"/>
      <c r="AH393" s="518"/>
      <c r="AI393" s="518"/>
      <c r="AJ393" s="518"/>
      <c r="AK393" s="518"/>
      <c r="AL393" s="518"/>
      <c r="AM393" s="518"/>
      <c r="AN393" s="518"/>
      <c r="AO393" s="518"/>
      <c r="AP393" s="518"/>
      <c r="AQ393" s="518"/>
      <c r="AR393" s="518"/>
      <c r="AS393" s="518"/>
      <c r="AT393" s="518"/>
      <c r="AU393" s="518"/>
      <c r="AV393" s="518"/>
      <c r="AW393" s="990">
        <v>199</v>
      </c>
      <c r="AX393" s="916">
        <v>0.05</v>
      </c>
      <c r="AY393" s="925">
        <f t="shared" si="49"/>
        <v>208.95000000000002</v>
      </c>
      <c r="AZ393" s="518"/>
      <c r="BA393" s="518"/>
      <c r="BB393" s="518"/>
      <c r="BC393" s="518"/>
      <c r="BD393" s="518"/>
      <c r="BE393" s="518"/>
      <c r="BF393" s="518"/>
      <c r="BG393" s="518"/>
      <c r="BH393" s="1084">
        <f t="shared" si="50"/>
        <v>241.5</v>
      </c>
    </row>
    <row r="394" spans="2:60" s="113" customFormat="1" ht="22.5" hidden="1">
      <c r="B394" s="127"/>
      <c r="C394" s="133"/>
      <c r="D394" s="133"/>
      <c r="E394" s="115"/>
      <c r="F394" s="794" t="s">
        <v>401</v>
      </c>
      <c r="G394" s="962" t="s">
        <v>775</v>
      </c>
      <c r="H394" s="962" t="s">
        <v>1097</v>
      </c>
      <c r="I394" s="963">
        <v>280</v>
      </c>
      <c r="J394" s="131"/>
      <c r="K394" s="201"/>
      <c r="L394" s="928">
        <v>11020007</v>
      </c>
      <c r="M394" s="928">
        <v>11060045</v>
      </c>
      <c r="N394" s="928">
        <v>0</v>
      </c>
      <c r="O394" s="928" t="s">
        <v>1009</v>
      </c>
      <c r="P394" s="928">
        <v>5308074</v>
      </c>
      <c r="Q394" s="928">
        <v>0</v>
      </c>
      <c r="R394" s="518"/>
      <c r="S394" s="518"/>
      <c r="T394" s="518"/>
      <c r="U394" s="518"/>
      <c r="V394" s="518"/>
      <c r="W394" s="518"/>
      <c r="X394" s="518"/>
      <c r="Y394" s="518"/>
      <c r="Z394" s="518"/>
      <c r="AA394" s="518"/>
      <c r="AB394" s="518"/>
      <c r="AC394" s="518"/>
      <c r="AD394" s="518"/>
      <c r="AE394" s="518"/>
      <c r="AF394" s="518"/>
      <c r="AG394" s="518"/>
      <c r="AH394" s="518"/>
      <c r="AI394" s="518"/>
      <c r="AJ394" s="518"/>
      <c r="AK394" s="518"/>
      <c r="AL394" s="518"/>
      <c r="AM394" s="518"/>
      <c r="AN394" s="518"/>
      <c r="AO394" s="518"/>
      <c r="AP394" s="518"/>
      <c r="AQ394" s="518"/>
      <c r="AR394" s="518"/>
      <c r="AS394" s="518"/>
      <c r="AT394" s="518"/>
      <c r="AU394" s="518"/>
      <c r="AV394" s="518"/>
      <c r="AW394" s="990">
        <v>267</v>
      </c>
      <c r="AX394" s="916">
        <v>0.05</v>
      </c>
      <c r="AY394" s="925">
        <f t="shared" si="49"/>
        <v>280.35000000000002</v>
      </c>
      <c r="AZ394" s="518"/>
      <c r="BA394" s="518"/>
      <c r="BB394" s="518"/>
      <c r="BC394" s="518"/>
      <c r="BD394" s="518"/>
      <c r="BE394" s="518"/>
      <c r="BF394" s="518"/>
      <c r="BG394" s="518"/>
      <c r="BH394" s="1084">
        <f t="shared" si="50"/>
        <v>294</v>
      </c>
    </row>
    <row r="395" spans="2:60" s="113" customFormat="1" hidden="1">
      <c r="B395" s="127"/>
      <c r="C395" s="133"/>
      <c r="D395" s="133">
        <v>3</v>
      </c>
      <c r="E395" s="115"/>
      <c r="F395" s="794" t="s">
        <v>402</v>
      </c>
      <c r="G395" s="962">
        <v>11060010</v>
      </c>
      <c r="H395" s="962">
        <v>6013254</v>
      </c>
      <c r="I395" s="963">
        <v>164</v>
      </c>
      <c r="J395" s="131"/>
      <c r="K395" s="201"/>
      <c r="L395" s="928">
        <v>11060039</v>
      </c>
      <c r="M395" s="928" t="s">
        <v>541</v>
      </c>
      <c r="N395" s="928">
        <v>0</v>
      </c>
      <c r="O395" s="928">
        <v>7030536</v>
      </c>
      <c r="P395" s="928" t="s">
        <v>542</v>
      </c>
      <c r="Q395" s="928">
        <v>0</v>
      </c>
      <c r="R395" s="518"/>
      <c r="S395" s="518"/>
      <c r="T395" s="518"/>
      <c r="U395" s="518"/>
      <c r="V395" s="518"/>
      <c r="W395" s="518"/>
      <c r="X395" s="518"/>
      <c r="Y395" s="518"/>
      <c r="Z395" s="518"/>
      <c r="AA395" s="518"/>
      <c r="AB395" s="518"/>
      <c r="AC395" s="518"/>
      <c r="AD395" s="518"/>
      <c r="AE395" s="518"/>
      <c r="AF395" s="518"/>
      <c r="AG395" s="518"/>
      <c r="AH395" s="518"/>
      <c r="AI395" s="518"/>
      <c r="AJ395" s="518"/>
      <c r="AK395" s="518"/>
      <c r="AL395" s="518"/>
      <c r="AM395" s="518"/>
      <c r="AN395" s="518"/>
      <c r="AO395" s="518"/>
      <c r="AP395" s="518"/>
      <c r="AQ395" s="518"/>
      <c r="AR395" s="518"/>
      <c r="AS395" s="518"/>
      <c r="AT395" s="518"/>
      <c r="AU395" s="518"/>
      <c r="AV395" s="518"/>
      <c r="AW395" s="990">
        <v>156</v>
      </c>
      <c r="AX395" s="916">
        <v>0.05</v>
      </c>
      <c r="AY395" s="925">
        <f t="shared" si="49"/>
        <v>163.80000000000001</v>
      </c>
      <c r="AZ395" s="518"/>
      <c r="BA395" s="518"/>
      <c r="BB395" s="518"/>
      <c r="BC395" s="518"/>
      <c r="BD395" s="518"/>
      <c r="BE395" s="518"/>
      <c r="BF395" s="518"/>
      <c r="BG395" s="518"/>
      <c r="BH395" s="1084">
        <f t="shared" si="50"/>
        <v>172.20000000000002</v>
      </c>
    </row>
    <row r="396" spans="2:60" s="113" customFormat="1" hidden="1">
      <c r="B396" s="127"/>
      <c r="C396" s="133"/>
      <c r="D396" s="133">
        <v>4</v>
      </c>
      <c r="E396" s="115"/>
      <c r="F396" s="157"/>
      <c r="G396" s="377"/>
      <c r="H396" s="377"/>
      <c r="I396" s="402"/>
      <c r="J396" s="131"/>
      <c r="K396" s="201"/>
      <c r="L396" s="519"/>
      <c r="M396" s="519"/>
      <c r="N396" s="518"/>
      <c r="O396" s="518"/>
      <c r="P396" s="518"/>
      <c r="Q396" s="518"/>
      <c r="R396" s="518"/>
      <c r="S396" s="518"/>
      <c r="T396" s="518"/>
      <c r="U396" s="518"/>
      <c r="V396" s="518"/>
      <c r="W396" s="518"/>
      <c r="X396" s="518"/>
      <c r="Y396" s="518"/>
      <c r="Z396" s="518"/>
      <c r="AA396" s="518"/>
      <c r="AB396" s="518"/>
      <c r="AC396" s="518"/>
      <c r="AD396" s="518"/>
      <c r="AE396" s="518"/>
      <c r="AF396" s="518"/>
      <c r="AG396" s="518"/>
      <c r="AH396" s="518"/>
      <c r="AI396" s="518"/>
      <c r="AJ396" s="518"/>
      <c r="AK396" s="518"/>
      <c r="AL396" s="518"/>
      <c r="AM396" s="518"/>
      <c r="AN396" s="518"/>
      <c r="AO396" s="518"/>
      <c r="AP396" s="518"/>
      <c r="AQ396" s="518"/>
      <c r="AR396" s="518"/>
      <c r="AS396" s="518"/>
      <c r="AT396" s="518"/>
      <c r="AU396" s="518"/>
      <c r="AV396" s="518"/>
      <c r="AW396" s="990"/>
      <c r="AX396" s="916">
        <v>0.05</v>
      </c>
      <c r="AY396" s="925">
        <f t="shared" si="49"/>
        <v>0</v>
      </c>
      <c r="AZ396" s="518"/>
      <c r="BA396" s="518"/>
      <c r="BB396" s="518"/>
      <c r="BC396" s="518"/>
      <c r="BD396" s="518"/>
      <c r="BE396" s="518"/>
      <c r="BF396" s="518"/>
      <c r="BG396" s="518"/>
      <c r="BH396" s="1084">
        <f t="shared" si="50"/>
        <v>0</v>
      </c>
    </row>
    <row r="397" spans="2:60" s="113" customFormat="1" hidden="1">
      <c r="B397" s="127"/>
      <c r="C397" s="133"/>
      <c r="D397" s="133">
        <v>5</v>
      </c>
      <c r="E397" s="115"/>
      <c r="F397" s="157"/>
      <c r="G397" s="377"/>
      <c r="H397" s="377"/>
      <c r="I397" s="402"/>
      <c r="J397" s="131"/>
      <c r="K397" s="201"/>
      <c r="L397" s="519"/>
      <c r="M397" s="519"/>
      <c r="N397" s="518"/>
      <c r="O397" s="518"/>
      <c r="P397" s="518"/>
      <c r="Q397" s="518"/>
      <c r="R397" s="518"/>
      <c r="S397" s="518"/>
      <c r="T397" s="518"/>
      <c r="U397" s="518"/>
      <c r="V397" s="518"/>
      <c r="W397" s="518"/>
      <c r="X397" s="518"/>
      <c r="Y397" s="518"/>
      <c r="Z397" s="518"/>
      <c r="AA397" s="518"/>
      <c r="AB397" s="518"/>
      <c r="AC397" s="518"/>
      <c r="AD397" s="518"/>
      <c r="AE397" s="518"/>
      <c r="AF397" s="518"/>
      <c r="AG397" s="518"/>
      <c r="AH397" s="518"/>
      <c r="AI397" s="518"/>
      <c r="AJ397" s="518"/>
      <c r="AK397" s="518"/>
      <c r="AL397" s="518"/>
      <c r="AM397" s="518"/>
      <c r="AN397" s="518"/>
      <c r="AO397" s="518"/>
      <c r="AP397" s="518"/>
      <c r="AQ397" s="518"/>
      <c r="AR397" s="518"/>
      <c r="AS397" s="518"/>
      <c r="AT397" s="518"/>
      <c r="AU397" s="518"/>
      <c r="AV397" s="518"/>
      <c r="AW397" s="990"/>
      <c r="AX397" s="916">
        <v>0.05</v>
      </c>
      <c r="AY397" s="925">
        <f t="shared" si="49"/>
        <v>0</v>
      </c>
      <c r="AZ397" s="518"/>
      <c r="BA397" s="518"/>
      <c r="BB397" s="518"/>
      <c r="BC397" s="518"/>
      <c r="BD397" s="518"/>
      <c r="BE397" s="518"/>
      <c r="BF397" s="518"/>
      <c r="BG397" s="518"/>
      <c r="BH397" s="1084">
        <f t="shared" si="50"/>
        <v>0</v>
      </c>
    </row>
    <row r="398" spans="2:60" s="113" customFormat="1" hidden="1">
      <c r="B398" s="127"/>
      <c r="C398" s="133"/>
      <c r="D398" s="133">
        <v>6</v>
      </c>
      <c r="E398" s="115"/>
      <c r="F398" s="157"/>
      <c r="G398" s="377"/>
      <c r="H398" s="377"/>
      <c r="I398" s="402"/>
      <c r="J398" s="131"/>
      <c r="K398" s="201"/>
      <c r="L398" s="519"/>
      <c r="M398" s="519"/>
      <c r="N398" s="518"/>
      <c r="O398" s="518"/>
      <c r="P398" s="518"/>
      <c r="Q398" s="518"/>
      <c r="R398" s="518"/>
      <c r="S398" s="518"/>
      <c r="T398" s="518"/>
      <c r="U398" s="518"/>
      <c r="V398" s="518"/>
      <c r="W398" s="518"/>
      <c r="X398" s="518"/>
      <c r="Y398" s="518"/>
      <c r="Z398" s="518"/>
      <c r="AA398" s="518"/>
      <c r="AB398" s="518"/>
      <c r="AC398" s="518"/>
      <c r="AD398" s="518"/>
      <c r="AE398" s="518"/>
      <c r="AF398" s="518"/>
      <c r="AG398" s="518"/>
      <c r="AH398" s="518"/>
      <c r="AI398" s="518"/>
      <c r="AJ398" s="518"/>
      <c r="AK398" s="518"/>
      <c r="AL398" s="518"/>
      <c r="AM398" s="518"/>
      <c r="AN398" s="518"/>
      <c r="AO398" s="518"/>
      <c r="AP398" s="518"/>
      <c r="AQ398" s="518"/>
      <c r="AR398" s="518"/>
      <c r="AS398" s="518"/>
      <c r="AT398" s="518"/>
      <c r="AU398" s="518"/>
      <c r="AV398" s="518"/>
      <c r="AW398" s="990"/>
      <c r="AX398" s="916">
        <v>0.05</v>
      </c>
      <c r="AY398" s="925">
        <f t="shared" si="49"/>
        <v>0</v>
      </c>
      <c r="AZ398" s="518"/>
      <c r="BA398" s="518"/>
      <c r="BB398" s="518"/>
      <c r="BC398" s="518"/>
      <c r="BD398" s="518"/>
      <c r="BE398" s="518"/>
      <c r="BF398" s="518"/>
      <c r="BG398" s="518"/>
      <c r="BH398" s="1084">
        <f t="shared" si="50"/>
        <v>0</v>
      </c>
    </row>
    <row r="399" spans="2:60" s="113" customFormat="1" ht="12" hidden="1" customHeight="1">
      <c r="B399" s="127"/>
      <c r="C399" s="133"/>
      <c r="D399" s="133">
        <v>7</v>
      </c>
      <c r="E399" s="115"/>
      <c r="F399" s="154"/>
      <c r="G399" s="377"/>
      <c r="H399" s="377"/>
      <c r="I399" s="402"/>
      <c r="J399" s="131"/>
      <c r="K399" s="201"/>
      <c r="L399" s="519"/>
      <c r="M399" s="519"/>
      <c r="N399" s="518"/>
      <c r="O399" s="518"/>
      <c r="P399" s="518"/>
      <c r="Q399" s="518"/>
      <c r="R399" s="518"/>
      <c r="S399" s="518"/>
      <c r="T399" s="518"/>
      <c r="U399" s="518"/>
      <c r="V399" s="518"/>
      <c r="W399" s="518"/>
      <c r="X399" s="518"/>
      <c r="Y399" s="518"/>
      <c r="Z399" s="518"/>
      <c r="AA399" s="518"/>
      <c r="AB399" s="518"/>
      <c r="AC399" s="518"/>
      <c r="AD399" s="518"/>
      <c r="AE399" s="518"/>
      <c r="AF399" s="518"/>
      <c r="AG399" s="518"/>
      <c r="AH399" s="518"/>
      <c r="AI399" s="518"/>
      <c r="AJ399" s="518"/>
      <c r="AK399" s="518"/>
      <c r="AL399" s="518"/>
      <c r="AM399" s="518"/>
      <c r="AN399" s="518"/>
      <c r="AO399" s="518"/>
      <c r="AP399" s="518"/>
      <c r="AQ399" s="518"/>
      <c r="AR399" s="518"/>
      <c r="AS399" s="518"/>
      <c r="AT399" s="518"/>
      <c r="AU399" s="518"/>
      <c r="AV399" s="518"/>
      <c r="AW399" s="990"/>
      <c r="AX399" s="916">
        <v>0.05</v>
      </c>
      <c r="AY399" s="925">
        <f t="shared" si="49"/>
        <v>0</v>
      </c>
      <c r="AZ399" s="518"/>
      <c r="BA399" s="518"/>
      <c r="BB399" s="518"/>
      <c r="BC399" s="518"/>
      <c r="BD399" s="518"/>
      <c r="BE399" s="518"/>
      <c r="BF399" s="518"/>
      <c r="BG399" s="518"/>
      <c r="BH399" s="1074"/>
    </row>
    <row r="400" spans="2:60" hidden="1">
      <c r="B400" s="127"/>
      <c r="C400" s="115"/>
      <c r="D400" s="115"/>
      <c r="E400" s="115"/>
      <c r="F400" s="109"/>
      <c r="G400" s="28"/>
      <c r="H400" s="109"/>
      <c r="I400" s="335"/>
      <c r="J400" s="131"/>
      <c r="AW400" s="990"/>
      <c r="AX400" s="916">
        <v>0.05</v>
      </c>
      <c r="AY400" s="925">
        <f t="shared" si="49"/>
        <v>0</v>
      </c>
      <c r="BH400" s="912"/>
    </row>
    <row r="401" spans="2:60" s="113" customFormat="1" hidden="1">
      <c r="B401" s="127"/>
      <c r="C401" s="132"/>
      <c r="D401" s="132" t="s">
        <v>29</v>
      </c>
      <c r="E401" s="115"/>
      <c r="F401" s="382" t="s">
        <v>543</v>
      </c>
      <c r="G401" s="28"/>
      <c r="H401" s="109"/>
      <c r="I401" s="335"/>
      <c r="J401" s="131"/>
      <c r="K401" s="201"/>
      <c r="L401" s="519"/>
      <c r="M401" s="519"/>
      <c r="N401" s="518"/>
      <c r="O401" s="518"/>
      <c r="P401" s="518"/>
      <c r="Q401" s="518"/>
      <c r="R401" s="518"/>
      <c r="S401" s="518"/>
      <c r="T401" s="518"/>
      <c r="U401" s="518"/>
      <c r="V401" s="518"/>
      <c r="W401" s="518"/>
      <c r="X401" s="518"/>
      <c r="Y401" s="518"/>
      <c r="Z401" s="518"/>
      <c r="AA401" s="518"/>
      <c r="AB401" s="518"/>
      <c r="AC401" s="518"/>
      <c r="AD401" s="518"/>
      <c r="AE401" s="518"/>
      <c r="AF401" s="518"/>
      <c r="AG401" s="518"/>
      <c r="AH401" s="518"/>
      <c r="AI401" s="518"/>
      <c r="AJ401" s="518"/>
      <c r="AK401" s="518"/>
      <c r="AL401" s="518"/>
      <c r="AM401" s="518"/>
      <c r="AN401" s="518"/>
      <c r="AO401" s="518"/>
      <c r="AP401" s="518"/>
      <c r="AQ401" s="518"/>
      <c r="AR401" s="518"/>
      <c r="AS401" s="518"/>
      <c r="AT401" s="518"/>
      <c r="AU401" s="518"/>
      <c r="AV401" s="518"/>
      <c r="AW401" s="990"/>
      <c r="AX401" s="916">
        <v>0.05</v>
      </c>
      <c r="AY401" s="925">
        <f t="shared" si="49"/>
        <v>0</v>
      </c>
      <c r="AZ401" s="518"/>
      <c r="BA401" s="518"/>
      <c r="BB401" s="518"/>
      <c r="BC401" s="518"/>
      <c r="BD401" s="518"/>
      <c r="BE401" s="518"/>
      <c r="BF401" s="518"/>
      <c r="BG401" s="518"/>
      <c r="BH401" s="1074"/>
    </row>
    <row r="402" spans="2:60" s="113" customFormat="1" hidden="1">
      <c r="B402" s="127"/>
      <c r="C402" s="204"/>
      <c r="D402" s="204" t="str">
        <f t="shared" ref="D402:D413" si="51">E402&amp;F402</f>
        <v>Reflective Sensor -WL8G-N2131 (inc bracket &amp; refector)PE Cable - 3m</v>
      </c>
      <c r="E402" s="428" t="str">
        <f>F392</f>
        <v>Reflective Sensor -WL8G-N2131 (inc bracket &amp; refector)</v>
      </c>
      <c r="F402" s="100" t="s">
        <v>70</v>
      </c>
      <c r="G402" s="377">
        <v>11060096</v>
      </c>
      <c r="H402" s="377" t="s">
        <v>540</v>
      </c>
      <c r="I402" s="402">
        <v>20</v>
      </c>
      <c r="J402" s="131"/>
      <c r="K402" s="201"/>
      <c r="L402" s="519"/>
      <c r="M402" s="519"/>
      <c r="N402" s="518"/>
      <c r="O402" s="518"/>
      <c r="P402" s="518"/>
      <c r="Q402" s="518"/>
      <c r="R402" s="518"/>
      <c r="S402" s="518"/>
      <c r="T402" s="518"/>
      <c r="U402" s="518"/>
      <c r="V402" s="518"/>
      <c r="W402" s="518"/>
      <c r="X402" s="518"/>
      <c r="Y402" s="518"/>
      <c r="Z402" s="518"/>
      <c r="AA402" s="518"/>
      <c r="AB402" s="518"/>
      <c r="AC402" s="518"/>
      <c r="AD402" s="518"/>
      <c r="AE402" s="518"/>
      <c r="AF402" s="518"/>
      <c r="AG402" s="518"/>
      <c r="AH402" s="518"/>
      <c r="AI402" s="518"/>
      <c r="AJ402" s="518"/>
      <c r="AK402" s="518"/>
      <c r="AL402" s="518"/>
      <c r="AM402" s="518"/>
      <c r="AN402" s="518"/>
      <c r="AO402" s="518"/>
      <c r="AP402" s="518"/>
      <c r="AQ402" s="518"/>
      <c r="AR402" s="518"/>
      <c r="AS402" s="518"/>
      <c r="AT402" s="518"/>
      <c r="AU402" s="518"/>
      <c r="AV402" s="518"/>
      <c r="AW402" s="990">
        <v>15</v>
      </c>
      <c r="AX402" s="916">
        <v>0.05</v>
      </c>
      <c r="AY402" s="925">
        <f t="shared" si="49"/>
        <v>15.75</v>
      </c>
      <c r="AZ402" s="518"/>
      <c r="BA402" s="518"/>
      <c r="BB402" s="518"/>
      <c r="BC402" s="518"/>
      <c r="BD402" s="518"/>
      <c r="BE402" s="518"/>
      <c r="BF402" s="518"/>
      <c r="BG402" s="518"/>
      <c r="BH402" s="1084">
        <f t="shared" ref="BH402:BH413" si="52">I402*1.05</f>
        <v>21</v>
      </c>
    </row>
    <row r="403" spans="2:60" s="113" customFormat="1" hidden="1">
      <c r="B403" s="127"/>
      <c r="C403" s="204"/>
      <c r="D403" s="204" t="str">
        <f t="shared" si="51"/>
        <v>Reflective Sensor -WL8G-N2131 (inc bracket &amp; refector)PE Cable - 5m</v>
      </c>
      <c r="E403" s="428" t="str">
        <f>E402</f>
        <v>Reflective Sensor -WL8G-N2131 (inc bracket &amp; refector)</v>
      </c>
      <c r="F403" s="100" t="s">
        <v>71</v>
      </c>
      <c r="G403" s="377">
        <v>11020007</v>
      </c>
      <c r="H403" s="377" t="s">
        <v>1009</v>
      </c>
      <c r="I403" s="402">
        <v>18</v>
      </c>
      <c r="J403" s="131"/>
      <c r="K403" s="201"/>
      <c r="L403" s="519"/>
      <c r="M403" s="519"/>
      <c r="N403" s="518"/>
      <c r="O403" s="518"/>
      <c r="P403" s="518"/>
      <c r="Q403" s="518"/>
      <c r="R403" s="518"/>
      <c r="S403" s="518"/>
      <c r="T403" s="518"/>
      <c r="U403" s="518"/>
      <c r="V403" s="518"/>
      <c r="W403" s="518"/>
      <c r="X403" s="518"/>
      <c r="Y403" s="518"/>
      <c r="Z403" s="518"/>
      <c r="AA403" s="518"/>
      <c r="AB403" s="518"/>
      <c r="AC403" s="518"/>
      <c r="AD403" s="518"/>
      <c r="AE403" s="518"/>
      <c r="AF403" s="518"/>
      <c r="AG403" s="518"/>
      <c r="AH403" s="518"/>
      <c r="AI403" s="518"/>
      <c r="AJ403" s="518"/>
      <c r="AK403" s="518"/>
      <c r="AL403" s="518"/>
      <c r="AM403" s="518"/>
      <c r="AN403" s="518"/>
      <c r="AO403" s="518"/>
      <c r="AP403" s="518"/>
      <c r="AQ403" s="518"/>
      <c r="AR403" s="518"/>
      <c r="AS403" s="518"/>
      <c r="AT403" s="518"/>
      <c r="AU403" s="518"/>
      <c r="AV403" s="518"/>
      <c r="AW403" s="990" t="s">
        <v>69</v>
      </c>
      <c r="AX403" s="916">
        <v>0.05</v>
      </c>
      <c r="AY403" s="925" t="e">
        <f t="shared" si="49"/>
        <v>#VALUE!</v>
      </c>
      <c r="AZ403" s="518"/>
      <c r="BA403" s="518"/>
      <c r="BB403" s="518"/>
      <c r="BC403" s="518"/>
      <c r="BD403" s="518"/>
      <c r="BE403" s="518"/>
      <c r="BF403" s="518"/>
      <c r="BG403" s="518"/>
      <c r="BH403" s="1084">
        <f t="shared" si="52"/>
        <v>18.900000000000002</v>
      </c>
    </row>
    <row r="404" spans="2:60" s="113" customFormat="1" hidden="1">
      <c r="B404" s="127"/>
      <c r="C404" s="934"/>
      <c r="D404" s="934" t="str">
        <f t="shared" si="51"/>
        <v>Reflective Sensor -WL8G-N2131 (inc bracket &amp; refector)PE Cable - Custom</v>
      </c>
      <c r="E404" s="428" t="str">
        <f>E402</f>
        <v>Reflective Sensor -WL8G-N2131 (inc bracket &amp; refector)</v>
      </c>
      <c r="F404" s="100" t="s">
        <v>72</v>
      </c>
      <c r="G404" s="377" t="s">
        <v>576</v>
      </c>
      <c r="H404" s="377" t="s">
        <v>576</v>
      </c>
      <c r="I404" s="402" t="s">
        <v>69</v>
      </c>
      <c r="J404" s="131"/>
      <c r="K404" s="201"/>
      <c r="L404" s="519"/>
      <c r="M404" s="519"/>
      <c r="N404" s="518"/>
      <c r="O404" s="518"/>
      <c r="P404" s="518"/>
      <c r="Q404" s="518"/>
      <c r="R404" s="518"/>
      <c r="S404" s="518"/>
      <c r="T404" s="518"/>
      <c r="U404" s="518"/>
      <c r="V404" s="518"/>
      <c r="W404" s="518"/>
      <c r="X404" s="518"/>
      <c r="Y404" s="518"/>
      <c r="Z404" s="518"/>
      <c r="AA404" s="518"/>
      <c r="AB404" s="518"/>
      <c r="AC404" s="518"/>
      <c r="AD404" s="518"/>
      <c r="AE404" s="518"/>
      <c r="AF404" s="518"/>
      <c r="AG404" s="518"/>
      <c r="AH404" s="518"/>
      <c r="AI404" s="518"/>
      <c r="AJ404" s="518"/>
      <c r="AK404" s="518"/>
      <c r="AL404" s="518"/>
      <c r="AM404" s="518"/>
      <c r="AN404" s="518"/>
      <c r="AO404" s="518"/>
      <c r="AP404" s="518"/>
      <c r="AQ404" s="518"/>
      <c r="AR404" s="518"/>
      <c r="AS404" s="518"/>
      <c r="AT404" s="518"/>
      <c r="AU404" s="518"/>
      <c r="AV404" s="518"/>
      <c r="AW404" s="990" t="s">
        <v>69</v>
      </c>
      <c r="AX404" s="916">
        <v>0.05</v>
      </c>
      <c r="AY404" s="925" t="e">
        <f t="shared" si="49"/>
        <v>#VALUE!</v>
      </c>
      <c r="AZ404" s="518"/>
      <c r="BA404" s="518"/>
      <c r="BB404" s="518"/>
      <c r="BC404" s="518"/>
      <c r="BD404" s="518"/>
      <c r="BE404" s="518"/>
      <c r="BF404" s="518"/>
      <c r="BG404" s="518"/>
      <c r="BH404" s="1084" t="e">
        <f t="shared" si="52"/>
        <v>#VALUE!</v>
      </c>
    </row>
    <row r="405" spans="2:60" s="113" customFormat="1" hidden="1">
      <c r="B405" s="127"/>
      <c r="C405" s="204"/>
      <c r="D405" s="204" t="str">
        <f t="shared" si="51"/>
        <v>Proximity Sensor - WTB8-N2131 (incl bracket)PE Cable - 3m</v>
      </c>
      <c r="E405" s="428" t="str">
        <f>F393</f>
        <v>Proximity Sensor - WTB8-N2131 (incl bracket)</v>
      </c>
      <c r="F405" s="100" t="s">
        <v>70</v>
      </c>
      <c r="G405" s="377">
        <v>11060096</v>
      </c>
      <c r="H405" s="377" t="s">
        <v>540</v>
      </c>
      <c r="I405" s="402">
        <v>20</v>
      </c>
      <c r="J405" s="131"/>
      <c r="K405" s="201"/>
      <c r="L405" s="519"/>
      <c r="M405" s="519"/>
      <c r="N405" s="518"/>
      <c r="O405" s="518"/>
      <c r="P405" s="518"/>
      <c r="Q405" s="518"/>
      <c r="R405" s="518"/>
      <c r="S405" s="518"/>
      <c r="T405" s="518"/>
      <c r="U405" s="518"/>
      <c r="V405" s="518"/>
      <c r="W405" s="518"/>
      <c r="X405" s="518"/>
      <c r="Y405" s="518"/>
      <c r="Z405" s="518"/>
      <c r="AA405" s="518"/>
      <c r="AB405" s="518"/>
      <c r="AC405" s="518"/>
      <c r="AD405" s="518"/>
      <c r="AE405" s="518"/>
      <c r="AF405" s="518"/>
      <c r="AG405" s="518"/>
      <c r="AH405" s="518"/>
      <c r="AI405" s="518"/>
      <c r="AJ405" s="518"/>
      <c r="AK405" s="518"/>
      <c r="AL405" s="518"/>
      <c r="AM405" s="518"/>
      <c r="AN405" s="518"/>
      <c r="AO405" s="518"/>
      <c r="AP405" s="518"/>
      <c r="AQ405" s="518"/>
      <c r="AR405" s="518"/>
      <c r="AS405" s="518"/>
      <c r="AT405" s="518"/>
      <c r="AU405" s="518"/>
      <c r="AV405" s="518"/>
      <c r="AW405" s="990">
        <v>15</v>
      </c>
      <c r="AX405" s="916">
        <v>0.05</v>
      </c>
      <c r="AY405" s="925">
        <f t="shared" si="49"/>
        <v>15.75</v>
      </c>
      <c r="AZ405" s="518"/>
      <c r="BA405" s="518"/>
      <c r="BB405" s="518"/>
      <c r="BC405" s="518"/>
      <c r="BD405" s="518"/>
      <c r="BE405" s="518"/>
      <c r="BF405" s="518"/>
      <c r="BG405" s="518"/>
      <c r="BH405" s="1084">
        <f t="shared" si="52"/>
        <v>21</v>
      </c>
    </row>
    <row r="406" spans="2:60" s="113" customFormat="1" hidden="1">
      <c r="B406" s="127"/>
      <c r="C406" s="204"/>
      <c r="D406" s="204" t="str">
        <f t="shared" si="51"/>
        <v>Proximity Sensor - WTB8-N2131 (incl bracket)PE Cable - 5m</v>
      </c>
      <c r="E406" s="428" t="str">
        <f>E405</f>
        <v>Proximity Sensor - WTB8-N2131 (incl bracket)</v>
      </c>
      <c r="F406" s="100" t="s">
        <v>71</v>
      </c>
      <c r="G406" s="377">
        <v>11020007</v>
      </c>
      <c r="H406" s="377" t="s">
        <v>1009</v>
      </c>
      <c r="I406" s="402">
        <v>18</v>
      </c>
      <c r="J406" s="131"/>
      <c r="K406" s="201"/>
      <c r="L406" s="519"/>
      <c r="M406" s="519"/>
      <c r="N406" s="518"/>
      <c r="O406" s="518"/>
      <c r="P406" s="518"/>
      <c r="Q406" s="518"/>
      <c r="R406" s="518"/>
      <c r="S406" s="518"/>
      <c r="T406" s="518"/>
      <c r="U406" s="518"/>
      <c r="V406" s="518"/>
      <c r="W406" s="518"/>
      <c r="X406" s="518"/>
      <c r="Y406" s="518"/>
      <c r="Z406" s="518"/>
      <c r="AA406" s="518"/>
      <c r="AB406" s="518"/>
      <c r="AC406" s="518"/>
      <c r="AD406" s="518"/>
      <c r="AE406" s="518"/>
      <c r="AF406" s="518"/>
      <c r="AG406" s="518"/>
      <c r="AH406" s="518"/>
      <c r="AI406" s="518"/>
      <c r="AJ406" s="518"/>
      <c r="AK406" s="518"/>
      <c r="AL406" s="518"/>
      <c r="AM406" s="518"/>
      <c r="AN406" s="518"/>
      <c r="AO406" s="518"/>
      <c r="AP406" s="518"/>
      <c r="AQ406" s="518"/>
      <c r="AR406" s="518"/>
      <c r="AS406" s="518"/>
      <c r="AT406" s="518"/>
      <c r="AU406" s="518"/>
      <c r="AV406" s="518"/>
      <c r="AW406" s="990">
        <v>21</v>
      </c>
      <c r="AX406" s="916">
        <v>0.05</v>
      </c>
      <c r="AY406" s="925">
        <f t="shared" si="49"/>
        <v>22.05</v>
      </c>
      <c r="AZ406" s="518"/>
      <c r="BA406" s="518"/>
      <c r="BB406" s="518"/>
      <c r="BC406" s="518"/>
      <c r="BD406" s="518"/>
      <c r="BE406" s="518"/>
      <c r="BF406" s="518"/>
      <c r="BG406" s="518"/>
      <c r="BH406" s="1084">
        <f t="shared" si="52"/>
        <v>18.900000000000002</v>
      </c>
    </row>
    <row r="407" spans="2:60" s="113" customFormat="1" hidden="1">
      <c r="B407" s="127"/>
      <c r="C407" s="934"/>
      <c r="D407" s="934" t="str">
        <f t="shared" si="51"/>
        <v>Proximity Sensor - WTB8-N2131 (incl bracket)PE Cable - Custom</v>
      </c>
      <c r="E407" s="428" t="str">
        <f>E406</f>
        <v>Proximity Sensor - WTB8-N2131 (incl bracket)</v>
      </c>
      <c r="F407" s="100" t="s">
        <v>72</v>
      </c>
      <c r="G407" s="377" t="s">
        <v>577</v>
      </c>
      <c r="H407" s="377" t="s">
        <v>577</v>
      </c>
      <c r="I407" s="402" t="s">
        <v>69</v>
      </c>
      <c r="J407" s="131"/>
      <c r="K407" s="201"/>
      <c r="L407" s="519"/>
      <c r="M407" s="519"/>
      <c r="N407" s="518"/>
      <c r="O407" s="518"/>
      <c r="P407" s="518"/>
      <c r="Q407" s="518"/>
      <c r="R407" s="518"/>
      <c r="S407" s="518"/>
      <c r="T407" s="518"/>
      <c r="U407" s="518"/>
      <c r="V407" s="518"/>
      <c r="W407" s="518"/>
      <c r="X407" s="518"/>
      <c r="Y407" s="518"/>
      <c r="Z407" s="518"/>
      <c r="AA407" s="518"/>
      <c r="AB407" s="518"/>
      <c r="AC407" s="518"/>
      <c r="AD407" s="518"/>
      <c r="AE407" s="518"/>
      <c r="AF407" s="518"/>
      <c r="AG407" s="518"/>
      <c r="AH407" s="518"/>
      <c r="AI407" s="518"/>
      <c r="AJ407" s="518"/>
      <c r="AK407" s="518"/>
      <c r="AL407" s="518"/>
      <c r="AM407" s="518"/>
      <c r="AN407" s="518"/>
      <c r="AO407" s="518"/>
      <c r="AP407" s="518"/>
      <c r="AQ407" s="518"/>
      <c r="AR407" s="518"/>
      <c r="AS407" s="518"/>
      <c r="AT407" s="518"/>
      <c r="AU407" s="518"/>
      <c r="AV407" s="518"/>
      <c r="AW407" s="990" t="s">
        <v>69</v>
      </c>
      <c r="AX407" s="916">
        <v>0.05</v>
      </c>
      <c r="AY407" s="925" t="e">
        <f t="shared" si="49"/>
        <v>#VALUE!</v>
      </c>
      <c r="AZ407" s="518"/>
      <c r="BA407" s="518"/>
      <c r="BB407" s="518"/>
      <c r="BC407" s="518"/>
      <c r="BD407" s="518"/>
      <c r="BE407" s="518"/>
      <c r="BF407" s="518"/>
      <c r="BG407" s="518"/>
      <c r="BH407" s="1084" t="e">
        <f t="shared" si="52"/>
        <v>#VALUE!</v>
      </c>
    </row>
    <row r="408" spans="2:60" s="113" customFormat="1" hidden="1">
      <c r="B408" s="127"/>
      <c r="C408" s="204"/>
      <c r="D408" s="204" t="str">
        <f t="shared" si="51"/>
        <v>Fibre Optic Amplifier - WLL170-2N330PE Cable - 3m</v>
      </c>
      <c r="E408" s="428" t="str">
        <f>F394</f>
        <v>Fibre Optic Amplifier - WLL170-2N330</v>
      </c>
      <c r="F408" s="100" t="s">
        <v>70</v>
      </c>
      <c r="G408" s="377">
        <v>11060096</v>
      </c>
      <c r="H408" s="377" t="s">
        <v>776</v>
      </c>
      <c r="I408" s="402">
        <v>20</v>
      </c>
      <c r="J408" s="131"/>
      <c r="K408" s="201"/>
      <c r="L408" s="519"/>
      <c r="M408" s="519"/>
      <c r="N408" s="518"/>
      <c r="O408" s="518"/>
      <c r="P408" s="518"/>
      <c r="Q408" s="518"/>
      <c r="R408" s="518"/>
      <c r="S408" s="518"/>
      <c r="T408" s="518"/>
      <c r="U408" s="518"/>
      <c r="V408" s="518"/>
      <c r="W408" s="518"/>
      <c r="X408" s="518"/>
      <c r="Y408" s="518"/>
      <c r="Z408" s="518"/>
      <c r="AA408" s="518"/>
      <c r="AB408" s="518"/>
      <c r="AC408" s="518"/>
      <c r="AD408" s="518"/>
      <c r="AE408" s="518"/>
      <c r="AF408" s="518"/>
      <c r="AG408" s="518"/>
      <c r="AH408" s="518"/>
      <c r="AI408" s="518"/>
      <c r="AJ408" s="518"/>
      <c r="AK408" s="518"/>
      <c r="AL408" s="518"/>
      <c r="AM408" s="518"/>
      <c r="AN408" s="518"/>
      <c r="AO408" s="518"/>
      <c r="AP408" s="518"/>
      <c r="AQ408" s="518"/>
      <c r="AR408" s="518"/>
      <c r="AS408" s="518"/>
      <c r="AT408" s="518"/>
      <c r="AU408" s="518"/>
      <c r="AV408" s="518"/>
      <c r="AW408" s="990">
        <v>15</v>
      </c>
      <c r="AX408" s="916">
        <v>0.05</v>
      </c>
      <c r="AY408" s="925">
        <f t="shared" si="49"/>
        <v>15.75</v>
      </c>
      <c r="AZ408" s="518"/>
      <c r="BA408" s="518"/>
      <c r="BB408" s="518"/>
      <c r="BC408" s="518"/>
      <c r="BD408" s="518"/>
      <c r="BE408" s="518"/>
      <c r="BF408" s="518"/>
      <c r="BG408" s="518"/>
      <c r="BH408" s="1084">
        <f t="shared" si="52"/>
        <v>21</v>
      </c>
    </row>
    <row r="409" spans="2:60" s="113" customFormat="1" hidden="1">
      <c r="B409" s="127"/>
      <c r="C409" s="204"/>
      <c r="D409" s="204" t="str">
        <f t="shared" si="51"/>
        <v>Fibre Optic Amplifier - WLL170-2N330PE Cable - 5m</v>
      </c>
      <c r="E409" s="428" t="str">
        <f>E408</f>
        <v>Fibre Optic Amplifier - WLL170-2N330</v>
      </c>
      <c r="F409" s="100" t="s">
        <v>71</v>
      </c>
      <c r="G409" s="377">
        <v>11020007</v>
      </c>
      <c r="H409" s="377" t="s">
        <v>1009</v>
      </c>
      <c r="I409" s="402">
        <v>18</v>
      </c>
      <c r="J409" s="131"/>
      <c r="K409" s="201"/>
      <c r="L409" s="519"/>
      <c r="M409" s="519"/>
      <c r="N409" s="518"/>
      <c r="O409" s="518"/>
      <c r="P409" s="518"/>
      <c r="Q409" s="518"/>
      <c r="R409" s="518"/>
      <c r="S409" s="518"/>
      <c r="T409" s="518"/>
      <c r="U409" s="518"/>
      <c r="V409" s="518"/>
      <c r="W409" s="518"/>
      <c r="X409" s="518"/>
      <c r="Y409" s="518"/>
      <c r="Z409" s="518"/>
      <c r="AA409" s="518"/>
      <c r="AB409" s="518"/>
      <c r="AC409" s="518"/>
      <c r="AD409" s="518"/>
      <c r="AE409" s="518"/>
      <c r="AF409" s="518"/>
      <c r="AG409" s="518"/>
      <c r="AH409" s="518"/>
      <c r="AI409" s="518"/>
      <c r="AJ409" s="518"/>
      <c r="AK409" s="518"/>
      <c r="AL409" s="518"/>
      <c r="AM409" s="518"/>
      <c r="AN409" s="518"/>
      <c r="AO409" s="518"/>
      <c r="AP409" s="518"/>
      <c r="AQ409" s="518"/>
      <c r="AR409" s="518"/>
      <c r="AS409" s="518"/>
      <c r="AT409" s="518"/>
      <c r="AU409" s="518"/>
      <c r="AV409" s="518"/>
      <c r="AW409" s="990">
        <v>15</v>
      </c>
      <c r="AX409" s="916">
        <v>0.05</v>
      </c>
      <c r="AY409" s="925">
        <f t="shared" si="49"/>
        <v>15.75</v>
      </c>
      <c r="AZ409" s="518"/>
      <c r="BA409" s="518"/>
      <c r="BB409" s="518"/>
      <c r="BC409" s="518"/>
      <c r="BD409" s="518"/>
      <c r="BE409" s="518"/>
      <c r="BF409" s="518"/>
      <c r="BG409" s="518"/>
      <c r="BH409" s="1084">
        <f t="shared" si="52"/>
        <v>18.900000000000002</v>
      </c>
    </row>
    <row r="410" spans="2:60" s="113" customFormat="1" hidden="1">
      <c r="B410" s="127"/>
      <c r="C410" s="934"/>
      <c r="D410" s="934" t="str">
        <f t="shared" si="51"/>
        <v>Fibre Optic Amplifier - WLL170-2N330PE Cable - Custom</v>
      </c>
      <c r="E410" s="428" t="str">
        <f>E409</f>
        <v>Fibre Optic Amplifier - WLL170-2N330</v>
      </c>
      <c r="F410" s="100" t="s">
        <v>72</v>
      </c>
      <c r="G410" s="377" t="s">
        <v>578</v>
      </c>
      <c r="H410" s="377" t="s">
        <v>578</v>
      </c>
      <c r="I410" s="402" t="s">
        <v>69</v>
      </c>
      <c r="J410" s="131"/>
      <c r="K410" s="201"/>
      <c r="L410" s="519"/>
      <c r="M410" s="519"/>
      <c r="N410" s="518"/>
      <c r="O410" s="518"/>
      <c r="P410" s="518"/>
      <c r="Q410" s="518"/>
      <c r="R410" s="518"/>
      <c r="S410" s="518"/>
      <c r="T410" s="518"/>
      <c r="U410" s="518"/>
      <c r="V410" s="518"/>
      <c r="W410" s="518"/>
      <c r="X410" s="518"/>
      <c r="Y410" s="518"/>
      <c r="Z410" s="518"/>
      <c r="AA410" s="518"/>
      <c r="AB410" s="518"/>
      <c r="AC410" s="518"/>
      <c r="AD410" s="518"/>
      <c r="AE410" s="518"/>
      <c r="AF410" s="518"/>
      <c r="AG410" s="518"/>
      <c r="AH410" s="518"/>
      <c r="AI410" s="518"/>
      <c r="AJ410" s="518"/>
      <c r="AK410" s="518"/>
      <c r="AL410" s="518"/>
      <c r="AM410" s="518"/>
      <c r="AN410" s="518"/>
      <c r="AO410" s="518"/>
      <c r="AP410" s="518"/>
      <c r="AQ410" s="518"/>
      <c r="AR410" s="518"/>
      <c r="AS410" s="518"/>
      <c r="AT410" s="518"/>
      <c r="AU410" s="518"/>
      <c r="AV410" s="518"/>
      <c r="AW410" s="990" t="s">
        <v>69</v>
      </c>
      <c r="AX410" s="916">
        <v>0.05</v>
      </c>
      <c r="AY410" s="925" t="e">
        <f t="shared" si="49"/>
        <v>#VALUE!</v>
      </c>
      <c r="AZ410" s="518"/>
      <c r="BA410" s="518"/>
      <c r="BB410" s="518"/>
      <c r="BC410" s="518"/>
      <c r="BD410" s="518"/>
      <c r="BE410" s="518"/>
      <c r="BF410" s="518"/>
      <c r="BG410" s="518"/>
      <c r="BH410" s="1084" t="e">
        <f t="shared" si="52"/>
        <v>#VALUE!</v>
      </c>
    </row>
    <row r="411" spans="2:60" s="113" customFormat="1" hidden="1">
      <c r="B411" s="127"/>
      <c r="C411" s="204"/>
      <c r="D411" s="204" t="str">
        <f t="shared" si="51"/>
        <v>P/E Proximity Energetic - VTE18-4N4240 (Barrel 18mm)PE Cable - 3m</v>
      </c>
      <c r="E411" s="428" t="str">
        <f>F395</f>
        <v>P/E Proximity Energetic - VTE18-4N4240 (Barrel 18mm)</v>
      </c>
      <c r="F411" s="100" t="s">
        <v>70</v>
      </c>
      <c r="G411" s="377">
        <v>11060039</v>
      </c>
      <c r="H411" s="377" t="s">
        <v>1075</v>
      </c>
      <c r="I411" s="402">
        <v>23</v>
      </c>
      <c r="J411" s="131"/>
      <c r="K411" s="201"/>
      <c r="L411" s="519"/>
      <c r="M411" s="519"/>
      <c r="N411" s="518"/>
      <c r="O411" s="518"/>
      <c r="P411" s="518"/>
      <c r="Q411" s="518"/>
      <c r="R411" s="518"/>
      <c r="S411" s="518"/>
      <c r="T411" s="518"/>
      <c r="U411" s="518"/>
      <c r="V411" s="518"/>
      <c r="W411" s="518"/>
      <c r="X411" s="518"/>
      <c r="Y411" s="518"/>
      <c r="Z411" s="518"/>
      <c r="AA411" s="518"/>
      <c r="AB411" s="518"/>
      <c r="AC411" s="518"/>
      <c r="AD411" s="518"/>
      <c r="AE411" s="518"/>
      <c r="AF411" s="518"/>
      <c r="AG411" s="518"/>
      <c r="AH411" s="518"/>
      <c r="AI411" s="518"/>
      <c r="AJ411" s="518"/>
      <c r="AK411" s="518"/>
      <c r="AL411" s="518"/>
      <c r="AM411" s="518"/>
      <c r="AN411" s="518"/>
      <c r="AO411" s="518"/>
      <c r="AP411" s="518"/>
      <c r="AQ411" s="518"/>
      <c r="AR411" s="518"/>
      <c r="AS411" s="518"/>
      <c r="AT411" s="518"/>
      <c r="AU411" s="518"/>
      <c r="AV411" s="518"/>
      <c r="AW411" s="990">
        <v>20</v>
      </c>
      <c r="AX411" s="916">
        <v>0.05</v>
      </c>
      <c r="AY411" s="925">
        <f t="shared" si="49"/>
        <v>21</v>
      </c>
      <c r="AZ411" s="518"/>
      <c r="BA411" s="518"/>
      <c r="BB411" s="518"/>
      <c r="BC411" s="518"/>
      <c r="BD411" s="518"/>
      <c r="BE411" s="518"/>
      <c r="BF411" s="518"/>
      <c r="BG411" s="518"/>
      <c r="BH411" s="1084">
        <f t="shared" si="52"/>
        <v>24.150000000000002</v>
      </c>
    </row>
    <row r="412" spans="2:60" s="113" customFormat="1" hidden="1">
      <c r="B412" s="127"/>
      <c r="C412" s="204"/>
      <c r="D412" s="204" t="str">
        <f t="shared" si="51"/>
        <v>P/E Proximity Energetic - VTE18-4N4240 (Barrel 18mm)PE Cable - 5m</v>
      </c>
      <c r="E412" s="428" t="str">
        <f t="shared" ref="E412:E413" si="53">E411</f>
        <v>P/E Proximity Energetic - VTE18-4N4240 (Barrel 18mm)</v>
      </c>
      <c r="F412" s="100" t="s">
        <v>71</v>
      </c>
      <c r="G412" s="377" t="s">
        <v>541</v>
      </c>
      <c r="H412" s="377" t="s">
        <v>542</v>
      </c>
      <c r="I412" s="402">
        <v>28</v>
      </c>
      <c r="J412" s="131"/>
      <c r="K412" s="201"/>
      <c r="L412" s="519"/>
      <c r="M412" s="519"/>
      <c r="N412" s="518"/>
      <c r="O412" s="518"/>
      <c r="P412" s="518"/>
      <c r="Q412" s="518"/>
      <c r="R412" s="518"/>
      <c r="S412" s="518"/>
      <c r="T412" s="518"/>
      <c r="U412" s="518"/>
      <c r="V412" s="518"/>
      <c r="W412" s="518"/>
      <c r="X412" s="518"/>
      <c r="Y412" s="518"/>
      <c r="Z412" s="518"/>
      <c r="AA412" s="518"/>
      <c r="AB412" s="518"/>
      <c r="AC412" s="518"/>
      <c r="AD412" s="518"/>
      <c r="AE412" s="518"/>
      <c r="AF412" s="518"/>
      <c r="AG412" s="518"/>
      <c r="AH412" s="518"/>
      <c r="AI412" s="518"/>
      <c r="AJ412" s="518"/>
      <c r="AK412" s="518"/>
      <c r="AL412" s="518"/>
      <c r="AM412" s="518"/>
      <c r="AN412" s="518"/>
      <c r="AO412" s="518"/>
      <c r="AP412" s="518"/>
      <c r="AQ412" s="518"/>
      <c r="AR412" s="518"/>
      <c r="AS412" s="518"/>
      <c r="AT412" s="518"/>
      <c r="AU412" s="518"/>
      <c r="AV412" s="518"/>
      <c r="AW412" s="990">
        <v>27</v>
      </c>
      <c r="AX412" s="916">
        <v>0.05</v>
      </c>
      <c r="AY412" s="925">
        <f t="shared" si="49"/>
        <v>28.35</v>
      </c>
      <c r="AZ412" s="518"/>
      <c r="BA412" s="518"/>
      <c r="BB412" s="518"/>
      <c r="BC412" s="518"/>
      <c r="BD412" s="518"/>
      <c r="BE412" s="518"/>
      <c r="BF412" s="518"/>
      <c r="BG412" s="518"/>
      <c r="BH412" s="1084">
        <f t="shared" si="52"/>
        <v>29.400000000000002</v>
      </c>
    </row>
    <row r="413" spans="2:60" s="113" customFormat="1" hidden="1">
      <c r="B413" s="127"/>
      <c r="C413" s="934"/>
      <c r="D413" s="934" t="str">
        <f t="shared" si="51"/>
        <v>P/E Proximity Energetic - VTE18-4N4240 (Barrel 18mm)PE Cable - Custom</v>
      </c>
      <c r="E413" s="428" t="str">
        <f t="shared" si="53"/>
        <v>P/E Proximity Energetic - VTE18-4N4240 (Barrel 18mm)</v>
      </c>
      <c r="F413" s="100" t="s">
        <v>72</v>
      </c>
      <c r="G413" s="377" t="s">
        <v>579</v>
      </c>
      <c r="H413" s="377" t="s">
        <v>579</v>
      </c>
      <c r="I413" s="402" t="s">
        <v>69</v>
      </c>
      <c r="J413" s="131"/>
      <c r="K413" s="201"/>
      <c r="L413" s="519"/>
      <c r="M413" s="519"/>
      <c r="N413" s="518"/>
      <c r="O413" s="518"/>
      <c r="P413" s="518"/>
      <c r="Q413" s="518"/>
      <c r="R413" s="518"/>
      <c r="S413" s="518"/>
      <c r="T413" s="518"/>
      <c r="U413" s="518"/>
      <c r="V413" s="518"/>
      <c r="W413" s="518"/>
      <c r="X413" s="518"/>
      <c r="Y413" s="518"/>
      <c r="Z413" s="518"/>
      <c r="AA413" s="518"/>
      <c r="AB413" s="518"/>
      <c r="AC413" s="518"/>
      <c r="AD413" s="518"/>
      <c r="AE413" s="518"/>
      <c r="AF413" s="518"/>
      <c r="AG413" s="518"/>
      <c r="AH413" s="518"/>
      <c r="AI413" s="518"/>
      <c r="AJ413" s="518"/>
      <c r="AK413" s="518"/>
      <c r="AL413" s="518"/>
      <c r="AM413" s="518"/>
      <c r="AN413" s="518"/>
      <c r="AO413" s="518"/>
      <c r="AP413" s="518"/>
      <c r="AQ413" s="518"/>
      <c r="AR413" s="518"/>
      <c r="AS413" s="518"/>
      <c r="AT413" s="518"/>
      <c r="AU413" s="518"/>
      <c r="AV413" s="518"/>
      <c r="AW413" s="990" t="s">
        <v>69</v>
      </c>
      <c r="AX413" s="916">
        <v>0.05</v>
      </c>
      <c r="AY413" s="925" t="e">
        <f t="shared" si="49"/>
        <v>#VALUE!</v>
      </c>
      <c r="AZ413" s="518"/>
      <c r="BA413" s="518"/>
      <c r="BB413" s="518"/>
      <c r="BC413" s="518"/>
      <c r="BD413" s="518"/>
      <c r="BE413" s="518"/>
      <c r="BF413" s="518"/>
      <c r="BG413" s="518"/>
      <c r="BH413" s="1084" t="e">
        <f t="shared" si="52"/>
        <v>#VALUE!</v>
      </c>
    </row>
    <row r="414" spans="2:60" s="113" customFormat="1" hidden="1">
      <c r="B414" s="127"/>
      <c r="C414" s="133"/>
      <c r="D414" s="133"/>
      <c r="E414" s="133"/>
      <c r="F414" s="133"/>
      <c r="G414" s="133"/>
      <c r="H414" s="133"/>
      <c r="I414" s="337"/>
      <c r="J414" s="131"/>
      <c r="K414" s="201"/>
      <c r="L414" s="519"/>
      <c r="M414" s="519"/>
      <c r="N414" s="518"/>
      <c r="O414" s="518"/>
      <c r="P414" s="518"/>
      <c r="Q414" s="518"/>
      <c r="R414" s="518"/>
      <c r="S414" s="518"/>
      <c r="T414" s="518"/>
      <c r="U414" s="518"/>
      <c r="V414" s="518"/>
      <c r="W414" s="518"/>
      <c r="X414" s="518"/>
      <c r="Y414" s="518"/>
      <c r="Z414" s="518"/>
      <c r="AA414" s="518"/>
      <c r="AB414" s="518"/>
      <c r="AC414" s="518"/>
      <c r="AD414" s="518"/>
      <c r="AE414" s="518"/>
      <c r="AF414" s="518"/>
      <c r="AG414" s="518"/>
      <c r="AH414" s="518"/>
      <c r="AI414" s="518"/>
      <c r="AJ414" s="518"/>
      <c r="AK414" s="518"/>
      <c r="AL414" s="518"/>
      <c r="AM414" s="518"/>
      <c r="AN414" s="518"/>
      <c r="AO414" s="518"/>
      <c r="AP414" s="518"/>
      <c r="AQ414" s="518"/>
      <c r="AR414" s="518"/>
      <c r="AS414" s="518"/>
      <c r="AT414" s="518"/>
      <c r="AU414" s="518"/>
      <c r="AV414" s="518"/>
      <c r="AW414" s="518"/>
      <c r="AX414" s="518"/>
      <c r="AY414" s="519"/>
      <c r="AZ414" s="519"/>
      <c r="BA414" s="519"/>
      <c r="BB414" s="519"/>
      <c r="BC414" s="519"/>
      <c r="BD414" s="519"/>
      <c r="BE414" s="519"/>
      <c r="BF414" s="519"/>
      <c r="BG414" s="519"/>
      <c r="BH414" s="1074"/>
    </row>
    <row r="415" spans="2:60" s="113" customFormat="1" hidden="1">
      <c r="B415" s="127"/>
      <c r="C415" s="133"/>
      <c r="D415" s="133"/>
      <c r="E415" s="133"/>
      <c r="F415" s="133"/>
      <c r="G415" s="133"/>
      <c r="H415" s="133"/>
      <c r="I415" s="337"/>
      <c r="J415" s="131"/>
      <c r="K415" s="201"/>
      <c r="L415" s="519"/>
      <c r="M415" s="519"/>
      <c r="N415" s="518"/>
      <c r="O415" s="518"/>
      <c r="P415" s="518"/>
      <c r="Q415" s="518"/>
      <c r="R415" s="518"/>
      <c r="S415" s="518"/>
      <c r="T415" s="518"/>
      <c r="U415" s="518"/>
      <c r="V415" s="518"/>
      <c r="W415" s="518"/>
      <c r="X415" s="518"/>
      <c r="Y415" s="518"/>
      <c r="Z415" s="518"/>
      <c r="AA415" s="518"/>
      <c r="AB415" s="518"/>
      <c r="AC415" s="518"/>
      <c r="AD415" s="518"/>
      <c r="AE415" s="518"/>
      <c r="AF415" s="518"/>
      <c r="AG415" s="518"/>
      <c r="AH415" s="518"/>
      <c r="AI415" s="518"/>
      <c r="AJ415" s="518"/>
      <c r="AK415" s="518"/>
      <c r="AL415" s="518"/>
      <c r="AM415" s="518"/>
      <c r="AN415" s="518"/>
      <c r="AO415" s="518"/>
      <c r="AP415" s="518"/>
      <c r="AQ415" s="518"/>
      <c r="AR415" s="518"/>
      <c r="AS415" s="518"/>
      <c r="AT415" s="518"/>
      <c r="AU415" s="518"/>
      <c r="AV415" s="518"/>
      <c r="AW415" s="518"/>
      <c r="AX415" s="518"/>
      <c r="AY415" s="519"/>
      <c r="AZ415" s="519"/>
      <c r="BA415" s="519"/>
      <c r="BB415" s="519"/>
      <c r="BC415" s="519"/>
      <c r="BD415" s="519"/>
      <c r="BE415" s="519"/>
      <c r="BF415" s="519"/>
      <c r="BG415" s="519"/>
    </row>
    <row r="416" spans="2:60" s="113" customFormat="1" hidden="1">
      <c r="B416" s="127"/>
      <c r="C416" s="133"/>
      <c r="D416" s="133"/>
      <c r="E416" s="133"/>
      <c r="F416" s="133"/>
      <c r="G416" s="133"/>
      <c r="H416" s="133"/>
      <c r="I416" s="337"/>
      <c r="J416" s="131"/>
      <c r="K416" s="201"/>
      <c r="L416" s="519"/>
      <c r="M416" s="519"/>
      <c r="N416" s="518"/>
      <c r="O416" s="518"/>
      <c r="P416" s="518"/>
      <c r="Q416" s="518"/>
      <c r="R416" s="518"/>
      <c r="S416" s="518"/>
      <c r="T416" s="518"/>
      <c r="U416" s="518"/>
      <c r="V416" s="518"/>
      <c r="W416" s="518"/>
      <c r="X416" s="518"/>
      <c r="Y416" s="518"/>
      <c r="Z416" s="518"/>
      <c r="AA416" s="518"/>
      <c r="AB416" s="518"/>
      <c r="AC416" s="518"/>
      <c r="AD416" s="518"/>
      <c r="AE416" s="518"/>
      <c r="AF416" s="518"/>
      <c r="AG416" s="518"/>
      <c r="AH416" s="518"/>
      <c r="AI416" s="518"/>
      <c r="AJ416" s="518"/>
      <c r="AK416" s="518"/>
      <c r="AL416" s="518"/>
      <c r="AM416" s="518"/>
      <c r="AN416" s="518"/>
      <c r="AO416" s="518"/>
      <c r="AP416" s="518"/>
      <c r="AQ416" s="518"/>
      <c r="AR416" s="518"/>
      <c r="AS416" s="518"/>
      <c r="AT416" s="518"/>
      <c r="AU416" s="518"/>
      <c r="AV416" s="518"/>
      <c r="AW416" s="518"/>
      <c r="AX416" s="518"/>
      <c r="AY416" s="519"/>
      <c r="AZ416" s="519"/>
      <c r="BA416" s="519"/>
      <c r="BB416" s="519"/>
      <c r="BC416" s="519"/>
      <c r="BD416" s="519"/>
      <c r="BE416" s="519"/>
      <c r="BF416" s="519"/>
      <c r="BG416" s="519"/>
    </row>
    <row r="417" spans="2:59" s="113" customFormat="1" hidden="1">
      <c r="B417" s="127"/>
      <c r="C417" s="133"/>
      <c r="D417" s="133"/>
      <c r="E417" s="133"/>
      <c r="F417" s="133"/>
      <c r="G417" s="133"/>
      <c r="H417" s="133"/>
      <c r="I417" s="337"/>
      <c r="J417" s="131"/>
      <c r="K417" s="201"/>
      <c r="L417" s="519"/>
      <c r="M417" s="519"/>
      <c r="N417" s="518"/>
      <c r="O417" s="518"/>
      <c r="P417" s="518"/>
      <c r="Q417" s="518"/>
      <c r="R417" s="518"/>
      <c r="S417" s="518"/>
      <c r="T417" s="518"/>
      <c r="U417" s="518"/>
      <c r="V417" s="518"/>
      <c r="W417" s="518"/>
      <c r="X417" s="518"/>
      <c r="Y417" s="518"/>
      <c r="Z417" s="518"/>
      <c r="AA417" s="518"/>
      <c r="AB417" s="518"/>
      <c r="AC417" s="518"/>
      <c r="AD417" s="518"/>
      <c r="AE417" s="518"/>
      <c r="AF417" s="518"/>
      <c r="AG417" s="518"/>
      <c r="AH417" s="518"/>
      <c r="AI417" s="518"/>
      <c r="AJ417" s="518"/>
      <c r="AK417" s="518"/>
      <c r="AL417" s="518"/>
      <c r="AM417" s="518"/>
      <c r="AN417" s="518"/>
      <c r="AO417" s="518"/>
      <c r="AP417" s="518"/>
      <c r="AQ417" s="518"/>
      <c r="AR417" s="518"/>
      <c r="AS417" s="518"/>
      <c r="AT417" s="518"/>
      <c r="AU417" s="518"/>
      <c r="AV417" s="518"/>
      <c r="AW417" s="518"/>
      <c r="AX417" s="518"/>
      <c r="AY417" s="519"/>
      <c r="AZ417" s="519"/>
      <c r="BA417" s="519"/>
      <c r="BB417" s="519"/>
      <c r="BC417" s="519"/>
      <c r="BD417" s="519"/>
      <c r="BE417" s="519"/>
      <c r="BF417" s="519"/>
      <c r="BG417" s="519"/>
    </row>
    <row r="418" spans="2:59" s="113" customFormat="1" hidden="1">
      <c r="B418" s="127"/>
      <c r="C418" s="133"/>
      <c r="D418" s="133"/>
      <c r="E418" s="133"/>
      <c r="F418" s="133"/>
      <c r="G418" s="133"/>
      <c r="H418" s="133"/>
      <c r="I418" s="337"/>
      <c r="J418" s="131"/>
      <c r="K418" s="201"/>
      <c r="L418" s="519"/>
      <c r="M418" s="519"/>
      <c r="N418" s="518"/>
      <c r="O418" s="518"/>
      <c r="P418" s="518"/>
      <c r="Q418" s="518"/>
      <c r="R418" s="518"/>
      <c r="S418" s="518"/>
      <c r="T418" s="518"/>
      <c r="U418" s="518"/>
      <c r="V418" s="518"/>
      <c r="W418" s="518"/>
      <c r="X418" s="518"/>
      <c r="Y418" s="518"/>
      <c r="Z418" s="518"/>
      <c r="AA418" s="518"/>
      <c r="AB418" s="518"/>
      <c r="AC418" s="518"/>
      <c r="AD418" s="518"/>
      <c r="AE418" s="518"/>
      <c r="AF418" s="518"/>
      <c r="AG418" s="518"/>
      <c r="AH418" s="518"/>
      <c r="AI418" s="518"/>
      <c r="AJ418" s="518"/>
      <c r="AK418" s="518"/>
      <c r="AL418" s="518"/>
      <c r="AM418" s="518"/>
      <c r="AN418" s="518"/>
      <c r="AO418" s="518"/>
      <c r="AP418" s="518"/>
      <c r="AQ418" s="518"/>
      <c r="AR418" s="518"/>
      <c r="AS418" s="518"/>
      <c r="AT418" s="518"/>
      <c r="AU418" s="518"/>
      <c r="AV418" s="518"/>
      <c r="AW418" s="518"/>
      <c r="AX418" s="518"/>
      <c r="AY418" s="519"/>
      <c r="AZ418" s="519"/>
      <c r="BA418" s="519"/>
      <c r="BB418" s="519"/>
      <c r="BC418" s="519"/>
      <c r="BD418" s="519"/>
      <c r="BE418" s="519"/>
      <c r="BF418" s="519"/>
      <c r="BG418" s="519"/>
    </row>
    <row r="419" spans="2:59" s="113" customFormat="1" hidden="1">
      <c r="B419" s="127"/>
      <c r="C419" s="133"/>
      <c r="D419" s="133"/>
      <c r="E419" s="133"/>
      <c r="F419" s="133"/>
      <c r="G419" s="133"/>
      <c r="H419" s="133"/>
      <c r="I419" s="337"/>
      <c r="J419" s="131"/>
      <c r="K419" s="201"/>
      <c r="L419" s="519"/>
      <c r="M419" s="519"/>
      <c r="N419" s="518"/>
      <c r="O419" s="518"/>
      <c r="P419" s="518"/>
      <c r="Q419" s="518"/>
      <c r="R419" s="518"/>
      <c r="S419" s="518"/>
      <c r="T419" s="518"/>
      <c r="U419" s="518"/>
      <c r="V419" s="518"/>
      <c r="W419" s="518"/>
      <c r="X419" s="518"/>
      <c r="Y419" s="518"/>
      <c r="Z419" s="518"/>
      <c r="AA419" s="518"/>
      <c r="AB419" s="518"/>
      <c r="AC419" s="518"/>
      <c r="AD419" s="518"/>
      <c r="AE419" s="518"/>
      <c r="AF419" s="518"/>
      <c r="AG419" s="518"/>
      <c r="AH419" s="518"/>
      <c r="AI419" s="518"/>
      <c r="AJ419" s="518"/>
      <c r="AK419" s="518"/>
      <c r="AL419" s="518"/>
      <c r="AM419" s="518"/>
      <c r="AN419" s="518"/>
      <c r="AO419" s="518"/>
      <c r="AP419" s="518"/>
      <c r="AQ419" s="518"/>
      <c r="AR419" s="518"/>
      <c r="AS419" s="518"/>
      <c r="AT419" s="518"/>
      <c r="AU419" s="518"/>
      <c r="AV419" s="518"/>
      <c r="AW419" s="518"/>
      <c r="AX419" s="518"/>
      <c r="AY419" s="519"/>
      <c r="AZ419" s="519"/>
      <c r="BA419" s="519"/>
      <c r="BB419" s="519"/>
      <c r="BC419" s="519"/>
      <c r="BD419" s="519"/>
      <c r="BE419" s="519"/>
      <c r="BF419" s="519"/>
      <c r="BG419" s="519"/>
    </row>
    <row r="420" spans="2:59" s="113" customFormat="1" hidden="1">
      <c r="B420" s="127"/>
      <c r="C420" s="133"/>
      <c r="D420" s="133"/>
      <c r="E420" s="133"/>
      <c r="F420" s="133"/>
      <c r="G420" s="133"/>
      <c r="H420" s="133"/>
      <c r="I420" s="337"/>
      <c r="J420" s="131"/>
      <c r="K420" s="201"/>
      <c r="L420" s="519"/>
      <c r="M420" s="519"/>
      <c r="N420" s="518"/>
      <c r="O420" s="518"/>
      <c r="P420" s="518"/>
      <c r="Q420" s="518"/>
      <c r="R420" s="518"/>
      <c r="S420" s="518"/>
      <c r="T420" s="518"/>
      <c r="U420" s="518"/>
      <c r="V420" s="518"/>
      <c r="W420" s="518"/>
      <c r="X420" s="518"/>
      <c r="Y420" s="518"/>
      <c r="Z420" s="518"/>
      <c r="AA420" s="518"/>
      <c r="AB420" s="518"/>
      <c r="AC420" s="518"/>
      <c r="AD420" s="518"/>
      <c r="AE420" s="518"/>
      <c r="AF420" s="518"/>
      <c r="AG420" s="518"/>
      <c r="AH420" s="518"/>
      <c r="AI420" s="518"/>
      <c r="AJ420" s="518"/>
      <c r="AK420" s="518"/>
      <c r="AL420" s="518"/>
      <c r="AM420" s="518"/>
      <c r="AN420" s="518"/>
      <c r="AO420" s="518"/>
      <c r="AP420" s="518"/>
      <c r="AQ420" s="518"/>
      <c r="AR420" s="518"/>
      <c r="AS420" s="518"/>
      <c r="AT420" s="518"/>
      <c r="AU420" s="518"/>
      <c r="AV420" s="518"/>
      <c r="AW420" s="518"/>
      <c r="AX420" s="518"/>
      <c r="AY420" s="519"/>
      <c r="AZ420" s="519"/>
      <c r="BA420" s="519"/>
      <c r="BB420" s="519"/>
      <c r="BC420" s="519"/>
      <c r="BD420" s="519"/>
      <c r="BE420" s="519"/>
      <c r="BF420" s="519"/>
      <c r="BG420" s="519"/>
    </row>
    <row r="421" spans="2:59" s="113" customFormat="1" hidden="1">
      <c r="B421" s="127"/>
      <c r="C421" s="133"/>
      <c r="D421" s="133"/>
      <c r="E421" s="133"/>
      <c r="F421" s="133"/>
      <c r="G421" s="133"/>
      <c r="H421" s="133"/>
      <c r="I421" s="337"/>
      <c r="J421" s="131"/>
      <c r="K421" s="201"/>
      <c r="L421" s="519"/>
      <c r="M421" s="519"/>
      <c r="N421" s="518"/>
      <c r="O421" s="518"/>
      <c r="P421" s="518"/>
      <c r="Q421" s="518"/>
      <c r="R421" s="518"/>
      <c r="S421" s="518"/>
      <c r="T421" s="518"/>
      <c r="U421" s="518"/>
      <c r="V421" s="518"/>
      <c r="W421" s="518"/>
      <c r="X421" s="518"/>
      <c r="Y421" s="518"/>
      <c r="Z421" s="518"/>
      <c r="AA421" s="518"/>
      <c r="AB421" s="518"/>
      <c r="AC421" s="518"/>
      <c r="AD421" s="518"/>
      <c r="AE421" s="518"/>
      <c r="AF421" s="518"/>
      <c r="AG421" s="518"/>
      <c r="AH421" s="518"/>
      <c r="AI421" s="518"/>
      <c r="AJ421" s="518"/>
      <c r="AK421" s="518"/>
      <c r="AL421" s="518"/>
      <c r="AM421" s="518"/>
      <c r="AN421" s="518"/>
      <c r="AO421" s="518"/>
      <c r="AP421" s="518"/>
      <c r="AQ421" s="518"/>
      <c r="AR421" s="518"/>
      <c r="AS421" s="518"/>
      <c r="AT421" s="518"/>
      <c r="AU421" s="518"/>
      <c r="AV421" s="518"/>
      <c r="AW421" s="518"/>
      <c r="AX421" s="518"/>
      <c r="AY421" s="519"/>
      <c r="AZ421" s="519"/>
      <c r="BA421" s="519"/>
      <c r="BB421" s="519"/>
      <c r="BC421" s="519"/>
      <c r="BD421" s="519"/>
      <c r="BE421" s="519"/>
      <c r="BF421" s="519"/>
      <c r="BG421" s="519"/>
    </row>
    <row r="422" spans="2:59" s="113" customFormat="1" hidden="1">
      <c r="B422" s="127"/>
      <c r="C422" s="133"/>
      <c r="D422" s="133"/>
      <c r="E422" s="133"/>
      <c r="F422" s="133"/>
      <c r="G422" s="133"/>
      <c r="H422" s="133"/>
      <c r="I422" s="337"/>
      <c r="J422" s="131"/>
      <c r="K422" s="201"/>
      <c r="L422" s="519"/>
      <c r="M422" s="519"/>
      <c r="N422" s="518"/>
      <c r="O422" s="518"/>
      <c r="P422" s="518"/>
      <c r="Q422" s="518"/>
      <c r="R422" s="518"/>
      <c r="S422" s="518"/>
      <c r="T422" s="518"/>
      <c r="U422" s="518"/>
      <c r="V422" s="518"/>
      <c r="W422" s="518"/>
      <c r="X422" s="518"/>
      <c r="Y422" s="518"/>
      <c r="Z422" s="518"/>
      <c r="AA422" s="518"/>
      <c r="AB422" s="518"/>
      <c r="AC422" s="518"/>
      <c r="AD422" s="518"/>
      <c r="AE422" s="518"/>
      <c r="AF422" s="518"/>
      <c r="AG422" s="518"/>
      <c r="AH422" s="518"/>
      <c r="AI422" s="518"/>
      <c r="AJ422" s="518"/>
      <c r="AK422" s="518"/>
      <c r="AL422" s="518"/>
      <c r="AM422" s="518"/>
      <c r="AN422" s="518"/>
      <c r="AO422" s="518"/>
      <c r="AP422" s="518"/>
      <c r="AQ422" s="518"/>
      <c r="AR422" s="518"/>
      <c r="AS422" s="518"/>
      <c r="AT422" s="518"/>
      <c r="AU422" s="518"/>
      <c r="AV422" s="518"/>
      <c r="AW422" s="518"/>
      <c r="AX422" s="518"/>
      <c r="AY422" s="519"/>
      <c r="AZ422" s="519"/>
      <c r="BA422" s="519"/>
      <c r="BB422" s="519"/>
      <c r="BC422" s="519"/>
      <c r="BD422" s="519"/>
      <c r="BE422" s="519"/>
      <c r="BF422" s="519"/>
      <c r="BG422" s="519"/>
    </row>
    <row r="423" spans="2:59" s="113" customFormat="1" hidden="1">
      <c r="B423" s="127"/>
      <c r="C423" s="133"/>
      <c r="D423" s="133"/>
      <c r="E423" s="115"/>
      <c r="F423" s="109"/>
      <c r="G423" s="28"/>
      <c r="H423" s="109"/>
      <c r="I423" s="335"/>
      <c r="J423" s="131"/>
      <c r="K423" s="201"/>
      <c r="L423" s="519"/>
      <c r="M423" s="519"/>
      <c r="N423" s="518"/>
      <c r="O423" s="518"/>
      <c r="P423" s="518"/>
      <c r="Q423" s="518"/>
      <c r="R423" s="518"/>
      <c r="S423" s="518"/>
      <c r="T423" s="518"/>
      <c r="U423" s="518"/>
      <c r="V423" s="518"/>
      <c r="W423" s="518"/>
      <c r="X423" s="518"/>
      <c r="Y423" s="518"/>
      <c r="Z423" s="518"/>
      <c r="AA423" s="518"/>
      <c r="AB423" s="518"/>
      <c r="AC423" s="518"/>
      <c r="AD423" s="518"/>
      <c r="AE423" s="518"/>
      <c r="AF423" s="518"/>
      <c r="AG423" s="518"/>
      <c r="AH423" s="518"/>
      <c r="AI423" s="518"/>
      <c r="AJ423" s="518"/>
      <c r="AK423" s="518"/>
      <c r="AL423" s="518"/>
      <c r="AM423" s="518"/>
      <c r="AN423" s="518"/>
      <c r="AO423" s="518"/>
      <c r="AP423" s="518"/>
      <c r="AQ423" s="518"/>
      <c r="AR423" s="518"/>
      <c r="AS423" s="518"/>
      <c r="AT423" s="518"/>
      <c r="AU423" s="518"/>
      <c r="AV423" s="518"/>
      <c r="AW423" s="518"/>
      <c r="AX423" s="518"/>
      <c r="AY423" s="519"/>
      <c r="AZ423" s="519"/>
      <c r="BA423" s="519"/>
      <c r="BB423" s="519"/>
      <c r="BC423" s="519"/>
      <c r="BD423" s="519"/>
      <c r="BE423" s="519"/>
      <c r="BF423" s="519"/>
      <c r="BG423" s="519"/>
    </row>
    <row r="424" spans="2:59" s="113" customFormat="1" hidden="1">
      <c r="B424" s="127"/>
      <c r="C424" s="115"/>
      <c r="D424" s="115"/>
      <c r="E424" s="115"/>
      <c r="F424" s="109"/>
      <c r="G424" s="28"/>
      <c r="H424" s="109"/>
      <c r="I424" s="335"/>
      <c r="J424" s="131"/>
      <c r="K424" s="201"/>
      <c r="L424" s="519"/>
      <c r="M424" s="519"/>
      <c r="N424" s="518"/>
      <c r="O424" s="518"/>
      <c r="P424" s="518"/>
      <c r="Q424" s="518"/>
      <c r="R424" s="518"/>
      <c r="S424" s="518"/>
      <c r="T424" s="518"/>
      <c r="U424" s="518"/>
      <c r="V424" s="518"/>
      <c r="W424" s="518"/>
      <c r="X424" s="518"/>
      <c r="Y424" s="518"/>
      <c r="Z424" s="518"/>
      <c r="AA424" s="518"/>
      <c r="AB424" s="518"/>
      <c r="AC424" s="518"/>
      <c r="AD424" s="518"/>
      <c r="AE424" s="518"/>
      <c r="AF424" s="518"/>
      <c r="AG424" s="518"/>
      <c r="AH424" s="518"/>
      <c r="AI424" s="518"/>
      <c r="AJ424" s="518"/>
      <c r="AK424" s="518"/>
      <c r="AL424" s="518"/>
      <c r="AM424" s="518"/>
      <c r="AN424" s="518"/>
      <c r="AO424" s="518"/>
      <c r="AP424" s="518"/>
      <c r="AQ424" s="518"/>
      <c r="AR424" s="518"/>
      <c r="AS424" s="518"/>
      <c r="AT424" s="518"/>
      <c r="AU424" s="518"/>
      <c r="AV424" s="518"/>
      <c r="AW424" s="518"/>
      <c r="AX424" s="518"/>
      <c r="AY424" s="519"/>
      <c r="AZ424" s="519"/>
      <c r="BA424" s="519"/>
      <c r="BB424" s="519"/>
      <c r="BC424" s="519"/>
      <c r="BD424" s="519"/>
      <c r="BE424" s="519"/>
      <c r="BF424" s="519"/>
      <c r="BG424" s="519"/>
    </row>
    <row r="425" spans="2:59" hidden="1">
      <c r="B425" s="127"/>
      <c r="C425" s="115"/>
      <c r="D425" s="115"/>
      <c r="E425" s="115"/>
      <c r="F425" s="109"/>
      <c r="G425" s="28"/>
      <c r="H425" s="109"/>
      <c r="I425" s="335"/>
      <c r="J425" s="131"/>
    </row>
    <row r="426" spans="2:59" s="113" customFormat="1" hidden="1">
      <c r="B426" s="127"/>
      <c r="C426" s="132"/>
      <c r="D426" s="132" t="s">
        <v>44</v>
      </c>
      <c r="E426" s="115"/>
      <c r="F426" s="115" t="s">
        <v>1130</v>
      </c>
      <c r="G426" s="196">
        <v>1</v>
      </c>
      <c r="H426" s="196"/>
      <c r="I426" s="422">
        <v>650</v>
      </c>
      <c r="J426" s="131"/>
      <c r="K426" s="201"/>
      <c r="L426" s="519"/>
      <c r="M426" s="519"/>
      <c r="N426" s="518"/>
      <c r="O426" s="518"/>
      <c r="P426" s="518"/>
      <c r="Q426" s="518"/>
      <c r="R426" s="518"/>
      <c r="S426" s="518"/>
      <c r="T426" s="518"/>
      <c r="U426" s="518"/>
      <c r="V426" s="518"/>
      <c r="W426" s="518"/>
      <c r="X426" s="518"/>
      <c r="Y426" s="518"/>
      <c r="Z426" s="518"/>
      <c r="AA426" s="518"/>
      <c r="AB426" s="518"/>
      <c r="AC426" s="518"/>
      <c r="AD426" s="518"/>
      <c r="AE426" s="518"/>
      <c r="AF426" s="518"/>
      <c r="AG426" s="518"/>
      <c r="AH426" s="518"/>
      <c r="AI426" s="518"/>
      <c r="AJ426" s="518"/>
      <c r="AK426" s="518"/>
      <c r="AL426" s="518"/>
      <c r="AM426" s="518"/>
      <c r="AN426" s="518"/>
      <c r="AO426" s="518"/>
      <c r="AP426" s="518"/>
      <c r="AQ426" s="518"/>
      <c r="AR426" s="518"/>
      <c r="AS426" s="518"/>
      <c r="AT426" s="518"/>
      <c r="AU426" s="518"/>
      <c r="AV426" s="518"/>
      <c r="AW426" s="518"/>
      <c r="AX426" s="518"/>
      <c r="AY426" s="519"/>
      <c r="AZ426" s="519"/>
      <c r="BA426" s="519"/>
      <c r="BB426" s="519"/>
      <c r="BC426" s="519"/>
      <c r="BD426" s="519"/>
      <c r="BE426" s="519"/>
      <c r="BF426" s="519"/>
      <c r="BG426" s="519"/>
    </row>
    <row r="427" spans="2:59" s="113" customFormat="1" hidden="1">
      <c r="B427" s="127"/>
      <c r="C427" s="115"/>
      <c r="D427" s="115"/>
      <c r="E427" s="133" t="s">
        <v>62</v>
      </c>
      <c r="F427" s="196" t="s">
        <v>1131</v>
      </c>
      <c r="G427" s="888">
        <v>1</v>
      </c>
      <c r="H427" s="98"/>
      <c r="I427" s="422">
        <v>950</v>
      </c>
      <c r="J427" s="131"/>
      <c r="K427" s="201"/>
      <c r="L427" s="519"/>
      <c r="M427" s="519"/>
      <c r="N427" s="518"/>
      <c r="O427" s="518"/>
      <c r="P427" s="518"/>
      <c r="Q427" s="518"/>
      <c r="R427" s="518"/>
      <c r="S427" s="518"/>
      <c r="T427" s="518"/>
      <c r="U427" s="518"/>
      <c r="V427" s="518"/>
      <c r="W427" s="518"/>
      <c r="X427" s="518"/>
      <c r="Y427" s="518"/>
      <c r="Z427" s="518"/>
      <c r="AA427" s="518"/>
      <c r="AB427" s="518"/>
      <c r="AC427" s="518"/>
      <c r="AD427" s="518"/>
      <c r="AE427" s="518"/>
      <c r="AF427" s="518"/>
      <c r="AG427" s="518"/>
      <c r="AH427" s="518"/>
      <c r="AI427" s="518"/>
      <c r="AJ427" s="518"/>
      <c r="AK427" s="518"/>
      <c r="AL427" s="518"/>
      <c r="AM427" s="518"/>
      <c r="AN427" s="518"/>
      <c r="AO427" s="518"/>
      <c r="AP427" s="518"/>
      <c r="AQ427" s="518"/>
      <c r="AR427" s="518"/>
      <c r="AS427" s="518"/>
      <c r="AT427" s="518"/>
      <c r="AU427" s="518"/>
      <c r="AV427" s="518"/>
      <c r="AW427" s="518"/>
      <c r="AX427" s="518"/>
      <c r="AY427" s="519"/>
      <c r="AZ427" s="519"/>
      <c r="BA427" s="519"/>
      <c r="BB427" s="519"/>
      <c r="BC427" s="519"/>
      <c r="BD427" s="519"/>
      <c r="BE427" s="519"/>
      <c r="BF427" s="519"/>
      <c r="BG427" s="519"/>
    </row>
    <row r="428" spans="2:59" s="113" customFormat="1" hidden="1">
      <c r="B428" s="127"/>
      <c r="C428" s="115"/>
      <c r="D428" s="115"/>
      <c r="E428" s="133"/>
      <c r="F428" s="196"/>
      <c r="G428" s="888">
        <v>1</v>
      </c>
      <c r="H428" s="3">
        <v>2</v>
      </c>
      <c r="I428" s="422">
        <v>950</v>
      </c>
      <c r="J428" s="131"/>
      <c r="K428" s="201"/>
      <c r="L428" s="519"/>
      <c r="M428" s="519"/>
      <c r="N428" s="518"/>
      <c r="O428" s="518"/>
      <c r="P428" s="518"/>
      <c r="Q428" s="518"/>
      <c r="R428" s="518"/>
      <c r="S428" s="518"/>
      <c r="T428" s="518"/>
      <c r="U428" s="518"/>
      <c r="V428" s="518"/>
      <c r="W428" s="518"/>
      <c r="X428" s="518"/>
      <c r="Y428" s="518"/>
      <c r="Z428" s="518"/>
      <c r="AA428" s="518"/>
      <c r="AB428" s="518"/>
      <c r="AC428" s="518"/>
      <c r="AD428" s="518"/>
      <c r="AE428" s="518"/>
      <c r="AF428" s="518"/>
      <c r="AG428" s="518"/>
      <c r="AH428" s="518"/>
      <c r="AI428" s="518"/>
      <c r="AJ428" s="518"/>
      <c r="AK428" s="518"/>
      <c r="AL428" s="518"/>
      <c r="AM428" s="518"/>
      <c r="AN428" s="518"/>
      <c r="AO428" s="518"/>
      <c r="AP428" s="518"/>
      <c r="AQ428" s="518"/>
      <c r="AR428" s="518"/>
      <c r="AS428" s="518"/>
      <c r="AT428" s="518"/>
      <c r="AU428" s="518"/>
      <c r="AV428" s="518"/>
      <c r="AW428" s="518"/>
      <c r="AX428" s="518"/>
      <c r="AY428" s="519"/>
      <c r="AZ428" s="519"/>
      <c r="BA428" s="519"/>
      <c r="BB428" s="519"/>
      <c r="BC428" s="519"/>
      <c r="BD428" s="519"/>
      <c r="BE428" s="519"/>
      <c r="BF428" s="519"/>
      <c r="BG428" s="519"/>
    </row>
    <row r="429" spans="2:59" s="113" customFormat="1" hidden="1">
      <c r="B429" s="127"/>
      <c r="C429" s="115"/>
      <c r="D429" s="115"/>
      <c r="E429" s="133"/>
      <c r="F429" s="133"/>
      <c r="G429" s="888">
        <v>2</v>
      </c>
      <c r="H429" s="3">
        <v>4</v>
      </c>
      <c r="I429" s="422">
        <f>I428*G429</f>
        <v>1900</v>
      </c>
      <c r="J429" s="131"/>
      <c r="K429" s="201"/>
      <c r="L429" s="519"/>
      <c r="M429" s="519"/>
      <c r="N429" s="518"/>
      <c r="O429" s="518"/>
      <c r="P429" s="518"/>
      <c r="Q429" s="518"/>
      <c r="R429" s="518"/>
      <c r="S429" s="518"/>
      <c r="T429" s="518"/>
      <c r="U429" s="518"/>
      <c r="V429" s="518"/>
      <c r="W429" s="518"/>
      <c r="X429" s="518"/>
      <c r="Y429" s="518"/>
      <c r="Z429" s="518"/>
      <c r="AA429" s="518"/>
      <c r="AB429" s="518"/>
      <c r="AC429" s="518"/>
      <c r="AD429" s="518"/>
      <c r="AE429" s="518"/>
      <c r="AF429" s="518"/>
      <c r="AG429" s="518"/>
      <c r="AH429" s="518"/>
      <c r="AI429" s="518"/>
      <c r="AJ429" s="518"/>
      <c r="AK429" s="518"/>
      <c r="AL429" s="518"/>
      <c r="AM429" s="518"/>
      <c r="AN429" s="518"/>
      <c r="AO429" s="518"/>
      <c r="AP429" s="518"/>
      <c r="AQ429" s="518"/>
      <c r="AR429" s="518"/>
      <c r="AS429" s="518"/>
      <c r="AT429" s="518"/>
      <c r="AU429" s="518"/>
      <c r="AV429" s="518"/>
      <c r="AW429" s="518"/>
      <c r="AX429" s="518"/>
      <c r="AY429" s="519"/>
      <c r="AZ429" s="519"/>
      <c r="BA429" s="519"/>
      <c r="BB429" s="519"/>
      <c r="BC429" s="519"/>
      <c r="BD429" s="519"/>
      <c r="BE429" s="519"/>
      <c r="BF429" s="519"/>
      <c r="BG429" s="519"/>
    </row>
    <row r="430" spans="2:59" s="113" customFormat="1" hidden="1">
      <c r="B430" s="127"/>
      <c r="C430" s="115"/>
      <c r="D430" s="115"/>
      <c r="E430" s="133"/>
      <c r="F430" s="133"/>
      <c r="G430" s="888">
        <v>3</v>
      </c>
      <c r="H430" s="3">
        <v>6</v>
      </c>
      <c r="I430" s="422">
        <f>I428*G430</f>
        <v>2850</v>
      </c>
      <c r="J430" s="131"/>
      <c r="K430" s="201"/>
      <c r="L430" s="519"/>
      <c r="M430" s="519"/>
      <c r="N430" s="518"/>
      <c r="O430" s="518"/>
      <c r="P430" s="518"/>
      <c r="Q430" s="518"/>
      <c r="R430" s="518"/>
      <c r="S430" s="518"/>
      <c r="T430" s="518"/>
      <c r="U430" s="518"/>
      <c r="V430" s="518"/>
      <c r="W430" s="518"/>
      <c r="X430" s="518"/>
      <c r="Y430" s="518"/>
      <c r="Z430" s="518"/>
      <c r="AA430" s="518"/>
      <c r="AB430" s="518"/>
      <c r="AC430" s="518"/>
      <c r="AD430" s="518"/>
      <c r="AE430" s="518"/>
      <c r="AF430" s="518"/>
      <c r="AG430" s="518"/>
      <c r="AH430" s="518"/>
      <c r="AI430" s="518"/>
      <c r="AJ430" s="518"/>
      <c r="AK430" s="518"/>
      <c r="AL430" s="518"/>
      <c r="AM430" s="518"/>
      <c r="AN430" s="518"/>
      <c r="AO430" s="518"/>
      <c r="AP430" s="518"/>
      <c r="AQ430" s="518"/>
      <c r="AR430" s="518"/>
      <c r="AS430" s="518"/>
      <c r="AT430" s="518"/>
      <c r="AU430" s="518"/>
      <c r="AV430" s="518"/>
      <c r="AW430" s="518"/>
      <c r="AX430" s="518"/>
      <c r="AY430" s="519"/>
      <c r="AZ430" s="519"/>
      <c r="BA430" s="519"/>
      <c r="BB430" s="519"/>
      <c r="BC430" s="519"/>
      <c r="BD430" s="519"/>
      <c r="BE430" s="519"/>
      <c r="BF430" s="519"/>
      <c r="BG430" s="519"/>
    </row>
    <row r="431" spans="2:59" s="113" customFormat="1" hidden="1">
      <c r="B431" s="127"/>
      <c r="C431" s="115"/>
      <c r="D431" s="115"/>
      <c r="E431" s="133"/>
      <c r="F431" s="133"/>
      <c r="G431" s="194">
        <v>4</v>
      </c>
      <c r="H431" s="195">
        <v>8</v>
      </c>
      <c r="I431" s="422">
        <f>$I$428*G431</f>
        <v>3800</v>
      </c>
      <c r="J431" s="131"/>
      <c r="K431" s="201"/>
      <c r="L431" s="519"/>
      <c r="M431" s="519"/>
      <c r="N431" s="518"/>
      <c r="O431" s="518"/>
      <c r="P431" s="518"/>
      <c r="Q431" s="518"/>
      <c r="R431" s="518"/>
      <c r="S431" s="518"/>
      <c r="T431" s="518"/>
      <c r="U431" s="518"/>
      <c r="V431" s="518"/>
      <c r="W431" s="518"/>
      <c r="X431" s="518"/>
      <c r="Y431" s="518"/>
      <c r="Z431" s="518"/>
      <c r="AA431" s="518"/>
      <c r="AB431" s="518"/>
      <c r="AC431" s="518"/>
      <c r="AD431" s="518"/>
      <c r="AE431" s="518"/>
      <c r="AF431" s="518"/>
      <c r="AG431" s="518"/>
      <c r="AH431" s="518"/>
      <c r="AI431" s="518"/>
      <c r="AJ431" s="518"/>
      <c r="AK431" s="518"/>
      <c r="AL431" s="518"/>
      <c r="AM431" s="518"/>
      <c r="AN431" s="518"/>
      <c r="AO431" s="518"/>
      <c r="AP431" s="518"/>
      <c r="AQ431" s="518"/>
      <c r="AR431" s="518"/>
      <c r="AS431" s="518"/>
      <c r="AT431" s="518"/>
      <c r="AU431" s="518"/>
      <c r="AV431" s="518"/>
      <c r="AW431" s="518"/>
      <c r="AX431" s="518"/>
      <c r="AY431" s="519"/>
      <c r="AZ431" s="519"/>
      <c r="BA431" s="519"/>
      <c r="BB431" s="519"/>
      <c r="BC431" s="519"/>
      <c r="BD431" s="519"/>
      <c r="BE431" s="519"/>
      <c r="BF431" s="519"/>
      <c r="BG431" s="519"/>
    </row>
    <row r="432" spans="2:59" s="113" customFormat="1" hidden="1">
      <c r="B432" s="127"/>
      <c r="C432" s="115"/>
      <c r="D432" s="115"/>
      <c r="E432" s="133"/>
      <c r="F432" s="133"/>
      <c r="G432" s="194">
        <v>5</v>
      </c>
      <c r="H432" s="195"/>
      <c r="I432" s="422">
        <f t="shared" ref="I432" si="54">$I$428*G432</f>
        <v>4750</v>
      </c>
      <c r="J432" s="131"/>
      <c r="K432" s="201"/>
      <c r="L432" s="519"/>
      <c r="M432" s="519"/>
      <c r="N432" s="518"/>
      <c r="O432" s="518"/>
      <c r="P432" s="518"/>
      <c r="Q432" s="518"/>
      <c r="R432" s="518"/>
      <c r="S432" s="518"/>
      <c r="T432" s="518"/>
      <c r="U432" s="518"/>
      <c r="V432" s="518"/>
      <c r="W432" s="518"/>
      <c r="X432" s="518"/>
      <c r="Y432" s="518"/>
      <c r="Z432" s="518"/>
      <c r="AA432" s="518"/>
      <c r="AB432" s="518"/>
      <c r="AC432" s="518"/>
      <c r="AD432" s="518"/>
      <c r="AE432" s="518"/>
      <c r="AF432" s="518"/>
      <c r="AG432" s="518"/>
      <c r="AH432" s="518"/>
      <c r="AI432" s="518"/>
      <c r="AJ432" s="518"/>
      <c r="AK432" s="518"/>
      <c r="AL432" s="518"/>
      <c r="AM432" s="518"/>
      <c r="AN432" s="518"/>
      <c r="AO432" s="518"/>
      <c r="AP432" s="518"/>
      <c r="AQ432" s="518"/>
      <c r="AR432" s="518"/>
      <c r="AS432" s="518"/>
      <c r="AT432" s="518"/>
      <c r="AU432" s="518"/>
      <c r="AV432" s="518"/>
      <c r="AW432" s="518"/>
      <c r="AX432" s="518"/>
      <c r="AY432" s="519"/>
      <c r="AZ432" s="519"/>
      <c r="BA432" s="519"/>
      <c r="BB432" s="519"/>
      <c r="BC432" s="519"/>
      <c r="BD432" s="519"/>
      <c r="BE432" s="519"/>
      <c r="BF432" s="519"/>
      <c r="BG432" s="519"/>
    </row>
    <row r="433" spans="2:59" s="113" customFormat="1" hidden="1">
      <c r="B433" s="127"/>
      <c r="C433" s="115"/>
      <c r="D433" s="115"/>
      <c r="E433" s="133"/>
      <c r="F433" s="196" t="s">
        <v>105</v>
      </c>
      <c r="G433" s="888"/>
      <c r="H433" s="192"/>
      <c r="I433" s="423">
        <v>125</v>
      </c>
      <c r="J433" s="131"/>
      <c r="K433" s="201"/>
      <c r="L433" s="519"/>
      <c r="M433" s="519"/>
      <c r="N433" s="518"/>
      <c r="O433" s="518"/>
      <c r="P433" s="518"/>
      <c r="Q433" s="518"/>
      <c r="R433" s="518"/>
      <c r="S433" s="518"/>
      <c r="T433" s="518"/>
      <c r="U433" s="518"/>
      <c r="V433" s="518"/>
      <c r="W433" s="518"/>
      <c r="X433" s="518"/>
      <c r="Y433" s="518"/>
      <c r="Z433" s="518"/>
      <c r="AA433" s="518"/>
      <c r="AB433" s="518"/>
      <c r="AC433" s="518"/>
      <c r="AD433" s="518"/>
      <c r="AE433" s="518"/>
      <c r="AF433" s="518"/>
      <c r="AG433" s="518"/>
      <c r="AH433" s="518"/>
      <c r="AI433" s="518"/>
      <c r="AJ433" s="518"/>
      <c r="AK433" s="518"/>
      <c r="AL433" s="518"/>
      <c r="AM433" s="518"/>
      <c r="AN433" s="518"/>
      <c r="AO433" s="518"/>
      <c r="AP433" s="518"/>
      <c r="AQ433" s="518"/>
      <c r="AR433" s="518"/>
      <c r="AS433" s="518"/>
      <c r="AT433" s="518"/>
      <c r="AU433" s="518"/>
      <c r="AV433" s="518"/>
      <c r="AW433" s="518"/>
      <c r="AX433" s="518"/>
      <c r="AY433" s="519"/>
      <c r="AZ433" s="519"/>
      <c r="BA433" s="519"/>
      <c r="BB433" s="519"/>
      <c r="BC433" s="519"/>
      <c r="BD433" s="519"/>
      <c r="BE433" s="519"/>
      <c r="BF433" s="519"/>
      <c r="BG433" s="519"/>
    </row>
    <row r="434" spans="2:59" s="113" customFormat="1" hidden="1">
      <c r="B434" s="127"/>
      <c r="C434" s="115"/>
      <c r="D434" s="115"/>
      <c r="E434" s="133"/>
      <c r="F434" s="196" t="s">
        <v>1015</v>
      </c>
      <c r="G434" s="888"/>
      <c r="H434" s="98"/>
      <c r="I434" s="888">
        <v>180</v>
      </c>
      <c r="J434" s="131"/>
      <c r="K434" s="201"/>
      <c r="L434" s="1009" t="s">
        <v>1131</v>
      </c>
      <c r="M434" s="519"/>
      <c r="N434" s="518"/>
      <c r="O434" s="518"/>
      <c r="P434" s="518"/>
      <c r="Q434" s="518"/>
      <c r="R434" s="518"/>
      <c r="S434" s="518"/>
      <c r="T434" s="518"/>
      <c r="U434" s="518"/>
      <c r="V434" s="518"/>
      <c r="W434" s="518"/>
      <c r="X434" s="518"/>
      <c r="Y434" s="518"/>
      <c r="Z434" s="518"/>
      <c r="AA434" s="518"/>
      <c r="AB434" s="518"/>
      <c r="AC434" s="518"/>
      <c r="AD434" s="518"/>
      <c r="AE434" s="518"/>
      <c r="AF434" s="518"/>
      <c r="AG434" s="518"/>
      <c r="AH434" s="518"/>
      <c r="AI434" s="518"/>
      <c r="AJ434" s="518"/>
      <c r="AK434" s="518"/>
      <c r="AL434" s="518"/>
      <c r="AM434" s="518"/>
      <c r="AN434" s="518"/>
      <c r="AO434" s="518"/>
      <c r="AP434" s="518"/>
      <c r="AQ434" s="518"/>
      <c r="AR434" s="518"/>
      <c r="AS434" s="518"/>
      <c r="AT434" s="518"/>
      <c r="AU434" s="518"/>
      <c r="AV434" s="518"/>
      <c r="AW434" s="518"/>
      <c r="AX434" s="518"/>
      <c r="AY434" s="519"/>
      <c r="AZ434" s="519"/>
      <c r="BA434" s="519"/>
      <c r="BB434" s="519"/>
      <c r="BC434" s="519"/>
      <c r="BD434" s="519"/>
      <c r="BE434" s="519"/>
      <c r="BF434" s="519"/>
      <c r="BG434" s="519"/>
    </row>
    <row r="435" spans="2:59" s="113" customFormat="1" hidden="1">
      <c r="B435" s="127"/>
      <c r="C435" s="115"/>
      <c r="D435" s="115"/>
      <c r="E435" s="133"/>
      <c r="F435" s="196" t="s">
        <v>1016</v>
      </c>
      <c r="G435" s="888"/>
      <c r="H435" s="98"/>
      <c r="I435" s="888">
        <v>270</v>
      </c>
      <c r="J435" s="131"/>
      <c r="K435" s="201"/>
      <c r="L435" s="1009" t="s">
        <v>1130</v>
      </c>
      <c r="M435" s="519"/>
      <c r="N435" s="518"/>
      <c r="O435" s="518"/>
      <c r="P435" s="518"/>
      <c r="Q435" s="518"/>
      <c r="R435" s="518"/>
      <c r="S435" s="518"/>
      <c r="T435" s="518"/>
      <c r="U435" s="518"/>
      <c r="V435" s="518"/>
      <c r="W435" s="518"/>
      <c r="X435" s="518"/>
      <c r="Y435" s="518"/>
      <c r="Z435" s="518"/>
      <c r="AA435" s="518"/>
      <c r="AB435" s="518"/>
      <c r="AC435" s="518"/>
      <c r="AD435" s="518"/>
      <c r="AE435" s="518"/>
      <c r="AF435" s="518"/>
      <c r="AG435" s="518"/>
      <c r="AH435" s="518"/>
      <c r="AI435" s="518"/>
      <c r="AJ435" s="518"/>
      <c r="AK435" s="518"/>
      <c r="AL435" s="518"/>
      <c r="AM435" s="518"/>
      <c r="AN435" s="518"/>
      <c r="AO435" s="518"/>
      <c r="AP435" s="518"/>
      <c r="AQ435" s="518"/>
      <c r="AR435" s="518"/>
      <c r="AS435" s="518"/>
      <c r="AT435" s="518"/>
      <c r="AU435" s="518"/>
      <c r="AV435" s="518"/>
      <c r="AW435" s="518"/>
      <c r="AX435" s="518"/>
      <c r="AY435" s="519"/>
      <c r="AZ435" s="519"/>
      <c r="BA435" s="519"/>
      <c r="BB435" s="519"/>
      <c r="BC435" s="519"/>
      <c r="BD435" s="519"/>
      <c r="BE435" s="519"/>
      <c r="BF435" s="519"/>
      <c r="BG435" s="519"/>
    </row>
    <row r="436" spans="2:59" s="113" customFormat="1" hidden="1">
      <c r="B436" s="127"/>
      <c r="C436" s="115"/>
      <c r="D436" s="115"/>
      <c r="E436" s="133"/>
      <c r="F436" s="133"/>
      <c r="G436" s="120"/>
      <c r="H436" s="109"/>
      <c r="I436" s="110"/>
      <c r="J436" s="131"/>
      <c r="K436" s="201"/>
      <c r="L436" s="519"/>
      <c r="M436" s="519"/>
      <c r="N436" s="518"/>
      <c r="O436" s="518"/>
      <c r="P436" s="518"/>
      <c r="Q436" s="518"/>
      <c r="R436" s="518"/>
      <c r="S436" s="518"/>
      <c r="T436" s="518"/>
      <c r="U436" s="518"/>
      <c r="V436" s="518"/>
      <c r="W436" s="518"/>
      <c r="X436" s="518"/>
      <c r="Y436" s="518"/>
      <c r="Z436" s="518"/>
      <c r="AA436" s="518"/>
      <c r="AB436" s="518"/>
      <c r="AC436" s="518"/>
      <c r="AD436" s="518"/>
      <c r="AE436" s="518"/>
      <c r="AF436" s="518"/>
      <c r="AG436" s="518"/>
      <c r="AH436" s="518"/>
      <c r="AI436" s="518"/>
      <c r="AJ436" s="518"/>
      <c r="AK436" s="518"/>
      <c r="AL436" s="518"/>
      <c r="AM436" s="518"/>
      <c r="AN436" s="518"/>
      <c r="AO436" s="518"/>
      <c r="AP436" s="518"/>
      <c r="AQ436" s="518"/>
      <c r="AR436" s="518"/>
      <c r="AS436" s="518"/>
      <c r="AT436" s="518"/>
      <c r="AU436" s="518"/>
      <c r="AV436" s="518"/>
      <c r="AW436" s="518"/>
      <c r="AX436" s="518"/>
      <c r="AY436" s="519"/>
      <c r="AZ436" s="519"/>
      <c r="BA436" s="519"/>
      <c r="BB436" s="519"/>
      <c r="BC436" s="519"/>
      <c r="BD436" s="519"/>
      <c r="BE436" s="519"/>
      <c r="BF436" s="519"/>
      <c r="BG436" s="519"/>
    </row>
    <row r="437" spans="2:59" s="113" customFormat="1" hidden="1">
      <c r="B437" s="127"/>
      <c r="C437" s="115"/>
      <c r="D437" s="115"/>
      <c r="E437" s="133"/>
      <c r="F437" s="133"/>
      <c r="G437" s="120"/>
      <c r="H437" s="109"/>
      <c r="I437" s="110"/>
      <c r="J437" s="131"/>
      <c r="K437" s="201"/>
      <c r="L437" s="519"/>
      <c r="M437" s="519"/>
      <c r="N437" s="518"/>
      <c r="O437" s="518"/>
      <c r="P437" s="518"/>
      <c r="Q437" s="518"/>
      <c r="R437" s="518"/>
      <c r="S437" s="518"/>
      <c r="T437" s="518"/>
      <c r="U437" s="518"/>
      <c r="V437" s="518"/>
      <c r="W437" s="518"/>
      <c r="X437" s="518"/>
      <c r="Y437" s="518"/>
      <c r="Z437" s="518"/>
      <c r="AA437" s="518"/>
      <c r="AB437" s="518"/>
      <c r="AC437" s="518"/>
      <c r="AD437" s="518"/>
      <c r="AE437" s="518"/>
      <c r="AF437" s="518"/>
      <c r="AG437" s="518"/>
      <c r="AH437" s="518"/>
      <c r="AI437" s="518"/>
      <c r="AJ437" s="518"/>
      <c r="AK437" s="518"/>
      <c r="AL437" s="518"/>
      <c r="AM437" s="518"/>
      <c r="AN437" s="518"/>
      <c r="AO437" s="518"/>
      <c r="AP437" s="518"/>
      <c r="AQ437" s="518"/>
      <c r="AR437" s="518"/>
      <c r="AS437" s="518"/>
      <c r="AT437" s="518"/>
      <c r="AU437" s="518"/>
      <c r="AV437" s="518"/>
      <c r="AW437" s="518"/>
      <c r="AX437" s="518"/>
      <c r="AY437" s="519"/>
      <c r="AZ437" s="519"/>
      <c r="BA437" s="519"/>
      <c r="BB437" s="519"/>
      <c r="BC437" s="519"/>
      <c r="BD437" s="519"/>
      <c r="BE437" s="519"/>
      <c r="BF437" s="519"/>
      <c r="BG437" s="519"/>
    </row>
    <row r="438" spans="2:59" s="113" customFormat="1" hidden="1">
      <c r="B438" s="127"/>
      <c r="C438" s="115"/>
      <c r="D438" s="115"/>
      <c r="E438" s="133"/>
      <c r="F438" s="115"/>
      <c r="G438" s="120"/>
      <c r="H438" s="109"/>
      <c r="I438" s="110"/>
      <c r="J438" s="131"/>
      <c r="K438" s="201"/>
      <c r="L438" s="519"/>
      <c r="M438" s="519"/>
      <c r="N438" s="518"/>
      <c r="O438" s="518"/>
      <c r="P438" s="518"/>
      <c r="Q438" s="518"/>
      <c r="R438" s="518"/>
      <c r="S438" s="518"/>
      <c r="T438" s="518"/>
      <c r="U438" s="518"/>
      <c r="V438" s="518"/>
      <c r="W438" s="518"/>
      <c r="X438" s="518"/>
      <c r="Y438" s="518"/>
      <c r="Z438" s="518"/>
      <c r="AA438" s="518"/>
      <c r="AB438" s="518"/>
      <c r="AC438" s="518"/>
      <c r="AD438" s="518"/>
      <c r="AE438" s="518"/>
      <c r="AF438" s="518"/>
      <c r="AG438" s="518"/>
      <c r="AH438" s="518"/>
      <c r="AI438" s="518"/>
      <c r="AJ438" s="518"/>
      <c r="AK438" s="518"/>
      <c r="AL438" s="518"/>
      <c r="AM438" s="518"/>
      <c r="AN438" s="518"/>
      <c r="AO438" s="518"/>
      <c r="AP438" s="518"/>
      <c r="AQ438" s="518"/>
      <c r="AR438" s="518"/>
      <c r="AS438" s="518"/>
      <c r="AT438" s="518"/>
      <c r="AU438" s="518"/>
      <c r="AV438" s="518"/>
      <c r="AW438" s="518"/>
      <c r="AX438" s="518"/>
      <c r="AY438" s="519"/>
      <c r="AZ438" s="519"/>
      <c r="BA438" s="519"/>
      <c r="BB438" s="519"/>
      <c r="BC438" s="519"/>
      <c r="BD438" s="519"/>
      <c r="BE438" s="519"/>
      <c r="BF438" s="519"/>
      <c r="BG438" s="519"/>
    </row>
    <row r="439" spans="2:59" s="113" customFormat="1" hidden="1">
      <c r="B439" s="127"/>
      <c r="C439" s="115"/>
      <c r="D439" s="115"/>
      <c r="E439" s="133"/>
      <c r="F439" s="115"/>
      <c r="G439" s="120"/>
      <c r="H439" s="109"/>
      <c r="I439" s="110"/>
      <c r="J439" s="131"/>
      <c r="K439" s="201"/>
      <c r="L439" s="519"/>
      <c r="M439" s="519"/>
      <c r="N439" s="518"/>
      <c r="O439" s="518"/>
      <c r="P439" s="518"/>
      <c r="Q439" s="518"/>
      <c r="R439" s="518"/>
      <c r="S439" s="518"/>
      <c r="T439" s="518"/>
      <c r="U439" s="518"/>
      <c r="V439" s="518"/>
      <c r="W439" s="518"/>
      <c r="X439" s="518"/>
      <c r="Y439" s="518"/>
      <c r="Z439" s="518"/>
      <c r="AA439" s="518"/>
      <c r="AB439" s="518"/>
      <c r="AC439" s="518"/>
      <c r="AD439" s="518"/>
      <c r="AE439" s="518"/>
      <c r="AF439" s="518"/>
      <c r="AG439" s="518"/>
      <c r="AH439" s="518"/>
      <c r="AI439" s="518"/>
      <c r="AJ439" s="518"/>
      <c r="AK439" s="518"/>
      <c r="AL439" s="518"/>
      <c r="AM439" s="518"/>
      <c r="AN439" s="518"/>
      <c r="AO439" s="518"/>
      <c r="AP439" s="518"/>
      <c r="AQ439" s="518"/>
      <c r="AR439" s="518"/>
      <c r="AS439" s="518"/>
      <c r="AT439" s="518"/>
      <c r="AU439" s="518"/>
      <c r="AV439" s="518"/>
      <c r="AW439" s="518"/>
      <c r="AX439" s="518"/>
      <c r="AY439" s="519"/>
      <c r="AZ439" s="519"/>
      <c r="BA439" s="519"/>
      <c r="BB439" s="519"/>
      <c r="BC439" s="519"/>
      <c r="BD439" s="519"/>
      <c r="BE439" s="519"/>
      <c r="BF439" s="519"/>
      <c r="BG439" s="519"/>
    </row>
    <row r="440" spans="2:59" hidden="1">
      <c r="B440" s="127"/>
      <c r="C440" s="115"/>
      <c r="D440" s="115"/>
      <c r="E440" s="115"/>
      <c r="F440" s="109"/>
      <c r="G440" s="28"/>
      <c r="H440" s="109"/>
      <c r="I440" s="109"/>
      <c r="J440" s="131"/>
    </row>
    <row r="441" spans="2:59" hidden="1">
      <c r="B441" s="127"/>
      <c r="C441" s="115"/>
      <c r="D441" s="115"/>
      <c r="E441" s="115"/>
      <c r="F441" s="153"/>
      <c r="G441" s="28"/>
      <c r="H441" s="109"/>
      <c r="I441" s="109"/>
      <c r="J441" s="131"/>
    </row>
    <row r="442" spans="2:59" hidden="1">
      <c r="B442" s="127"/>
      <c r="C442" s="115"/>
      <c r="D442" s="115"/>
      <c r="E442" s="115"/>
      <c r="F442" s="109"/>
      <c r="G442" s="28"/>
      <c r="H442" s="109"/>
      <c r="I442" s="109"/>
      <c r="J442" s="131"/>
    </row>
    <row r="443" spans="2:59" ht="13.5" hidden="1" thickBot="1">
      <c r="B443" s="136"/>
      <c r="C443" s="18"/>
      <c r="D443" s="18"/>
      <c r="E443" s="18"/>
      <c r="F443" s="19"/>
      <c r="G443" s="20"/>
      <c r="H443" s="19"/>
      <c r="I443" s="19"/>
      <c r="J443" s="137"/>
    </row>
    <row r="444" spans="2:59" hidden="1">
      <c r="C444" s="112"/>
      <c r="D444" s="112"/>
      <c r="E444" s="112"/>
      <c r="G444" s="112"/>
    </row>
    <row r="445" spans="2:59" hidden="1">
      <c r="C445" s="112"/>
      <c r="D445" s="112"/>
      <c r="E445" s="112"/>
      <c r="G445" s="112"/>
    </row>
    <row r="446" spans="2:59" hidden="1">
      <c r="C446" s="112"/>
      <c r="D446" s="112"/>
      <c r="E446" s="112"/>
      <c r="G446" s="112"/>
    </row>
    <row r="447" spans="2:59" hidden="1">
      <c r="C447" s="112"/>
      <c r="D447" s="112"/>
      <c r="E447" s="112"/>
      <c r="G447" s="112"/>
    </row>
    <row r="448" spans="2:59" hidden="1">
      <c r="C448" s="112"/>
      <c r="D448" s="112"/>
      <c r="E448" s="112"/>
      <c r="G448" s="112"/>
    </row>
    <row r="449" spans="3:7" hidden="1">
      <c r="C449" s="112"/>
      <c r="D449" s="112"/>
      <c r="E449" s="112"/>
      <c r="G449" s="112"/>
    </row>
    <row r="450" spans="3:7" hidden="1">
      <c r="C450" s="112"/>
      <c r="D450" s="112"/>
      <c r="E450" s="112"/>
      <c r="G450" s="112"/>
    </row>
    <row r="451" spans="3:7" hidden="1">
      <c r="C451" s="112"/>
      <c r="D451" s="112"/>
      <c r="E451" s="112"/>
      <c r="G451" s="112"/>
    </row>
    <row r="452" spans="3:7" hidden="1">
      <c r="C452" s="112"/>
      <c r="D452" s="112"/>
      <c r="E452" s="112"/>
      <c r="G452" s="112"/>
    </row>
    <row r="453" spans="3:7" hidden="1">
      <c r="C453" s="112"/>
      <c r="D453" s="112"/>
      <c r="E453" s="112"/>
      <c r="G453" s="112"/>
    </row>
    <row r="454" spans="3:7" hidden="1">
      <c r="C454" s="112"/>
      <c r="D454" s="112"/>
      <c r="E454" s="112"/>
      <c r="G454" s="112"/>
    </row>
    <row r="455" spans="3:7" hidden="1">
      <c r="C455" s="112"/>
      <c r="D455" s="112"/>
      <c r="E455" s="112"/>
      <c r="G455" s="112"/>
    </row>
    <row r="456" spans="3:7" hidden="1">
      <c r="C456" s="112"/>
      <c r="D456" s="112"/>
      <c r="E456" s="112"/>
      <c r="G456" s="112"/>
    </row>
    <row r="457" spans="3:7">
      <c r="C457" s="112"/>
      <c r="D457" s="112"/>
      <c r="E457" s="112"/>
      <c r="G457" s="112"/>
    </row>
    <row r="458" spans="3:7">
      <c r="C458" s="112"/>
      <c r="D458" s="112"/>
      <c r="E458" s="112"/>
      <c r="G458" s="112"/>
    </row>
    <row r="459" spans="3:7">
      <c r="C459" s="112"/>
      <c r="D459" s="112"/>
      <c r="E459" s="112"/>
      <c r="G459" s="112"/>
    </row>
    <row r="460" spans="3:7">
      <c r="C460" s="112"/>
      <c r="D460" s="112"/>
      <c r="E460" s="112"/>
      <c r="G460" s="112"/>
    </row>
    <row r="461" spans="3:7">
      <c r="C461" s="112"/>
      <c r="D461" s="112"/>
      <c r="E461" s="112"/>
      <c r="G461" s="112"/>
    </row>
    <row r="462" spans="3:7">
      <c r="C462" s="112"/>
      <c r="D462" s="112"/>
      <c r="E462" s="112"/>
      <c r="G462" s="112"/>
    </row>
    <row r="463" spans="3:7">
      <c r="C463" s="112"/>
      <c r="D463" s="112"/>
      <c r="E463" s="112"/>
      <c r="G463" s="112"/>
    </row>
    <row r="464" spans="3:7">
      <c r="C464" s="112"/>
      <c r="D464" s="112"/>
      <c r="E464" s="112"/>
      <c r="G464" s="112"/>
    </row>
    <row r="465" spans="3:7">
      <c r="C465" s="112"/>
      <c r="D465" s="112"/>
      <c r="E465" s="112"/>
      <c r="G465" s="112"/>
    </row>
    <row r="466" spans="3:7">
      <c r="C466" s="112"/>
      <c r="D466" s="112"/>
      <c r="E466" s="112"/>
      <c r="G466" s="112"/>
    </row>
    <row r="467" spans="3:7">
      <c r="C467" s="112"/>
      <c r="D467" s="112"/>
      <c r="E467" s="112"/>
      <c r="G467" s="112"/>
    </row>
    <row r="468" spans="3:7">
      <c r="C468" s="112"/>
      <c r="D468" s="112"/>
      <c r="E468" s="112"/>
      <c r="G468" s="112"/>
    </row>
    <row r="469" spans="3:7">
      <c r="C469" s="112"/>
      <c r="D469" s="112"/>
      <c r="E469" s="112"/>
      <c r="G469" s="112"/>
    </row>
    <row r="470" spans="3:7">
      <c r="C470" s="112"/>
      <c r="D470" s="112"/>
      <c r="E470" s="112"/>
      <c r="G470" s="112"/>
    </row>
    <row r="471" spans="3:7">
      <c r="C471" s="112"/>
      <c r="D471" s="112"/>
      <c r="E471" s="112"/>
      <c r="G471" s="112"/>
    </row>
    <row r="472" spans="3:7">
      <c r="C472" s="112"/>
      <c r="D472" s="112"/>
      <c r="E472" s="112"/>
      <c r="G472" s="112"/>
    </row>
    <row r="473" spans="3:7">
      <c r="C473" s="112"/>
      <c r="D473" s="112"/>
      <c r="E473" s="112"/>
      <c r="G473" s="112"/>
    </row>
    <row r="474" spans="3:7">
      <c r="C474" s="112"/>
      <c r="D474" s="112"/>
      <c r="E474" s="112"/>
      <c r="G474" s="112"/>
    </row>
    <row r="475" spans="3:7">
      <c r="C475" s="112"/>
      <c r="D475" s="112"/>
      <c r="E475" s="112"/>
      <c r="G475" s="112"/>
    </row>
    <row r="476" spans="3:7">
      <c r="C476" s="112"/>
      <c r="D476" s="112"/>
      <c r="E476" s="112"/>
      <c r="G476" s="112"/>
    </row>
    <row r="477" spans="3:7">
      <c r="C477" s="112"/>
      <c r="D477" s="112"/>
      <c r="E477" s="112"/>
      <c r="G477" s="112"/>
    </row>
    <row r="478" spans="3:7">
      <c r="C478" s="112"/>
      <c r="D478" s="112"/>
      <c r="E478" s="112"/>
      <c r="G478" s="112"/>
    </row>
    <row r="479" spans="3:7">
      <c r="C479" s="112"/>
      <c r="D479" s="112"/>
      <c r="E479" s="112"/>
      <c r="G479" s="112"/>
    </row>
    <row r="480" spans="3:7">
      <c r="C480" s="112"/>
      <c r="D480" s="112"/>
      <c r="E480" s="112"/>
      <c r="G480" s="112"/>
    </row>
    <row r="481" spans="3:7">
      <c r="C481" s="112"/>
      <c r="D481" s="112"/>
      <c r="E481" s="112"/>
      <c r="G481" s="112"/>
    </row>
    <row r="482" spans="3:7">
      <c r="C482" s="112"/>
      <c r="D482" s="112"/>
      <c r="E482" s="112"/>
      <c r="G482" s="112"/>
    </row>
    <row r="483" spans="3:7">
      <c r="C483" s="112"/>
      <c r="D483" s="112"/>
      <c r="E483" s="112"/>
      <c r="G483" s="112"/>
    </row>
    <row r="484" spans="3:7">
      <c r="C484" s="112"/>
      <c r="D484" s="112"/>
      <c r="E484" s="112"/>
      <c r="G484" s="112"/>
    </row>
    <row r="485" spans="3:7">
      <c r="C485" s="112"/>
      <c r="D485" s="112"/>
      <c r="E485" s="112"/>
      <c r="G485" s="112"/>
    </row>
    <row r="486" spans="3:7">
      <c r="C486" s="112"/>
      <c r="D486" s="112"/>
      <c r="E486" s="112"/>
      <c r="G486" s="112"/>
    </row>
    <row r="487" spans="3:7">
      <c r="C487" s="112"/>
      <c r="D487" s="112"/>
      <c r="E487" s="112"/>
      <c r="G487" s="112"/>
    </row>
    <row r="488" spans="3:7">
      <c r="C488" s="112"/>
      <c r="D488" s="112"/>
      <c r="E488" s="112"/>
      <c r="G488" s="112"/>
    </row>
    <row r="489" spans="3:7">
      <c r="C489" s="112"/>
      <c r="D489" s="112"/>
      <c r="E489" s="112"/>
      <c r="G489" s="112"/>
    </row>
    <row r="490" spans="3:7">
      <c r="C490" s="112"/>
      <c r="D490" s="112"/>
      <c r="E490" s="112"/>
      <c r="G490" s="112"/>
    </row>
    <row r="491" spans="3:7">
      <c r="C491" s="112"/>
      <c r="D491" s="112"/>
      <c r="E491" s="112"/>
      <c r="G491" s="112"/>
    </row>
    <row r="492" spans="3:7">
      <c r="C492" s="112"/>
      <c r="D492" s="112"/>
      <c r="E492" s="112"/>
      <c r="G492" s="112"/>
    </row>
    <row r="493" spans="3:7">
      <c r="C493" s="112"/>
      <c r="D493" s="112"/>
      <c r="E493" s="112"/>
      <c r="G493" s="112"/>
    </row>
    <row r="494" spans="3:7">
      <c r="C494" s="112"/>
      <c r="D494" s="112"/>
      <c r="E494" s="112"/>
      <c r="G494" s="112"/>
    </row>
    <row r="495" spans="3:7">
      <c r="C495" s="112"/>
      <c r="D495" s="112"/>
      <c r="E495" s="112"/>
      <c r="G495" s="112"/>
    </row>
    <row r="496" spans="3:7">
      <c r="C496" s="112"/>
      <c r="D496" s="112"/>
      <c r="E496" s="112"/>
      <c r="G496" s="112"/>
    </row>
    <row r="497" spans="3:7">
      <c r="C497" s="112"/>
      <c r="D497" s="112"/>
      <c r="E497" s="112"/>
      <c r="G497" s="112"/>
    </row>
    <row r="498" spans="3:7">
      <c r="C498" s="112"/>
      <c r="D498" s="112"/>
      <c r="E498" s="112"/>
      <c r="G498" s="112"/>
    </row>
    <row r="499" spans="3:7">
      <c r="C499" s="112"/>
      <c r="D499" s="112"/>
      <c r="E499" s="112"/>
      <c r="G499" s="112"/>
    </row>
    <row r="500" spans="3:7">
      <c r="C500" s="112"/>
      <c r="D500" s="112"/>
      <c r="E500" s="112"/>
      <c r="G500" s="112"/>
    </row>
    <row r="501" spans="3:7">
      <c r="C501" s="112"/>
      <c r="D501" s="112"/>
      <c r="E501" s="112"/>
      <c r="G501" s="112"/>
    </row>
    <row r="502" spans="3:7">
      <c r="C502" s="112"/>
      <c r="D502" s="112"/>
      <c r="E502" s="112"/>
      <c r="G502" s="112"/>
    </row>
    <row r="503" spans="3:7">
      <c r="C503" s="112"/>
      <c r="D503" s="112"/>
      <c r="E503" s="112"/>
      <c r="G503" s="112"/>
    </row>
    <row r="504" spans="3:7">
      <c r="C504" s="112"/>
      <c r="D504" s="112"/>
      <c r="E504" s="112"/>
      <c r="G504" s="112"/>
    </row>
    <row r="505" spans="3:7">
      <c r="C505" s="112"/>
      <c r="D505" s="112"/>
      <c r="E505" s="112"/>
      <c r="G505" s="112"/>
    </row>
    <row r="506" spans="3:7">
      <c r="C506" s="112"/>
      <c r="D506" s="112"/>
      <c r="E506" s="112"/>
      <c r="G506" s="112"/>
    </row>
    <row r="507" spans="3:7">
      <c r="C507" s="112"/>
      <c r="D507" s="112"/>
      <c r="E507" s="112"/>
      <c r="G507" s="112"/>
    </row>
    <row r="508" spans="3:7">
      <c r="C508" s="112"/>
      <c r="D508" s="112"/>
      <c r="E508" s="112"/>
      <c r="G508" s="112"/>
    </row>
    <row r="509" spans="3:7">
      <c r="C509" s="112"/>
      <c r="D509" s="112"/>
      <c r="E509" s="112"/>
      <c r="G509" s="112"/>
    </row>
    <row r="510" spans="3:7">
      <c r="C510" s="112"/>
      <c r="D510" s="112"/>
      <c r="E510" s="112"/>
      <c r="G510" s="112"/>
    </row>
    <row r="511" spans="3:7">
      <c r="C511" s="112"/>
      <c r="D511" s="112"/>
      <c r="E511" s="112"/>
      <c r="G511" s="112"/>
    </row>
    <row r="512" spans="3:7">
      <c r="C512" s="112"/>
      <c r="D512" s="112"/>
      <c r="E512" s="112"/>
      <c r="G512" s="112"/>
    </row>
    <row r="513" spans="3:7">
      <c r="C513" s="112"/>
      <c r="D513" s="112"/>
      <c r="E513" s="112"/>
      <c r="G513" s="112"/>
    </row>
    <row r="514" spans="3:7">
      <c r="C514" s="112"/>
      <c r="D514" s="112"/>
      <c r="E514" s="112"/>
      <c r="G514" s="112"/>
    </row>
    <row r="515" spans="3:7">
      <c r="C515" s="112"/>
      <c r="D515" s="112"/>
      <c r="E515" s="112"/>
      <c r="G515" s="112"/>
    </row>
    <row r="516" spans="3:7">
      <c r="C516" s="112"/>
      <c r="D516" s="112"/>
      <c r="E516" s="112"/>
      <c r="G516" s="112"/>
    </row>
    <row r="517" spans="3:7">
      <c r="C517" s="112"/>
      <c r="D517" s="112"/>
      <c r="E517" s="112"/>
      <c r="G517" s="112"/>
    </row>
    <row r="518" spans="3:7">
      <c r="C518" s="112"/>
      <c r="D518" s="112"/>
      <c r="E518" s="112"/>
      <c r="G518" s="112"/>
    </row>
    <row r="519" spans="3:7">
      <c r="C519" s="112"/>
      <c r="D519" s="112"/>
      <c r="E519" s="112"/>
      <c r="G519" s="112"/>
    </row>
    <row r="520" spans="3:7">
      <c r="C520" s="112"/>
      <c r="D520" s="112"/>
      <c r="E520" s="112"/>
      <c r="G520" s="112"/>
    </row>
    <row r="521" spans="3:7">
      <c r="C521" s="112"/>
      <c r="D521" s="112"/>
      <c r="E521" s="112"/>
      <c r="G521" s="112"/>
    </row>
    <row r="522" spans="3:7">
      <c r="C522" s="112"/>
      <c r="D522" s="112"/>
      <c r="E522" s="112"/>
      <c r="G522" s="112"/>
    </row>
    <row r="523" spans="3:7">
      <c r="C523" s="112"/>
      <c r="D523" s="112"/>
      <c r="E523" s="112"/>
      <c r="G523" s="112"/>
    </row>
    <row r="524" spans="3:7">
      <c r="C524" s="112"/>
      <c r="D524" s="112"/>
      <c r="E524" s="112"/>
      <c r="G524" s="112"/>
    </row>
    <row r="525" spans="3:7">
      <c r="C525" s="112"/>
      <c r="D525" s="112"/>
      <c r="E525" s="112"/>
      <c r="G525" s="112"/>
    </row>
    <row r="526" spans="3:7">
      <c r="C526" s="112"/>
      <c r="D526" s="112"/>
      <c r="E526" s="112"/>
      <c r="G526" s="112"/>
    </row>
    <row r="527" spans="3:7">
      <c r="C527" s="112"/>
      <c r="D527" s="112"/>
      <c r="E527" s="112"/>
      <c r="G527" s="112"/>
    </row>
    <row r="528" spans="3:7">
      <c r="C528" s="112"/>
      <c r="D528" s="112"/>
      <c r="E528" s="112"/>
      <c r="G528" s="112"/>
    </row>
    <row r="529" spans="3:7">
      <c r="C529" s="112"/>
      <c r="D529" s="112"/>
      <c r="E529" s="112"/>
      <c r="G529" s="112"/>
    </row>
    <row r="530" spans="3:7">
      <c r="C530" s="112"/>
      <c r="D530" s="112"/>
      <c r="E530" s="112"/>
      <c r="G530" s="112"/>
    </row>
    <row r="531" spans="3:7">
      <c r="C531" s="112"/>
      <c r="D531" s="112"/>
      <c r="E531" s="112"/>
      <c r="G531" s="112"/>
    </row>
    <row r="532" spans="3:7">
      <c r="C532" s="112"/>
      <c r="D532" s="112"/>
      <c r="E532" s="112"/>
      <c r="G532" s="112"/>
    </row>
    <row r="533" spans="3:7">
      <c r="C533" s="112"/>
      <c r="D533" s="112"/>
      <c r="E533" s="112"/>
      <c r="G533" s="112"/>
    </row>
    <row r="534" spans="3:7">
      <c r="C534" s="112"/>
      <c r="D534" s="112"/>
      <c r="E534" s="112"/>
      <c r="G534" s="112"/>
    </row>
    <row r="535" spans="3:7">
      <c r="C535" s="112"/>
      <c r="D535" s="112"/>
      <c r="E535" s="112"/>
      <c r="G535" s="112"/>
    </row>
    <row r="536" spans="3:7">
      <c r="C536" s="112"/>
      <c r="D536" s="112"/>
      <c r="E536" s="112"/>
      <c r="G536" s="112"/>
    </row>
    <row r="537" spans="3:7">
      <c r="C537" s="112"/>
      <c r="D537" s="112"/>
      <c r="E537" s="112"/>
      <c r="G537" s="112"/>
    </row>
    <row r="538" spans="3:7">
      <c r="C538" s="112"/>
      <c r="D538" s="112"/>
      <c r="E538" s="112"/>
      <c r="G538" s="112"/>
    </row>
    <row r="539" spans="3:7">
      <c r="C539" s="112"/>
      <c r="D539" s="112"/>
      <c r="E539" s="112"/>
      <c r="G539" s="112"/>
    </row>
    <row r="540" spans="3:7">
      <c r="C540" s="112"/>
      <c r="D540" s="112"/>
      <c r="E540" s="112"/>
      <c r="G540" s="112"/>
    </row>
    <row r="541" spans="3:7">
      <c r="C541" s="112"/>
      <c r="D541" s="112"/>
      <c r="E541" s="112"/>
      <c r="G541" s="112"/>
    </row>
    <row r="542" spans="3:7">
      <c r="C542" s="112"/>
      <c r="D542" s="112"/>
      <c r="E542" s="112"/>
      <c r="G542" s="112"/>
    </row>
    <row r="543" spans="3:7">
      <c r="C543" s="112"/>
      <c r="D543" s="112"/>
      <c r="E543" s="112"/>
      <c r="G543" s="112"/>
    </row>
    <row r="544" spans="3:7">
      <c r="C544" s="112"/>
      <c r="D544" s="112"/>
      <c r="E544" s="112"/>
      <c r="G544" s="112"/>
    </row>
    <row r="545" spans="3:7">
      <c r="C545" s="112"/>
      <c r="D545" s="112"/>
      <c r="E545" s="112"/>
      <c r="G545" s="112"/>
    </row>
  </sheetData>
  <sheetProtection algorithmName="SHA-512" hashValue="e0jKNac0T0cUFzGoWf3qNodFHfrCy/M9DC5Zi2VkpAlzkzFdJytjDXJzDcZqZoFe0+tjxKZPHLfJxSJT0V/2eQ==" saltValue="x0Ylq/+BLX1Tm68w1bjjtw==" spinCount="100000" sheet="1" objects="1" scenarios="1" selectLockedCells="1"/>
  <mergeCells count="12">
    <mergeCell ref="C17:C30"/>
    <mergeCell ref="C36:C37"/>
    <mergeCell ref="C40:C46"/>
    <mergeCell ref="C53:C70"/>
    <mergeCell ref="C77:C94"/>
    <mergeCell ref="L390:N390"/>
    <mergeCell ref="O390:Q390"/>
    <mergeCell ref="C101:C109"/>
    <mergeCell ref="C161:I161"/>
    <mergeCell ref="C162:I167"/>
    <mergeCell ref="D156:I156"/>
    <mergeCell ref="C117:C120"/>
  </mergeCells>
  <dataValidations count="16">
    <dataValidation type="list" allowBlank="1" showInputMessage="1" showErrorMessage="1" sqref="F54 F56" xr:uid="{00000000-0002-0000-0900-000000000000}">
      <formula1>$F$372:$F$374</formula1>
    </dataValidation>
    <dataValidation type="list" allowBlank="1" showInputMessage="1" showErrorMessage="1" sqref="F106" xr:uid="{00000000-0002-0000-0900-000001000000}">
      <formula1>$F$434:$F$435</formula1>
    </dataValidation>
    <dataValidation type="list" allowBlank="1" showInputMessage="1" showErrorMessage="1" sqref="F102" xr:uid="{00000000-0002-0000-0900-000002000000}">
      <formula1>$F$431:$F$433</formula1>
    </dataValidation>
    <dataValidation type="list" allowBlank="1" showInputMessage="1" showErrorMessage="1" sqref="F76 F34 F52" xr:uid="{00000000-0002-0000-0900-000003000000}">
      <formula1>$L$264:$L$277</formula1>
    </dataValidation>
    <dataValidation type="list" allowBlank="1" showInputMessage="1" showErrorMessage="1" sqref="F24 F26" xr:uid="{00000000-0002-0000-0900-000004000000}">
      <formula1>$F$265:$F$267</formula1>
    </dataValidation>
    <dataValidation type="list" allowBlank="1" showInputMessage="1" showErrorMessage="1" sqref="D8" xr:uid="{00000000-0002-0000-0900-000005000000}">
      <formula1>"Yes,No"</formula1>
    </dataValidation>
    <dataValidation type="list" allowBlank="1" showInputMessage="1" showErrorMessage="1" sqref="F36" xr:uid="{00000000-0002-0000-0900-000006000000}">
      <formula1>$F$392:$F$399</formula1>
    </dataValidation>
    <dataValidation type="list" allowBlank="1" showInputMessage="1" showErrorMessage="1" sqref="F123 F119 F127 F116 F37:F38" xr:uid="{00000000-0002-0000-0900-000007000000}">
      <formula1>$F$402:$F$404</formula1>
    </dataValidation>
    <dataValidation type="list" allowBlank="1" showInputMessage="1" showErrorMessage="1" sqref="F124" xr:uid="{00000000-0002-0000-0900-000008000000}">
      <formula1>$F$335:$F$352</formula1>
    </dataValidation>
    <dataValidation type="list" allowBlank="1" showInputMessage="1" showErrorMessage="1" sqref="F23" xr:uid="{00000000-0002-0000-0900-000009000000}">
      <formula1>$F$233:$F$254</formula1>
    </dataValidation>
    <dataValidation type="list" allowBlank="1" showInputMessage="1" showErrorMessage="1" sqref="F35" xr:uid="{00000000-0002-0000-0900-00000A000000}">
      <formula1>$L$271:$L$284</formula1>
    </dataValidation>
    <dataValidation type="list" allowBlank="1" showInputMessage="1" showErrorMessage="1" sqref="F39" xr:uid="{00000000-0002-0000-0900-00000B000000}">
      <formula1>$F$409:$F$411</formula1>
    </dataValidation>
    <dataValidation type="list" allowBlank="1" showInputMessage="1" showErrorMessage="1" sqref="D9" xr:uid="{00000000-0002-0000-0900-00000C000000}">
      <formula1>"IBTO, CTO"</formula1>
    </dataValidation>
    <dataValidation type="list" allowBlank="1" showInputMessage="1" showErrorMessage="1" sqref="F101 F105" xr:uid="{00000000-0002-0000-0900-00000D000000}">
      <formula1>$L$434:$L$435</formula1>
    </dataValidation>
    <dataValidation type="list" allowBlank="1" showInputMessage="1" showErrorMessage="1" sqref="F120" xr:uid="{00000000-0002-0000-0900-00000E000000}">
      <formula1>$AL$291:$AL$315</formula1>
    </dataValidation>
    <dataValidation type="list" allowBlank="1" showInputMessage="1" showErrorMessage="1" sqref="F117" xr:uid="{00000000-0002-0000-0900-00000F000000}">
      <formula1>$AF$291:$AF$315</formula1>
    </dataValidation>
  </dataValidations>
  <pageMargins left="0.74803149606299213" right="0.74803149606299213" top="0.98425196850393704" bottom="0.98425196850393704" header="0.51181102362204722" footer="0.51181102362204722"/>
  <pageSetup paperSize="9" scale="56" orientation="portrait" horizontalDpi="200" r:id="rId1"/>
  <headerFooter alignWithMargins="0">
    <oddHeader>&amp;F</oddHeader>
    <oddFooter>&amp;L&amp;BMatthews Australasia Pty Ltd Confidential&amp;B&amp;C&amp;D&amp;RPage &amp;P</oddFooter>
  </headerFooter>
  <ignoredErrors>
    <ignoredError sqref="G18:G19 G36:G38 G117:G123 F125 G41:G43 G23:G25 G84 G125:G127" unlockedFormula="1"/>
    <ignoredError sqref="G281 G369:G370 G412 M395 G266:G276 G379:H382 G284:G296 G365:G367" numberStoredAsText="1"/>
    <ignoredError sqref="D17:E17 K334 L17:L21 F170 E149" evalError="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pageSetUpPr fitToPage="1"/>
  </sheetPr>
  <dimension ref="A3:BK578"/>
  <sheetViews>
    <sheetView showGridLines="0" showRowColHeaders="0" zoomScaleNormal="100" workbookViewId="0">
      <selection activeCell="G17" sqref="G17"/>
    </sheetView>
  </sheetViews>
  <sheetFormatPr defaultColWidth="9.140625" defaultRowHeight="12.75"/>
  <cols>
    <col min="1" max="1" width="9.140625" style="112" customWidth="1"/>
    <col min="2" max="2" width="7.28515625" style="112" customWidth="1"/>
    <col min="3" max="3" width="14.28515625" style="113" customWidth="1"/>
    <col min="4" max="4" width="19.140625" style="113" customWidth="1"/>
    <col min="5" max="5" width="14.7109375" style="113" customWidth="1"/>
    <col min="6" max="6" width="52.5703125" style="112" customWidth="1"/>
    <col min="7" max="7" width="10.140625" style="116" customWidth="1"/>
    <col min="8" max="8" width="12.85546875" style="112" customWidth="1"/>
    <col min="9" max="9" width="10.85546875" style="112" customWidth="1"/>
    <col min="10" max="10" width="7.5703125" style="112" customWidth="1"/>
    <col min="11" max="11" width="12.28515625" style="201" customWidth="1"/>
    <col min="12" max="12" width="11.85546875" style="201" hidden="1" customWidth="1"/>
    <col min="13" max="13" width="9.7109375" style="201" hidden="1" customWidth="1"/>
    <col min="14" max="14" width="13.7109375" style="201" hidden="1" customWidth="1"/>
    <col min="15" max="15" width="10.42578125" style="201" hidden="1" customWidth="1"/>
    <col min="16" max="16" width="10" style="201" hidden="1" customWidth="1"/>
    <col min="17" max="17" width="8.7109375" style="201" hidden="1" customWidth="1"/>
    <col min="18" max="18" width="20.28515625" style="201" hidden="1" customWidth="1"/>
    <col min="19" max="19" width="39.7109375" style="201" hidden="1" customWidth="1"/>
    <col min="20" max="20" width="2.42578125" style="201" hidden="1" customWidth="1"/>
    <col min="21" max="22" width="9.140625" style="201" hidden="1" customWidth="1"/>
    <col min="23" max="23" width="7" style="201" hidden="1" customWidth="1"/>
    <col min="24" max="24" width="13.85546875" style="201" hidden="1" customWidth="1"/>
    <col min="25" max="25" width="15.7109375" style="201" hidden="1" customWidth="1"/>
    <col min="26" max="26" width="31.7109375" style="201" hidden="1" customWidth="1"/>
    <col min="27" max="28" width="9.140625" style="201" hidden="1" customWidth="1"/>
    <col min="29" max="29" width="13.7109375" style="201" hidden="1" customWidth="1"/>
    <col min="30" max="30" width="15.7109375" style="201" hidden="1" customWidth="1"/>
    <col min="31" max="31" width="28.28515625" style="201" hidden="1" customWidth="1"/>
    <col min="32" max="32" width="32.28515625" style="201" hidden="1" customWidth="1"/>
    <col min="33" max="33" width="9.140625" style="201" hidden="1" customWidth="1"/>
    <col min="34" max="34" width="3" style="201" hidden="1" customWidth="1"/>
    <col min="35" max="35" width="18.140625" style="201" hidden="1" customWidth="1"/>
    <col min="36" max="36" width="20.140625" style="201" hidden="1" customWidth="1"/>
    <col min="37" max="37" width="29.7109375" style="201" hidden="1" customWidth="1"/>
    <col min="38" max="38" width="32.28515625" style="201" hidden="1" customWidth="1"/>
    <col min="39" max="42" width="9.140625" style="201" hidden="1" customWidth="1"/>
    <col min="43" max="43" width="0" style="201" hidden="1" customWidth="1"/>
    <col min="44" max="44" width="9.140625" style="201" hidden="1" customWidth="1"/>
    <col min="45" max="59" width="9.140625" style="112" hidden="1" customWidth="1"/>
    <col min="60" max="63" width="9.140625" style="112" customWidth="1"/>
    <col min="64" max="16384" width="9.140625" style="112"/>
  </cols>
  <sheetData>
    <row r="3" spans="2:13">
      <c r="B3"/>
      <c r="C3"/>
      <c r="D3"/>
      <c r="E3"/>
      <c r="F3"/>
      <c r="G3"/>
      <c r="H3"/>
      <c r="I3"/>
      <c r="J3"/>
    </row>
    <row r="4" spans="2:13" ht="23.25">
      <c r="B4" s="114"/>
      <c r="C4" s="115"/>
      <c r="D4" s="115"/>
      <c r="E4" s="115"/>
      <c r="F4" s="109"/>
      <c r="G4" s="28"/>
      <c r="H4" s="109"/>
      <c r="I4" s="109"/>
      <c r="J4" s="118"/>
    </row>
    <row r="5" spans="2:13">
      <c r="B5"/>
      <c r="C5" s="1"/>
      <c r="D5" s="1"/>
      <c r="E5" s="1"/>
      <c r="F5"/>
      <c r="G5" s="2"/>
      <c r="H5"/>
      <c r="I5"/>
      <c r="J5" s="118"/>
    </row>
    <row r="6" spans="2:13">
      <c r="B6"/>
      <c r="C6" s="1"/>
      <c r="D6" s="1"/>
      <c r="E6" s="1"/>
      <c r="F6"/>
      <c r="G6" s="2"/>
      <c r="H6"/>
      <c r="I6"/>
      <c r="J6" s="118"/>
    </row>
    <row r="7" spans="2:13">
      <c r="B7"/>
      <c r="C7" s="1"/>
      <c r="D7" s="1"/>
      <c r="E7" s="1"/>
      <c r="F7"/>
      <c r="G7" s="2"/>
      <c r="H7"/>
      <c r="I7"/>
      <c r="J7" s="118"/>
      <c r="L7" s="201" t="s">
        <v>111</v>
      </c>
    </row>
    <row r="8" spans="2:13" hidden="1">
      <c r="B8"/>
      <c r="C8" s="55" t="s">
        <v>298</v>
      </c>
      <c r="D8" s="1"/>
      <c r="E8" s="348" t="s">
        <v>97</v>
      </c>
      <c r="F8"/>
      <c r="G8" s="2"/>
      <c r="H8"/>
      <c r="I8"/>
      <c r="J8" s="118"/>
    </row>
    <row r="9" spans="2:13">
      <c r="B9"/>
      <c r="C9" s="775"/>
      <c r="D9" s="775" t="s">
        <v>303</v>
      </c>
      <c r="E9" s="773">
        <f>IF(E8="Yes",CP!J7,IF(E8="No",CP!H7,0%))</f>
        <v>0.125</v>
      </c>
      <c r="F9" s="379"/>
      <c r="G9" s="2"/>
      <c r="H9"/>
      <c r="I9"/>
      <c r="J9" s="118"/>
    </row>
    <row r="10" spans="2:13">
      <c r="B10"/>
      <c r="C10" s="775"/>
      <c r="D10" s="775" t="s">
        <v>304</v>
      </c>
      <c r="E10" s="773">
        <f>IF(E8="Yes",CP!I7,IF(E8="No",CP!G7,0%))</f>
        <v>7.4999999999999997E-2</v>
      </c>
      <c r="F10" s="344"/>
      <c r="G10" s="2"/>
      <c r="H10"/>
      <c r="I10"/>
      <c r="J10" s="118"/>
    </row>
    <row r="11" spans="2:13" ht="15">
      <c r="B11"/>
      <c r="C11" s="55"/>
      <c r="D11" s="55"/>
      <c r="E11" s="346"/>
      <c r="F11" s="930" t="str">
        <f>IF(G20=1, "PLEASE ENSURE YOU ONLY USE A MIDI PRINTHEAD!","")</f>
        <v/>
      </c>
      <c r="G11" s="2"/>
      <c r="H11"/>
      <c r="I11"/>
      <c r="J11" s="118"/>
    </row>
    <row r="12" spans="2:13" ht="13.5" thickBot="1">
      <c r="B12"/>
      <c r="C12" s="55"/>
      <c r="D12" s="55"/>
      <c r="E12" s="342"/>
      <c r="F12" s="875" t="str">
        <f>IF(L30&gt;0, Q17,"")</f>
        <v/>
      </c>
      <c r="G12" s="2"/>
      <c r="H12"/>
      <c r="I12"/>
      <c r="J12" s="118"/>
    </row>
    <row r="13" spans="2:13" ht="16.5" thickBot="1">
      <c r="B13"/>
      <c r="C13" s="80" t="s">
        <v>43</v>
      </c>
      <c r="D13" s="929"/>
      <c r="E13" s="929"/>
      <c r="F13" s="374" t="str">
        <f>IF(G22&gt;=1, "Need to check correct ink selection!!","")</f>
        <v/>
      </c>
      <c r="G13" s="83"/>
      <c r="H13" s="82"/>
      <c r="I13" s="84"/>
      <c r="J13" s="118"/>
    </row>
    <row r="14" spans="2:13" ht="4.5" customHeight="1" thickBot="1">
      <c r="B14"/>
      <c r="C14"/>
      <c r="D14"/>
      <c r="E14"/>
      <c r="F14"/>
      <c r="G14"/>
      <c r="H14"/>
      <c r="I14"/>
      <c r="J14" s="118"/>
    </row>
    <row r="15" spans="2:13" ht="15">
      <c r="B15"/>
      <c r="C15" s="13" t="s">
        <v>1096</v>
      </c>
      <c r="D15" s="935" t="s">
        <v>2</v>
      </c>
      <c r="E15" s="14" t="s">
        <v>9</v>
      </c>
      <c r="F15" s="15" t="s">
        <v>0</v>
      </c>
      <c r="G15" s="16" t="s">
        <v>1</v>
      </c>
      <c r="H15" s="15" t="s">
        <v>3</v>
      </c>
      <c r="I15" s="37" t="s">
        <v>35</v>
      </c>
      <c r="J15" s="118"/>
      <c r="L15" s="256"/>
      <c r="M15" s="890"/>
    </row>
    <row r="16" spans="2:13" ht="15">
      <c r="B16"/>
      <c r="C16" s="939" t="s">
        <v>395</v>
      </c>
      <c r="D16" s="936"/>
      <c r="E16" s="217"/>
      <c r="F16" s="218"/>
      <c r="G16" s="219"/>
      <c r="H16" s="218"/>
      <c r="I16" s="216"/>
      <c r="J16" s="118"/>
      <c r="M16" s="890"/>
    </row>
    <row r="17" spans="2:20" ht="12.75" customHeight="1">
      <c r="B17"/>
      <c r="C17" s="1671"/>
      <c r="D17" s="1262">
        <f>VLOOKUP($F17,$F$248:$I$460,3,FALSE)</f>
        <v>0</v>
      </c>
      <c r="E17" s="466">
        <f>VLOOKUP($F17,$F$248:$I$460,2,FALSE)</f>
        <v>0</v>
      </c>
      <c r="F17" s="433" t="s">
        <v>587</v>
      </c>
      <c r="G17" s="1208"/>
      <c r="H17" s="159" t="str">
        <f t="shared" ref="H17:H25" si="0">IF(G17&gt;=1,VLOOKUP(F17,F$247:I$460,4,FALSE),"")</f>
        <v/>
      </c>
      <c r="I17" s="160" t="str">
        <f>IF(ISERROR(H17*G17),"",H17*G17)</f>
        <v/>
      </c>
      <c r="J17" s="118"/>
      <c r="L17" s="256">
        <f>VLOOKUP(F17,$F$248:$L$254,7,FALSE)</f>
        <v>7900</v>
      </c>
      <c r="M17" s="890"/>
      <c r="O17" s="201" t="s">
        <v>331</v>
      </c>
      <c r="P17" s="201">
        <v>1</v>
      </c>
      <c r="Q17" s="201" t="s">
        <v>1012</v>
      </c>
      <c r="R17" s="201" t="s">
        <v>517</v>
      </c>
      <c r="S17" s="201" t="str">
        <f>O17&amp;R17</f>
        <v>Midi Plus Mk7 2MHigh Performance (HP)</v>
      </c>
      <c r="T17" s="201">
        <v>1</v>
      </c>
    </row>
    <row r="18" spans="2:20">
      <c r="B18" s="208"/>
      <c r="C18" s="1672"/>
      <c r="D18" s="1262">
        <f>VLOOKUP($F18,$F$248:$I$460,3,FALSE)</f>
        <v>0</v>
      </c>
      <c r="E18" s="466">
        <f>VLOOKUP($F18,$F$248:$I$460,2,FALSE)</f>
        <v>0</v>
      </c>
      <c r="F18" s="388" t="s">
        <v>344</v>
      </c>
      <c r="G18" s="1208">
        <f>G17</f>
        <v>0</v>
      </c>
      <c r="H18" s="159" t="str">
        <f t="shared" si="0"/>
        <v/>
      </c>
      <c r="I18" s="160" t="str">
        <f>IF(ISERROR(H18*G18),"",H18*G18)</f>
        <v/>
      </c>
      <c r="J18" s="118"/>
      <c r="L18" s="201" t="str">
        <f>F18</f>
        <v>Ultima Mk7 2M</v>
      </c>
      <c r="M18" s="890"/>
      <c r="O18" s="201" t="s">
        <v>332</v>
      </c>
      <c r="P18" s="201">
        <v>1</v>
      </c>
      <c r="R18" s="201" t="s">
        <v>517</v>
      </c>
      <c r="S18" s="201" t="str">
        <f t="shared" ref="S18:S20" si="1">O18&amp;R18</f>
        <v>Midi Plus Mk7 2M R/AHigh Performance (HP)</v>
      </c>
      <c r="T18" s="201">
        <v>1</v>
      </c>
    </row>
    <row r="19" spans="2:20">
      <c r="B19" s="208"/>
      <c r="C19" s="1672"/>
      <c r="D19" s="1262">
        <f>VLOOKUP($F19,$F$248:$I$460,3,FALSE)</f>
        <v>0</v>
      </c>
      <c r="E19" s="466">
        <f>VLOOKUP($F19,$F$248:$I$460,2,FALSE)</f>
        <v>0</v>
      </c>
      <c r="F19" s="388" t="s">
        <v>357</v>
      </c>
      <c r="G19" s="1208">
        <f>G17</f>
        <v>0</v>
      </c>
      <c r="H19" s="159" t="str">
        <f t="shared" si="0"/>
        <v/>
      </c>
      <c r="I19" s="160" t="str">
        <f t="shared" ref="I19:I22" si="2">IF(ISERROR(H19*G19),"",H19*G19)</f>
        <v/>
      </c>
      <c r="J19" s="118"/>
      <c r="L19" s="201" t="str">
        <f>F19</f>
        <v>Standard Speed (SS)</v>
      </c>
      <c r="O19" s="201" t="s">
        <v>333</v>
      </c>
      <c r="P19" s="201">
        <v>1</v>
      </c>
      <c r="R19" s="201" t="s">
        <v>517</v>
      </c>
      <c r="S19" s="201" t="str">
        <f t="shared" si="1"/>
        <v>Midi Plus Mk7 4MHigh Performance (HP)</v>
      </c>
      <c r="T19" s="201">
        <v>1</v>
      </c>
    </row>
    <row r="20" spans="2:20">
      <c r="B20" s="208"/>
      <c r="C20" s="1672"/>
      <c r="D20" s="1262"/>
      <c r="E20" s="466"/>
      <c r="F20" s="388" t="s">
        <v>394</v>
      </c>
      <c r="G20" s="1208"/>
      <c r="H20" s="159" t="str">
        <f t="shared" si="0"/>
        <v/>
      </c>
      <c r="I20" s="160" t="str">
        <f t="shared" ref="I20" si="3">IF(ISERROR(H20*G20),"",H20*G20)</f>
        <v/>
      </c>
      <c r="J20" s="118"/>
      <c r="L20" s="201" t="str">
        <f>L17&amp;L18</f>
        <v>7900Ultima Mk7 2M</v>
      </c>
      <c r="O20" s="201" t="s">
        <v>334</v>
      </c>
      <c r="P20" s="201">
        <v>1</v>
      </c>
      <c r="R20" s="201" t="s">
        <v>517</v>
      </c>
      <c r="S20" s="201" t="str">
        <f t="shared" si="1"/>
        <v>Midi Plus Mk7 4M R/AHigh Performance (HP)</v>
      </c>
      <c r="T20" s="201">
        <v>1</v>
      </c>
    </row>
    <row r="21" spans="2:20">
      <c r="B21" s="208"/>
      <c r="C21" s="1672"/>
      <c r="D21" s="1262"/>
      <c r="E21" s="466"/>
      <c r="F21" s="196"/>
      <c r="G21" s="146"/>
      <c r="H21" s="159" t="str">
        <f t="shared" si="0"/>
        <v/>
      </c>
      <c r="I21" s="160" t="str">
        <f t="shared" ref="I21" si="4">IF(ISERROR(H21*G21),"",H21*G21)</f>
        <v/>
      </c>
      <c r="J21" s="118"/>
      <c r="L21" s="256" t="str">
        <f>L18&amp;L19</f>
        <v>Ultima Mk7 2MStandard Speed (SS)</v>
      </c>
    </row>
    <row r="22" spans="2:20">
      <c r="B22" s="208"/>
      <c r="C22" s="1672"/>
      <c r="D22" s="1262">
        <f>VLOOKUP($F22,$F$248:$I$460,3,FALSE)</f>
        <v>0</v>
      </c>
      <c r="E22" s="466">
        <f>VLOOKUP($F22,$F$248:$I$460,2,FALSE)</f>
        <v>0</v>
      </c>
      <c r="F22" s="787" t="s">
        <v>316</v>
      </c>
      <c r="G22" s="1208"/>
      <c r="H22" s="159" t="str">
        <f t="shared" si="0"/>
        <v/>
      </c>
      <c r="I22" s="160" t="str">
        <f t="shared" si="2"/>
        <v/>
      </c>
      <c r="J22" s="118"/>
      <c r="L22" s="201" t="str">
        <f>VLOOKUP(F22,$F$248:$L$254,7,FALSE)</f>
        <v>7900 Spectrum</v>
      </c>
      <c r="O22" s="201" t="s">
        <v>517</v>
      </c>
    </row>
    <row r="23" spans="2:20">
      <c r="B23" s="208"/>
      <c r="C23" s="1672"/>
      <c r="D23" s="1262">
        <f>VLOOKUP($F23,$F$248:$I$460,3,FALSE)</f>
        <v>0</v>
      </c>
      <c r="E23" s="466">
        <f>VLOOKUP($F23,$F$248:$I$460,2,FALSE)</f>
        <v>0</v>
      </c>
      <c r="F23" s="388" t="s">
        <v>331</v>
      </c>
      <c r="G23" s="1208">
        <f>G22</f>
        <v>0</v>
      </c>
      <c r="H23" s="159" t="str">
        <f t="shared" si="0"/>
        <v/>
      </c>
      <c r="I23" s="160" t="str">
        <f>IF(ISERROR(H23*G23),"",H23*G23)</f>
        <v/>
      </c>
      <c r="J23" s="118"/>
      <c r="L23" s="201" t="str">
        <f>F23</f>
        <v>Midi Plus Mk7 2M</v>
      </c>
    </row>
    <row r="24" spans="2:20">
      <c r="B24"/>
      <c r="C24" s="1672"/>
      <c r="D24" s="1262">
        <f>VLOOKUP($F24,$F$248:$I$460,3,FALSE)</f>
        <v>0</v>
      </c>
      <c r="E24" s="466">
        <f>VLOOKUP($F24,$F$248:$I$460,2,FALSE)</f>
        <v>0</v>
      </c>
      <c r="F24" s="388" t="s">
        <v>357</v>
      </c>
      <c r="G24" s="1208">
        <f>G22</f>
        <v>0</v>
      </c>
      <c r="H24" s="159" t="str">
        <f t="shared" si="0"/>
        <v/>
      </c>
      <c r="I24" s="160" t="str">
        <f t="shared" ref="I24" si="5">IF(ISERROR(H24*G24),"",H24*G24)</f>
        <v/>
      </c>
      <c r="J24" s="118"/>
      <c r="L24" s="201" t="str">
        <f>F24</f>
        <v>Standard Speed (SS)</v>
      </c>
    </row>
    <row r="25" spans="2:20">
      <c r="B25"/>
      <c r="C25" s="1672"/>
      <c r="D25" s="1262"/>
      <c r="E25" s="466"/>
      <c r="F25" s="388" t="s">
        <v>394</v>
      </c>
      <c r="G25" s="1208"/>
      <c r="H25" s="159" t="str">
        <f t="shared" si="0"/>
        <v/>
      </c>
      <c r="I25" s="160" t="str">
        <f t="shared" ref="I25" si="6">IF(ISERROR(H25*G25),"",H25*G25)</f>
        <v/>
      </c>
      <c r="J25" s="118"/>
      <c r="L25" s="201" t="str">
        <f>L22&amp;L23</f>
        <v>7900 SpectrumMidi Plus Mk7 2M</v>
      </c>
    </row>
    <row r="26" spans="2:20">
      <c r="B26"/>
      <c r="C26" s="1672"/>
      <c r="D26" s="1262"/>
      <c r="E26" s="466"/>
      <c r="F26" s="388"/>
      <c r="G26" s="146"/>
      <c r="H26" s="159"/>
      <c r="I26" s="160"/>
      <c r="J26" s="118"/>
      <c r="L26" s="256" t="str">
        <f>L23&amp;L24</f>
        <v>Midi Plus Mk7 2MStandard Speed (SS)</v>
      </c>
    </row>
    <row r="27" spans="2:20">
      <c r="B27"/>
      <c r="C27" s="1672"/>
      <c r="D27" s="1262">
        <f>VLOOKUP($F27,$F$248:$I$460,3,FALSE)</f>
        <v>0</v>
      </c>
      <c r="E27" s="466">
        <f>VLOOKUP($F27,$F$248:$I$460,2,FALSE)</f>
        <v>0</v>
      </c>
      <c r="F27" s="787" t="s">
        <v>318</v>
      </c>
      <c r="G27" s="1208"/>
      <c r="H27" s="159" t="str">
        <f>IF(G27&gt;=1,VLOOKUP(F27,F$247:I$460,4,FALSE),"")</f>
        <v/>
      </c>
      <c r="I27" s="160" t="str">
        <f t="shared" ref="I27:I29" si="7">IF(ISERROR(H27*G27),"",H27*G27)</f>
        <v/>
      </c>
      <c r="J27" s="118"/>
    </row>
    <row r="28" spans="2:20">
      <c r="B28"/>
      <c r="C28" s="1672"/>
      <c r="D28" s="1262">
        <f>VLOOKUP($F28,$F$248:$I$460,3,FALSE)</f>
        <v>0</v>
      </c>
      <c r="E28" s="466">
        <f>VLOOKUP($F28,$F$248:$I$460,2,FALSE)</f>
        <v>0</v>
      </c>
      <c r="F28" s="388" t="s">
        <v>339</v>
      </c>
      <c r="G28" s="1208">
        <f>G27</f>
        <v>0</v>
      </c>
      <c r="H28" s="159" t="str">
        <f>IF(G28&gt;=1,VLOOKUP(F28,F$247:I$460,4,FALSE),"")</f>
        <v/>
      </c>
      <c r="I28" s="160" t="str">
        <f t="shared" si="7"/>
        <v/>
      </c>
      <c r="J28" s="118"/>
      <c r="L28" s="201">
        <f>IFERROR(VLOOKUP(L21,S17:AA20,2,FALSE),0)</f>
        <v>0</v>
      </c>
    </row>
    <row r="29" spans="2:20">
      <c r="B29"/>
      <c r="C29" s="1672"/>
      <c r="D29" s="937"/>
      <c r="E29" s="22"/>
      <c r="F29" s="788"/>
      <c r="G29" s="146"/>
      <c r="H29" s="159" t="str">
        <f>IF(G29&gt;=1,VLOOKUP(F29,F$247:I$460,4,FALSE),"")</f>
        <v/>
      </c>
      <c r="I29" s="160" t="str">
        <f t="shared" si="7"/>
        <v/>
      </c>
      <c r="J29" s="118"/>
      <c r="L29" s="201">
        <f>IFERROR(VLOOKUP(L26,S17:AA20,2,FALSE),0)</f>
        <v>0</v>
      </c>
    </row>
    <row r="30" spans="2:20" ht="13.5" thickBot="1">
      <c r="B30" s="208"/>
      <c r="C30" s="1673"/>
      <c r="D30" s="938"/>
      <c r="E30" s="25"/>
      <c r="F30" s="789"/>
      <c r="G30" s="147"/>
      <c r="H30" s="351" t="str">
        <f>IF(G30&gt;=1,VLOOKUP(F30,F$247:I$460,4,FALSE),"")</f>
        <v/>
      </c>
      <c r="I30" s="248" t="str">
        <f>IF(ISERROR(H30*G30),"",H30*G30)</f>
        <v/>
      </c>
      <c r="J30" s="118"/>
      <c r="L30" s="201">
        <f>SUM(L28:L29)</f>
        <v>0</v>
      </c>
    </row>
    <row r="31" spans="2:20" ht="13.5" thickBot="1">
      <c r="B31" s="208"/>
      <c r="C31" s="205"/>
      <c r="D31" s="205"/>
      <c r="E31" s="205"/>
      <c r="F31" s="205"/>
      <c r="G31" s="205"/>
      <c r="H31" s="51" t="s">
        <v>42</v>
      </c>
      <c r="I31" s="247">
        <f>SUM(I17:I30)</f>
        <v>0</v>
      </c>
      <c r="J31" s="118"/>
    </row>
    <row r="32" spans="2:20" ht="13.5" thickBot="1">
      <c r="B32" s="208"/>
      <c r="C32" s="205"/>
      <c r="D32" s="205"/>
      <c r="E32" s="205"/>
      <c r="F32" s="205"/>
      <c r="G32" s="205"/>
      <c r="H32" s="205"/>
      <c r="I32" s="205"/>
      <c r="J32" s="118"/>
    </row>
    <row r="33" spans="2:10" ht="16.5" thickBot="1">
      <c r="B33" s="208"/>
      <c r="C33" s="80" t="s">
        <v>109</v>
      </c>
      <c r="D33" s="81"/>
      <c r="E33" s="81"/>
      <c r="F33" s="107"/>
      <c r="G33" s="83"/>
      <c r="H33" s="82"/>
      <c r="I33" s="84"/>
      <c r="J33" s="118"/>
    </row>
    <row r="34" spans="2:10" ht="4.5" customHeight="1" thickBot="1">
      <c r="B34"/>
      <c r="C34"/>
      <c r="D34"/>
      <c r="E34"/>
      <c r="F34"/>
      <c r="G34"/>
      <c r="H34"/>
      <c r="I34"/>
      <c r="J34" s="118"/>
    </row>
    <row r="35" spans="2:10" ht="15">
      <c r="B35" s="205"/>
      <c r="C35" s="396" t="s">
        <v>553</v>
      </c>
      <c r="D35" s="392"/>
      <c r="E35" s="392"/>
      <c r="F35" s="393"/>
      <c r="G35" s="394"/>
      <c r="H35" s="395"/>
      <c r="I35" s="391"/>
      <c r="J35" s="118"/>
    </row>
    <row r="36" spans="2:10" ht="25.5">
      <c r="B36" s="205"/>
      <c r="C36" s="1671"/>
      <c r="D36" s="1262" t="str">
        <f>VLOOKUP($F36,$F$248:$I$460,3,FALSE)</f>
        <v>6033206, 20081501/01_A-01</v>
      </c>
      <c r="E36" s="794" t="str">
        <f>VLOOKUP($F36,$F$248:$I$460,2,FALSE)</f>
        <v>11060102, 13120085</v>
      </c>
      <c r="F36" s="1263" t="s">
        <v>400</v>
      </c>
      <c r="G36" s="1208">
        <f>SUM(G17,G22,G27)</f>
        <v>0</v>
      </c>
      <c r="H36" s="159" t="str">
        <f>IF(ISERROR(IF(G36&gt;=1,VLOOKUP(F36,F$247:I$460,4,FALSE),"")),"",IF(G36&gt;=1,VLOOKUP(F36,F$247:I$460,4,FALSE),""))</f>
        <v/>
      </c>
      <c r="I36" s="160" t="str">
        <f>IF(ISERROR(H36*G36),"",H36*G36)</f>
        <v/>
      </c>
      <c r="J36" s="118"/>
    </row>
    <row r="37" spans="2:10">
      <c r="B37" s="205"/>
      <c r="C37" s="1672"/>
      <c r="D37" s="1262" t="str">
        <f>VLOOKUP(F36&amp;$F37,$D$248:$I$460,5,FALSE)</f>
        <v xml:space="preserve"> MU00432</v>
      </c>
      <c r="E37" s="794">
        <f>VLOOKUP(F36&amp;$F37,$D$248:$I$460,4,FALSE)</f>
        <v>11060096</v>
      </c>
      <c r="F37" s="187" t="s">
        <v>70</v>
      </c>
      <c r="G37" s="1208">
        <f>G36</f>
        <v>0</v>
      </c>
      <c r="H37" s="159" t="str">
        <f>IF(ISERROR(IF(G37&gt;=1,VLOOKUP(F37,F$247:I$460,4,FALSE),"")),"",IF(G37&gt;=1,VLOOKUP(F37,F$247:I$460,4,FALSE),""))</f>
        <v/>
      </c>
      <c r="I37" s="160" t="str">
        <f t="shared" ref="I37:I47" si="8">IF(ISERROR(H37*G37),"",H37*G37)</f>
        <v/>
      </c>
      <c r="J37" s="118"/>
    </row>
    <row r="38" spans="2:10">
      <c r="B38" s="205"/>
      <c r="C38" s="1674"/>
      <c r="D38" s="1262"/>
      <c r="E38" s="794"/>
      <c r="F38" s="157"/>
      <c r="G38" s="146"/>
      <c r="H38" s="159"/>
      <c r="I38" s="160"/>
      <c r="J38" s="118"/>
    </row>
    <row r="39" spans="2:10" ht="15">
      <c r="B39" s="205"/>
      <c r="C39" s="397" t="s">
        <v>554</v>
      </c>
      <c r="D39" s="1264"/>
      <c r="E39" s="1264"/>
      <c r="F39" s="399"/>
      <c r="G39" s="400"/>
      <c r="H39" s="432"/>
      <c r="I39" s="431"/>
      <c r="J39" s="118"/>
    </row>
    <row r="40" spans="2:10">
      <c r="B40" s="205"/>
      <c r="C40" s="1671"/>
      <c r="D40" s="1262" t="str">
        <f t="shared" ref="D40:D45" si="9">VLOOKUP($F40,$F$248:$I$460,3,FALSE)</f>
        <v>1036721</v>
      </c>
      <c r="E40" s="466">
        <f t="shared" ref="E40:E45" si="10">VLOOKUP($F40,$F$248:$I$460,2,FALSE)</f>
        <v>11050023</v>
      </c>
      <c r="F40" s="157" t="s">
        <v>87</v>
      </c>
      <c r="G40" s="1208"/>
      <c r="H40" s="159" t="str">
        <f t="shared" ref="H40:H45" si="11">IF(ISERROR(IF(G40&gt;=1,VLOOKUP(F40,F$247:I$460,4,FALSE),"")),"",IF(G40&gt;=1,VLOOKUP(F40,F$247:I$460,4,FALSE),""))</f>
        <v/>
      </c>
      <c r="I40" s="160" t="str">
        <f t="shared" si="8"/>
        <v/>
      </c>
      <c r="J40" s="118"/>
    </row>
    <row r="41" spans="2:10">
      <c r="B41" s="205"/>
      <c r="C41" s="1672"/>
      <c r="D41" s="1262">
        <f t="shared" si="9"/>
        <v>5318678</v>
      </c>
      <c r="E41" s="466">
        <f t="shared" si="10"/>
        <v>11990007</v>
      </c>
      <c r="F41" s="157" t="s">
        <v>98</v>
      </c>
      <c r="G41" s="1208">
        <f>G40</f>
        <v>0</v>
      </c>
      <c r="H41" s="159" t="str">
        <f t="shared" si="11"/>
        <v/>
      </c>
      <c r="I41" s="160" t="str">
        <f t="shared" si="8"/>
        <v/>
      </c>
      <c r="J41" s="118"/>
    </row>
    <row r="42" spans="2:10">
      <c r="B42" s="205"/>
      <c r="C42" s="1672"/>
      <c r="D42" s="1262" t="str">
        <f t="shared" si="9"/>
        <v>SKME2046\01</v>
      </c>
      <c r="E42" s="466">
        <f t="shared" si="10"/>
        <v>13120007</v>
      </c>
      <c r="F42" s="157" t="s">
        <v>100</v>
      </c>
      <c r="G42" s="1208">
        <f>G40</f>
        <v>0</v>
      </c>
      <c r="H42" s="159" t="str">
        <f t="shared" si="11"/>
        <v/>
      </c>
      <c r="I42" s="160" t="str">
        <f t="shared" si="8"/>
        <v/>
      </c>
      <c r="J42" s="118"/>
    </row>
    <row r="43" spans="2:10">
      <c r="B43" s="205"/>
      <c r="C43" s="1672"/>
      <c r="D43" s="1262" t="str">
        <f t="shared" si="9"/>
        <v>6032867</v>
      </c>
      <c r="E43" s="466" t="str">
        <f t="shared" si="10"/>
        <v>11050024</v>
      </c>
      <c r="F43" s="157" t="s">
        <v>89</v>
      </c>
      <c r="G43" s="1208">
        <f>G40</f>
        <v>0</v>
      </c>
      <c r="H43" s="159" t="str">
        <f t="shared" si="11"/>
        <v/>
      </c>
      <c r="I43" s="160" t="str">
        <f t="shared" si="8"/>
        <v/>
      </c>
      <c r="J43" s="118"/>
    </row>
    <row r="44" spans="2:10">
      <c r="B44" s="205"/>
      <c r="C44" s="1672"/>
      <c r="D44" s="1262" t="str">
        <f t="shared" si="9"/>
        <v>6032868</v>
      </c>
      <c r="E44" s="466" t="str">
        <f t="shared" si="10"/>
        <v>11050025</v>
      </c>
      <c r="F44" s="157" t="s">
        <v>90</v>
      </c>
      <c r="G44" s="1208"/>
      <c r="H44" s="159" t="str">
        <f t="shared" si="11"/>
        <v/>
      </c>
      <c r="I44" s="160" t="str">
        <f t="shared" si="8"/>
        <v/>
      </c>
      <c r="J44" s="118"/>
    </row>
    <row r="45" spans="2:10">
      <c r="B45" s="205"/>
      <c r="C45" s="1674"/>
      <c r="D45" s="1262" t="str">
        <f t="shared" si="9"/>
        <v>CG003</v>
      </c>
      <c r="E45" s="466">
        <f t="shared" si="10"/>
        <v>13120016</v>
      </c>
      <c r="F45" s="157" t="s">
        <v>396</v>
      </c>
      <c r="G45" s="1208"/>
      <c r="H45" s="159" t="str">
        <f t="shared" si="11"/>
        <v/>
      </c>
      <c r="I45" s="160" t="str">
        <f t="shared" si="8"/>
        <v/>
      </c>
      <c r="J45" s="118"/>
    </row>
    <row r="46" spans="2:10">
      <c r="B46" s="205"/>
      <c r="C46" s="165"/>
      <c r="D46" s="937"/>
      <c r="E46" s="22"/>
      <c r="F46" s="196"/>
      <c r="G46" s="146"/>
      <c r="H46" s="159"/>
      <c r="I46" s="160">
        <f t="shared" si="8"/>
        <v>0</v>
      </c>
      <c r="J46" s="118"/>
    </row>
    <row r="47" spans="2:10" ht="12.75" customHeight="1" thickBot="1">
      <c r="B47" s="205"/>
      <c r="C47" s="24"/>
      <c r="D47" s="948"/>
      <c r="E47" s="25"/>
      <c r="F47" s="212"/>
      <c r="G47" s="147"/>
      <c r="H47" s="351" t="str">
        <f>IF(ISERROR(IF(G47&gt;=1,VLOOKUP(F47,F$247:I$460,4,FALSE),"")),"",IF(G47&gt;=1,VLOOKUP(F47,F$247:I$460,4,FALSE),""))</f>
        <v/>
      </c>
      <c r="I47" s="250" t="str">
        <f t="shared" si="8"/>
        <v/>
      </c>
      <c r="J47" s="118"/>
    </row>
    <row r="48" spans="2:10" ht="12.75" customHeight="1" thickBot="1">
      <c r="B48" s="205"/>
      <c r="C48" s="26"/>
      <c r="D48" s="26"/>
      <c r="E48" s="26"/>
      <c r="F48" s="153"/>
      <c r="G48" s="369"/>
      <c r="H48" s="211" t="s">
        <v>42</v>
      </c>
      <c r="I48" s="430">
        <f>SUM(I36:I47)</f>
        <v>0</v>
      </c>
      <c r="J48" s="118"/>
    </row>
    <row r="49" spans="2:10" ht="12.75" customHeight="1" thickBot="1">
      <c r="B49" s="205"/>
      <c r="C49" s="26"/>
      <c r="D49" s="26"/>
      <c r="E49" s="26"/>
      <c r="F49" s="153"/>
      <c r="G49" s="369"/>
      <c r="H49" s="229"/>
      <c r="I49" s="401"/>
      <c r="J49" s="118"/>
    </row>
    <row r="50" spans="2:10" ht="16.5" thickBot="1">
      <c r="B50" s="205"/>
      <c r="C50" s="80" t="s">
        <v>315</v>
      </c>
      <c r="D50" s="81"/>
      <c r="E50" s="81"/>
      <c r="F50" s="107"/>
      <c r="G50" s="83"/>
      <c r="H50" s="82"/>
      <c r="I50" s="84"/>
      <c r="J50" s="118"/>
    </row>
    <row r="51" spans="2:10" ht="4.5" customHeight="1" thickBot="1">
      <c r="B51"/>
      <c r="C51"/>
      <c r="D51"/>
      <c r="E51"/>
      <c r="F51"/>
      <c r="G51"/>
      <c r="H51"/>
      <c r="I51"/>
      <c r="J51" s="118"/>
    </row>
    <row r="52" spans="2:10">
      <c r="B52" s="205"/>
      <c r="C52" s="1675"/>
      <c r="D52" s="1265" t="s">
        <v>1258</v>
      </c>
      <c r="E52" s="257">
        <v>13110007</v>
      </c>
      <c r="F52" s="1268" t="s">
        <v>1383</v>
      </c>
      <c r="G52" s="371">
        <f>SUM(G17,G22,G27)</f>
        <v>0</v>
      </c>
      <c r="H52" s="1270">
        <v>1083</v>
      </c>
      <c r="I52" s="249">
        <f t="shared" ref="I52:I71" si="12">IF(ISERROR(H52*G52),"",H52*G52)</f>
        <v>0</v>
      </c>
      <c r="J52" s="118"/>
    </row>
    <row r="53" spans="2:10" hidden="1">
      <c r="B53" s="205"/>
      <c r="C53" s="1672"/>
      <c r="D53" s="1262" t="str">
        <f>VLOOKUP($F53,$F$248:$I$460,3,FALSE)</f>
        <v>CUSTOM</v>
      </c>
      <c r="E53" s="466">
        <f>VLOOKUP($F53,$F$248:$I$460,2,FALSE)</f>
        <v>0</v>
      </c>
      <c r="F53" s="1263" t="s">
        <v>490</v>
      </c>
      <c r="G53" s="146"/>
      <c r="H53" s="964" t="str">
        <f>IF(G53&gt;=1,VLOOKUP(F53,F$247:I$460,4,FALSE),"")</f>
        <v/>
      </c>
      <c r="I53" s="160" t="str">
        <f t="shared" si="12"/>
        <v/>
      </c>
      <c r="J53" s="118"/>
    </row>
    <row r="54" spans="2:10">
      <c r="B54" s="205"/>
      <c r="C54" s="1672"/>
      <c r="D54" s="1266" t="s">
        <v>1102</v>
      </c>
      <c r="E54" s="1267" t="s">
        <v>1101</v>
      </c>
      <c r="F54" s="1263" t="s">
        <v>1100</v>
      </c>
      <c r="G54" s="146"/>
      <c r="H54" s="964">
        <v>5500</v>
      </c>
      <c r="I54" s="160">
        <f t="shared" si="12"/>
        <v>0</v>
      </c>
      <c r="J54" s="118"/>
    </row>
    <row r="55" spans="2:10">
      <c r="B55" s="205"/>
      <c r="C55" s="1672"/>
      <c r="D55" s="1262"/>
      <c r="E55" s="466"/>
      <c r="F55" s="1263"/>
      <c r="G55" s="146"/>
      <c r="H55" s="964"/>
      <c r="I55" s="160"/>
      <c r="J55" s="118"/>
    </row>
    <row r="56" spans="2:10" ht="25.5">
      <c r="B56" s="205"/>
      <c r="C56" s="1672"/>
      <c r="D56" s="1262" t="str">
        <f>VLOOKUP($F56,$F$248:$I$460,3,FALSE)</f>
        <v>TSTAWBP30431.75-1.6A</v>
      </c>
      <c r="E56" s="466" t="str">
        <f>VLOOKUP($F56,$F$248:$I$460,2,FALSE)</f>
        <v>02020036</v>
      </c>
      <c r="F56" s="390" t="s">
        <v>366</v>
      </c>
      <c r="G56" s="146">
        <f t="shared" ref="G56:G58" si="13">$G$52</f>
        <v>0</v>
      </c>
      <c r="H56" s="964" t="str">
        <f>IF(G56&gt;=1,VLOOKUP(F56,F$247:I$460,4,FALSE),"")</f>
        <v/>
      </c>
      <c r="I56" s="160" t="str">
        <f t="shared" si="12"/>
        <v/>
      </c>
      <c r="J56" s="118"/>
    </row>
    <row r="57" spans="2:10" ht="25.5">
      <c r="B57" s="205"/>
      <c r="C57" s="1672"/>
      <c r="D57" s="1262" t="str">
        <f>VLOOKUP($F57,$F$248:$I$460,3,FALSE)</f>
        <v>TSTAWBP30431.75-1.6A</v>
      </c>
      <c r="E57" s="466" t="str">
        <f>VLOOKUP($F57,$F$248:$I$460,2,FALSE)</f>
        <v>02020035</v>
      </c>
      <c r="F57" s="390" t="s">
        <v>365</v>
      </c>
      <c r="G57" s="146">
        <f t="shared" si="13"/>
        <v>0</v>
      </c>
      <c r="H57" s="964" t="str">
        <f>IF(G57&gt;=1,VLOOKUP(F57,F$247:I$460,4,FALSE),"")</f>
        <v/>
      </c>
      <c r="I57" s="160" t="str">
        <f t="shared" si="12"/>
        <v/>
      </c>
      <c r="J57" s="118"/>
    </row>
    <row r="58" spans="2:10">
      <c r="B58" s="205"/>
      <c r="C58" s="1672"/>
      <c r="D58" s="1262" t="str">
        <f>VLOOKUP($F58,$F$248:$I$460,3,FALSE)</f>
        <v>FA62048</v>
      </c>
      <c r="E58" s="466" t="str">
        <f>VLOOKUP($F58,$F$248:$I$460,2,FALSE)</f>
        <v>02020124</v>
      </c>
      <c r="F58" s="390" t="s">
        <v>503</v>
      </c>
      <c r="G58" s="146">
        <f t="shared" si="13"/>
        <v>0</v>
      </c>
      <c r="H58" s="964" t="str">
        <f>IF(G58&gt;=1,VLOOKUP(F58,F$247:I$460,4,FALSE),"")</f>
        <v/>
      </c>
      <c r="I58" s="160" t="str">
        <f t="shared" si="12"/>
        <v/>
      </c>
      <c r="J58" s="118"/>
    </row>
    <row r="59" spans="2:10">
      <c r="B59" s="205"/>
      <c r="C59" s="1672"/>
      <c r="D59" s="1262"/>
      <c r="E59" s="466"/>
      <c r="F59" s="390"/>
      <c r="G59" s="146"/>
      <c r="H59" s="964"/>
      <c r="I59" s="160"/>
      <c r="J59" s="118"/>
    </row>
    <row r="60" spans="2:10">
      <c r="B60" s="205"/>
      <c r="C60" s="1672"/>
      <c r="D60" s="1262" t="str">
        <f>VLOOKUP($F60,$F$248:$I$460,3,FALSE)</f>
        <v>FA62047</v>
      </c>
      <c r="E60" s="466" t="str">
        <f>VLOOKUP($F60,$F$248:$I$460,2,FALSE)</f>
        <v>02020123</v>
      </c>
      <c r="F60" s="390" t="s">
        <v>504</v>
      </c>
      <c r="G60" s="146">
        <f>$G$52</f>
        <v>0</v>
      </c>
      <c r="H60" s="964" t="str">
        <f>IF(G60&gt;=1,VLOOKUP(F60,F$247:I$460,4,FALSE),"")</f>
        <v/>
      </c>
      <c r="I60" s="160" t="str">
        <f t="shared" si="12"/>
        <v/>
      </c>
      <c r="J60" s="118"/>
    </row>
    <row r="61" spans="2:10">
      <c r="B61" s="205"/>
      <c r="C61" s="1672"/>
      <c r="D61" s="1262" t="str">
        <f>VLOOKUP($F61,$F$248:$I$460,3,FALSE)</f>
        <v>FA62044</v>
      </c>
      <c r="E61" s="466" t="str">
        <f>VLOOKUP($F61,$F$248:$I$460,2,FALSE)</f>
        <v>02020121</v>
      </c>
      <c r="F61" s="390" t="s">
        <v>505</v>
      </c>
      <c r="G61" s="146"/>
      <c r="H61" s="964" t="str">
        <f>IF(G61&gt;=1,VLOOKUP(F61,F$247:I$460,4,FALSE),"")</f>
        <v/>
      </c>
      <c r="I61" s="160" t="str">
        <f t="shared" si="12"/>
        <v/>
      </c>
      <c r="J61" s="118"/>
    </row>
    <row r="62" spans="2:10">
      <c r="B62" s="205"/>
      <c r="C62" s="1672"/>
      <c r="D62" s="1262" t="str">
        <f>VLOOKUP($F62,$F$248:$I$460,3,FALSE)</f>
        <v>FA62046</v>
      </c>
      <c r="E62" s="466" t="str">
        <f>VLOOKUP($F62,$F$248:$I$460,2,FALSE)</f>
        <v>02020122</v>
      </c>
      <c r="F62" s="390" t="s">
        <v>506</v>
      </c>
      <c r="G62" s="146"/>
      <c r="H62" s="964" t="str">
        <f>IF(G62&gt;=1,VLOOKUP(F62,F$247:I$460,4,FALSE),"")</f>
        <v/>
      </c>
      <c r="I62" s="160" t="str">
        <f t="shared" si="12"/>
        <v/>
      </c>
      <c r="J62" s="118"/>
    </row>
    <row r="63" spans="2:10">
      <c r="B63" s="205"/>
      <c r="C63" s="1672"/>
      <c r="D63" s="1262"/>
      <c r="E63" s="466"/>
      <c r="F63" s="390"/>
      <c r="G63" s="146"/>
      <c r="H63" s="964"/>
      <c r="I63" s="160"/>
      <c r="J63" s="118"/>
    </row>
    <row r="64" spans="2:10">
      <c r="B64" s="205"/>
      <c r="C64" s="1672"/>
      <c r="D64" s="1262" t="str">
        <f t="shared" ref="D64:D69" si="14">VLOOKUP($F64,$F$248:$I$460,3,FALSE)</f>
        <v>FA62050</v>
      </c>
      <c r="E64" s="466" t="str">
        <f t="shared" ref="E64:E69" si="15">VLOOKUP($F64,$F$248:$I$460,2,FALSE)</f>
        <v>02020126</v>
      </c>
      <c r="F64" s="390" t="s">
        <v>499</v>
      </c>
      <c r="G64" s="146"/>
      <c r="H64" s="964" t="str">
        <f t="shared" ref="H64:H71" si="16">IF(G64&gt;=1,VLOOKUP(F64,F$247:I$460,4,FALSE),"")</f>
        <v/>
      </c>
      <c r="I64" s="160" t="str">
        <f t="shared" si="12"/>
        <v/>
      </c>
      <c r="J64" s="118"/>
    </row>
    <row r="65" spans="2:10">
      <c r="B65" s="205"/>
      <c r="C65" s="1672"/>
      <c r="D65" s="1262" t="str">
        <f t="shared" si="14"/>
        <v>FA62049</v>
      </c>
      <c r="E65" s="466" t="str">
        <f t="shared" si="15"/>
        <v>02020125</v>
      </c>
      <c r="F65" s="390" t="s">
        <v>500</v>
      </c>
      <c r="G65" s="443">
        <f>G52*2</f>
        <v>0</v>
      </c>
      <c r="H65" s="964" t="str">
        <f t="shared" si="16"/>
        <v/>
      </c>
      <c r="I65" s="160" t="str">
        <f t="shared" si="12"/>
        <v/>
      </c>
      <c r="J65" s="118"/>
    </row>
    <row r="66" spans="2:10">
      <c r="B66" s="205"/>
      <c r="C66" s="1672"/>
      <c r="D66" s="1262" t="str">
        <f t="shared" si="14"/>
        <v>FA62051</v>
      </c>
      <c r="E66" s="466" t="str">
        <f t="shared" si="15"/>
        <v>02020127</v>
      </c>
      <c r="F66" s="390" t="s">
        <v>501</v>
      </c>
      <c r="G66" s="146"/>
      <c r="H66" s="964" t="str">
        <f t="shared" si="16"/>
        <v/>
      </c>
      <c r="I66" s="160" t="str">
        <f t="shared" si="12"/>
        <v/>
      </c>
      <c r="J66" s="118"/>
    </row>
    <row r="67" spans="2:10">
      <c r="B67" s="205"/>
      <c r="C67" s="1672"/>
      <c r="D67" s="1262" t="str">
        <f t="shared" si="14"/>
        <v>MAT-2010-0881-001</v>
      </c>
      <c r="E67" s="466">
        <f t="shared" si="15"/>
        <v>13090026</v>
      </c>
      <c r="F67" s="390" t="s">
        <v>1140</v>
      </c>
      <c r="G67" s="146"/>
      <c r="H67" s="964" t="str">
        <f t="shared" si="16"/>
        <v/>
      </c>
      <c r="I67" s="160" t="str">
        <f t="shared" ref="I67" si="17">IF(ISERROR(H67*G67),"",H67*G67)</f>
        <v/>
      </c>
      <c r="J67" s="118"/>
    </row>
    <row r="68" spans="2:10">
      <c r="B68" s="205"/>
      <c r="C68" s="1672"/>
      <c r="D68" s="1262" t="str">
        <f t="shared" si="14"/>
        <v>FA62052</v>
      </c>
      <c r="E68" s="466" t="str">
        <f t="shared" si="15"/>
        <v>02020128</v>
      </c>
      <c r="F68" s="390" t="s">
        <v>502</v>
      </c>
      <c r="G68" s="146"/>
      <c r="H68" s="964" t="str">
        <f t="shared" si="16"/>
        <v/>
      </c>
      <c r="I68" s="160" t="str">
        <f t="shared" si="12"/>
        <v/>
      </c>
      <c r="J68" s="118"/>
    </row>
    <row r="69" spans="2:10">
      <c r="B69" s="205"/>
      <c r="C69" s="1674"/>
      <c r="D69" s="1262" t="str">
        <f t="shared" si="14"/>
        <v>SK-MECH-602</v>
      </c>
      <c r="E69" s="466">
        <f t="shared" si="15"/>
        <v>13080029</v>
      </c>
      <c r="F69" s="1269" t="s">
        <v>367</v>
      </c>
      <c r="G69" s="146"/>
      <c r="H69" s="964" t="str">
        <f t="shared" si="16"/>
        <v/>
      </c>
      <c r="I69" s="160" t="str">
        <f t="shared" si="12"/>
        <v/>
      </c>
      <c r="J69" s="118"/>
    </row>
    <row r="70" spans="2:10" ht="12.75" customHeight="1">
      <c r="B70" s="205"/>
      <c r="C70" s="165"/>
      <c r="D70" s="937"/>
      <c r="E70" s="22"/>
      <c r="F70" s="196"/>
      <c r="G70" s="146"/>
      <c r="H70" s="964" t="str">
        <f t="shared" si="16"/>
        <v/>
      </c>
      <c r="I70" s="160" t="str">
        <f t="shared" si="12"/>
        <v/>
      </c>
      <c r="J70" s="118"/>
    </row>
    <row r="71" spans="2:10" ht="12.75" customHeight="1" thickBot="1">
      <c r="B71" s="205"/>
      <c r="C71" s="24"/>
      <c r="D71" s="948"/>
      <c r="E71" s="25"/>
      <c r="F71" s="373"/>
      <c r="G71" s="147"/>
      <c r="H71" s="351" t="str">
        <f t="shared" si="16"/>
        <v/>
      </c>
      <c r="I71" s="248" t="str">
        <f t="shared" si="12"/>
        <v/>
      </c>
      <c r="J71" s="118"/>
    </row>
    <row r="72" spans="2:10" ht="12.75" customHeight="1" thickBot="1">
      <c r="B72" s="205"/>
      <c r="C72" s="26"/>
      <c r="D72" s="26"/>
      <c r="E72" s="26"/>
      <c r="F72" s="27"/>
      <c r="G72" s="28"/>
      <c r="H72" s="211" t="s">
        <v>42</v>
      </c>
      <c r="I72" s="430">
        <f>SUM(I52:I71)</f>
        <v>0</v>
      </c>
      <c r="J72" s="118"/>
    </row>
    <row r="73" spans="2:10" ht="12.75" customHeight="1" thickBot="1">
      <c r="B73" s="205"/>
      <c r="C73" s="26"/>
      <c r="D73" s="26"/>
      <c r="E73" s="26"/>
      <c r="F73" s="26"/>
      <c r="G73" s="26"/>
      <c r="H73" s="26"/>
      <c r="I73" s="26"/>
      <c r="J73" s="26"/>
    </row>
    <row r="74" spans="2:10" ht="16.5" thickBot="1">
      <c r="B74" s="205"/>
      <c r="C74" s="80" t="s">
        <v>137</v>
      </c>
      <c r="D74" s="81"/>
      <c r="E74" s="81"/>
      <c r="F74" s="374" t="str">
        <f>IF(G81&gt;=1, "Enhanced Data Matrix Requires a Midi Printhead","")</f>
        <v/>
      </c>
      <c r="G74" s="83"/>
      <c r="H74" s="82"/>
      <c r="I74" s="84"/>
      <c r="J74" s="118"/>
    </row>
    <row r="75" spans="2:10" ht="4.5" customHeight="1" thickBot="1">
      <c r="B75"/>
      <c r="C75"/>
      <c r="D75"/>
      <c r="E75"/>
      <c r="F75"/>
      <c r="G75"/>
      <c r="H75"/>
      <c r="I75"/>
      <c r="J75" s="118"/>
    </row>
    <row r="76" spans="2:10" ht="12.75" customHeight="1">
      <c r="B76" s="205"/>
      <c r="C76" s="1675"/>
      <c r="D76" s="947" t="str">
        <f t="shared" ref="D76:D81" si="18">VLOOKUP($F76,$F$248:$I$460,3,FALSE)</f>
        <v>FA74276</v>
      </c>
      <c r="E76" s="257" t="str">
        <f t="shared" ref="E76:E81" si="19">VLOOKUP($F76,$F$248:$I$460,2,FALSE)</f>
        <v>02020389</v>
      </c>
      <c r="F76" s="157" t="s">
        <v>368</v>
      </c>
      <c r="G76" s="371"/>
      <c r="H76" s="372" t="str">
        <f t="shared" ref="H76:H81" si="20">IF(G76&gt;=1,VLOOKUP(F76,F$247:I$460,4,FALSE),"")</f>
        <v/>
      </c>
      <c r="I76" s="338" t="str">
        <f t="shared" ref="I76:I92" si="21">IF(ISERROR(H76*G76),"",H76*G76)</f>
        <v/>
      </c>
      <c r="J76" s="118"/>
    </row>
    <row r="77" spans="2:10" ht="25.5">
      <c r="B77" s="205"/>
      <c r="C77" s="1672"/>
      <c r="D77" s="937" t="str">
        <f t="shared" si="18"/>
        <v>LCE-102A-Y</v>
      </c>
      <c r="E77" s="466" t="str">
        <f t="shared" si="19"/>
        <v>99990085, 03020034</v>
      </c>
      <c r="F77" s="390" t="s">
        <v>371</v>
      </c>
      <c r="G77" s="146"/>
      <c r="H77" s="140" t="str">
        <f t="shared" si="20"/>
        <v/>
      </c>
      <c r="I77" s="61" t="str">
        <f t="shared" si="21"/>
        <v/>
      </c>
      <c r="J77" s="118"/>
    </row>
    <row r="78" spans="2:10" ht="25.5">
      <c r="B78" s="205"/>
      <c r="C78" s="1672"/>
      <c r="D78" s="937">
        <f t="shared" si="18"/>
        <v>0</v>
      </c>
      <c r="E78" s="466" t="str">
        <f t="shared" si="19"/>
        <v>13080149 
03020034</v>
      </c>
      <c r="F78" s="390" t="s">
        <v>372</v>
      </c>
      <c r="G78" s="146"/>
      <c r="H78" s="140" t="str">
        <f t="shared" si="20"/>
        <v/>
      </c>
      <c r="I78" s="61" t="str">
        <f t="shared" si="21"/>
        <v/>
      </c>
      <c r="J78" s="118"/>
    </row>
    <row r="79" spans="2:10" ht="12.75" customHeight="1">
      <c r="B79" s="205"/>
      <c r="C79" s="1672"/>
      <c r="D79" s="937" t="str">
        <f t="shared" si="18"/>
        <v>FA72129</v>
      </c>
      <c r="E79" s="22" t="str">
        <f t="shared" si="19"/>
        <v>02020229</v>
      </c>
      <c r="F79" s="196" t="s">
        <v>374</v>
      </c>
      <c r="G79" s="146"/>
      <c r="H79" s="140" t="str">
        <f t="shared" si="20"/>
        <v/>
      </c>
      <c r="I79" s="61" t="str">
        <f t="shared" si="21"/>
        <v/>
      </c>
      <c r="J79" s="118"/>
    </row>
    <row r="80" spans="2:10" ht="12.75" customHeight="1">
      <c r="B80" s="205"/>
      <c r="C80" s="1672"/>
      <c r="D80" s="937" t="str">
        <f t="shared" si="18"/>
        <v>FA72177</v>
      </c>
      <c r="E80" s="22" t="str">
        <f t="shared" si="19"/>
        <v>02020446</v>
      </c>
      <c r="F80" s="196" t="s">
        <v>508</v>
      </c>
      <c r="G80" s="146"/>
      <c r="H80" s="140" t="str">
        <f t="shared" si="20"/>
        <v/>
      </c>
      <c r="I80" s="61" t="str">
        <f t="shared" si="21"/>
        <v/>
      </c>
      <c r="J80" s="118"/>
    </row>
    <row r="81" spans="2:11" ht="12.75" customHeight="1">
      <c r="B81" s="205"/>
      <c r="C81" s="1672"/>
      <c r="D81" s="937" t="str">
        <f t="shared" si="18"/>
        <v>H-7-9-314-00</v>
      </c>
      <c r="E81" s="22">
        <f t="shared" si="19"/>
        <v>0</v>
      </c>
      <c r="F81" s="196" t="s">
        <v>362</v>
      </c>
      <c r="G81" s="146"/>
      <c r="H81" s="140" t="str">
        <f t="shared" si="20"/>
        <v/>
      </c>
      <c r="I81" s="61" t="str">
        <f t="shared" ref="I81:I83" si="22">IF(ISERROR(H81*G81),"",H81*G81)</f>
        <v/>
      </c>
      <c r="J81" s="118"/>
    </row>
    <row r="82" spans="2:11" ht="12.75" customHeight="1">
      <c r="B82" s="205"/>
      <c r="C82" s="1672"/>
      <c r="D82" s="937"/>
      <c r="E82" s="22"/>
      <c r="F82" s="196"/>
      <c r="G82" s="146"/>
      <c r="H82" s="140"/>
      <c r="I82" s="61"/>
      <c r="J82" s="118"/>
    </row>
    <row r="83" spans="2:11" ht="12.75" customHeight="1">
      <c r="B83" s="205"/>
      <c r="C83" s="1672"/>
      <c r="D83" s="937" t="str">
        <f>VLOOKUP($F83,$F$248:$I$460,3,FALSE)</f>
        <v>GDD4130-BK</v>
      </c>
      <c r="E83" s="22" t="str">
        <f>VLOOKUP($F83,$F$248:$I$460,2,FALSE)</f>
        <v>10040032</v>
      </c>
      <c r="F83" s="196" t="s">
        <v>397</v>
      </c>
      <c r="G83" s="146">
        <f>G89</f>
        <v>0</v>
      </c>
      <c r="H83" s="140" t="str">
        <f>IF(G83&gt;=1,VLOOKUP(F83,F$247:I$460,4,FALSE),"")</f>
        <v/>
      </c>
      <c r="I83" s="61" t="str">
        <f t="shared" si="22"/>
        <v/>
      </c>
      <c r="J83" s="118"/>
    </row>
    <row r="84" spans="2:11" ht="12.75" customHeight="1">
      <c r="B84" s="205"/>
      <c r="C84" s="1672"/>
      <c r="D84" s="937" t="str">
        <f>VLOOKUP($F84,$F$248:$I$460,3,FALSE)</f>
        <v>GM4130-BK-433K2</v>
      </c>
      <c r="E84" s="22" t="str">
        <f>VLOOKUP($F84,$F$248:$I$460,2,FALSE)</f>
        <v>10040052</v>
      </c>
      <c r="F84" s="196" t="s">
        <v>398</v>
      </c>
      <c r="G84" s="146"/>
      <c r="H84" s="140" t="str">
        <f>IF(G84&gt;=1,VLOOKUP(F84,F$247:I$460,4,FALSE),"")</f>
        <v/>
      </c>
      <c r="I84" s="61" t="str">
        <f t="shared" si="21"/>
        <v/>
      </c>
      <c r="J84" s="118"/>
    </row>
    <row r="85" spans="2:11" ht="12.75" customHeight="1">
      <c r="B85" s="205"/>
      <c r="C85" s="1672"/>
      <c r="D85" s="937"/>
      <c r="E85" s="22"/>
      <c r="F85" s="196"/>
      <c r="G85" s="146"/>
      <c r="H85" s="140"/>
      <c r="I85" s="61"/>
      <c r="J85" s="118"/>
    </row>
    <row r="86" spans="2:11" ht="12.75" customHeight="1">
      <c r="B86" s="205"/>
      <c r="C86" s="1672"/>
      <c r="D86" s="937" t="str">
        <f>VLOOKUP($F86,$F$248:$I$460,3,FALSE)</f>
        <v>FA69044</v>
      </c>
      <c r="E86" s="22" t="str">
        <f>VLOOKUP($F86,$F$248:$I$460,2,FALSE)</f>
        <v>02020158</v>
      </c>
      <c r="F86" s="196" t="s">
        <v>373</v>
      </c>
      <c r="G86" s="146"/>
      <c r="H86" s="140" t="str">
        <f t="shared" ref="H86:H92" si="23">IF(G86&gt;=1,VLOOKUP(F86,F$247:I$460,4,FALSE),"")</f>
        <v/>
      </c>
      <c r="I86" s="61" t="str">
        <f t="shared" si="21"/>
        <v/>
      </c>
      <c r="J86" s="118"/>
    </row>
    <row r="87" spans="2:11" ht="12.75" customHeight="1">
      <c r="B87" s="205"/>
      <c r="C87" s="1672"/>
      <c r="D87" s="937" t="str">
        <f>VLOOKUP($F87,$F$248:$I$460,3,FALSE)</f>
        <v>FA67050</v>
      </c>
      <c r="E87" s="22" t="str">
        <f>VLOOKUP($F87,$F$248:$I$460,2,FALSE)</f>
        <v>02020151</v>
      </c>
      <c r="F87" s="196" t="s">
        <v>681</v>
      </c>
      <c r="G87" s="146"/>
      <c r="H87" s="140" t="str">
        <f t="shared" si="23"/>
        <v/>
      </c>
      <c r="I87" s="61" t="str">
        <f t="shared" si="21"/>
        <v/>
      </c>
      <c r="J87" s="118"/>
    </row>
    <row r="88" spans="2:11" ht="12.75" customHeight="1">
      <c r="B88" s="205"/>
      <c r="C88" s="1672"/>
      <c r="D88" s="937" t="str">
        <f>VLOOKUP($F88,$F$248:$I$460,3,FALSE)</f>
        <v>FA62068</v>
      </c>
      <c r="E88" s="22" t="str">
        <f>VLOOKUP($F88,$F$248:$I$460,2,FALSE)</f>
        <v>02020132</v>
      </c>
      <c r="F88" s="196" t="s">
        <v>369</v>
      </c>
      <c r="G88" s="146"/>
      <c r="H88" s="140" t="str">
        <f t="shared" si="23"/>
        <v/>
      </c>
      <c r="I88" s="61" t="str">
        <f t="shared" ref="I88:I90" si="24">IF(ISERROR(H88*G88),"",H88*G88)</f>
        <v/>
      </c>
      <c r="J88" s="118"/>
    </row>
    <row r="89" spans="2:11" ht="12.75" customHeight="1">
      <c r="B89" s="205"/>
      <c r="C89" s="1672"/>
      <c r="D89" s="937">
        <f>VLOOKUP($F89,$F$248:$I$460,3,FALSE)</f>
        <v>0</v>
      </c>
      <c r="E89" s="22">
        <f>VLOOKUP($F89,$F$248:$I$460,2,FALSE)</f>
        <v>0</v>
      </c>
      <c r="F89" s="196" t="s">
        <v>1073</v>
      </c>
      <c r="G89" s="146"/>
      <c r="H89" s="140" t="str">
        <f t="shared" si="23"/>
        <v/>
      </c>
      <c r="I89" s="61" t="str">
        <f t="shared" si="24"/>
        <v/>
      </c>
      <c r="J89" s="118"/>
    </row>
    <row r="90" spans="2:11" ht="12.75" customHeight="1">
      <c r="B90" s="205"/>
      <c r="C90" s="1674"/>
      <c r="D90" s="937" t="str">
        <f>VLOOKUP($F90,$F$248:$I$460,3,FALSE)</f>
        <v>H-7-9-316-00</v>
      </c>
      <c r="E90" s="22">
        <f>VLOOKUP($F90,$F$248:$I$460,2,FALSE)</f>
        <v>12080039</v>
      </c>
      <c r="F90" s="196" t="s">
        <v>773</v>
      </c>
      <c r="G90" s="790">
        <f>G80</f>
        <v>0</v>
      </c>
      <c r="H90" s="140" t="str">
        <f t="shared" si="23"/>
        <v/>
      </c>
      <c r="I90" s="61" t="str">
        <f t="shared" si="24"/>
        <v/>
      </c>
      <c r="J90" s="118"/>
    </row>
    <row r="91" spans="2:11" ht="12.75" customHeight="1">
      <c r="B91" s="205"/>
      <c r="C91" s="165"/>
      <c r="D91" s="937"/>
      <c r="E91" s="22"/>
      <c r="F91" s="196"/>
      <c r="G91" s="146"/>
      <c r="H91" s="140" t="str">
        <f t="shared" si="23"/>
        <v/>
      </c>
      <c r="I91" s="61" t="str">
        <f t="shared" si="21"/>
        <v/>
      </c>
      <c r="J91" s="118"/>
    </row>
    <row r="92" spans="2:11" ht="12.75" customHeight="1" thickBot="1">
      <c r="B92" s="205"/>
      <c r="C92" s="24"/>
      <c r="D92" s="948"/>
      <c r="E92" s="25"/>
      <c r="F92" s="373"/>
      <c r="G92" s="147"/>
      <c r="H92" s="210" t="str">
        <f t="shared" si="23"/>
        <v/>
      </c>
      <c r="I92" s="63" t="str">
        <f t="shared" si="21"/>
        <v/>
      </c>
      <c r="J92" s="118"/>
    </row>
    <row r="93" spans="2:11" ht="13.5" thickBot="1">
      <c r="B93"/>
      <c r="C93" s="26"/>
      <c r="D93" s="26"/>
      <c r="E93" s="26"/>
      <c r="F93" s="27"/>
      <c r="G93" s="28"/>
      <c r="H93" s="211" t="s">
        <v>42</v>
      </c>
      <c r="I93" s="430">
        <f>SUM(I76:I92)</f>
        <v>0</v>
      </c>
      <c r="J93" s="118"/>
      <c r="K93" s="117"/>
    </row>
    <row r="94" spans="2:11" ht="13.5" thickBot="1">
      <c r="B94"/>
      <c r="C94" s="26"/>
      <c r="D94" s="26"/>
      <c r="E94" s="26"/>
      <c r="F94" s="27"/>
      <c r="G94" s="28"/>
      <c r="H94" s="29"/>
      <c r="I94" s="29"/>
      <c r="J94" s="118"/>
      <c r="K94" s="117"/>
    </row>
    <row r="95" spans="2:11" ht="16.5" thickBot="1">
      <c r="B95"/>
      <c r="C95" s="80" t="s">
        <v>44</v>
      </c>
      <c r="D95" s="81"/>
      <c r="E95" s="81"/>
      <c r="F95" s="107"/>
      <c r="G95" s="83"/>
      <c r="H95" s="82"/>
      <c r="I95" s="84"/>
      <c r="J95" s="118"/>
      <c r="K95" s="202"/>
    </row>
    <row r="96" spans="2:11" ht="3.75" customHeight="1" thickBot="1">
      <c r="B96"/>
      <c r="C96"/>
      <c r="D96"/>
      <c r="E96"/>
      <c r="F96"/>
      <c r="G96"/>
      <c r="H96"/>
      <c r="I96"/>
      <c r="J96" s="118"/>
    </row>
    <row r="97" spans="2:13">
      <c r="B97"/>
      <c r="C97" s="1658"/>
      <c r="D97" s="940"/>
      <c r="E97" s="42"/>
      <c r="F97" s="190" t="s">
        <v>1131</v>
      </c>
      <c r="G97" s="1189">
        <f>SUM(G17,G22,G27)</f>
        <v>0</v>
      </c>
      <c r="H97" s="485">
        <v>950</v>
      </c>
      <c r="I97" s="251">
        <f>IF(ISERROR(H97*G97),"ERROR",G97*H97)</f>
        <v>0</v>
      </c>
      <c r="J97" s="118"/>
      <c r="K97" s="202"/>
    </row>
    <row r="98" spans="2:13">
      <c r="B98"/>
      <c r="C98" s="1659"/>
      <c r="D98" s="1079"/>
      <c r="E98" s="1080"/>
      <c r="F98" s="876" t="s">
        <v>1130</v>
      </c>
      <c r="G98" s="1203"/>
      <c r="H98" s="996">
        <v>650</v>
      </c>
      <c r="I98" s="252">
        <f t="shared" ref="I98" si="25">IF(ISERROR(H98*G98),"",H98*G98)</f>
        <v>0</v>
      </c>
      <c r="J98" s="118"/>
      <c r="K98" s="202"/>
    </row>
    <row r="99" spans="2:13">
      <c r="B99"/>
      <c r="C99" s="1659"/>
      <c r="D99" s="1079"/>
      <c r="E99" s="1080"/>
      <c r="F99" s="876"/>
      <c r="G99" s="995"/>
      <c r="H99" s="996"/>
      <c r="I99" s="997"/>
      <c r="J99" s="118"/>
      <c r="K99" s="202"/>
    </row>
    <row r="100" spans="2:13">
      <c r="B100"/>
      <c r="C100" s="1659"/>
      <c r="D100" s="941"/>
      <c r="E100" s="911"/>
      <c r="F100" s="876" t="s">
        <v>1015</v>
      </c>
      <c r="G100" s="909">
        <f>SUM(G17,G22,G27)</f>
        <v>0</v>
      </c>
      <c r="H100" s="159">
        <f>G100*180</f>
        <v>0</v>
      </c>
      <c r="I100" s="252"/>
      <c r="J100" s="118"/>
      <c r="K100" s="202"/>
    </row>
    <row r="101" spans="2:13">
      <c r="B101"/>
      <c r="C101" s="1659"/>
      <c r="D101" s="942"/>
      <c r="E101" s="770"/>
      <c r="F101" s="876" t="s">
        <v>1050</v>
      </c>
      <c r="G101" s="768">
        <v>1</v>
      </c>
      <c r="H101" s="910" t="s">
        <v>1049</v>
      </c>
      <c r="I101" s="252"/>
      <c r="J101" s="118"/>
      <c r="K101" s="202"/>
    </row>
    <row r="102" spans="2:13">
      <c r="B102"/>
      <c r="C102" s="1659"/>
      <c r="D102" s="943"/>
      <c r="E102" s="269"/>
      <c r="F102" s="187" t="s">
        <v>295</v>
      </c>
      <c r="G102" s="214">
        <v>-1</v>
      </c>
      <c r="H102" s="1206"/>
      <c r="I102" s="252">
        <f t="shared" ref="I102:I109" si="26">IF(ISERROR(H102*G102),"",H102*G102)</f>
        <v>0</v>
      </c>
      <c r="J102" s="118"/>
      <c r="K102" s="202"/>
    </row>
    <row r="103" spans="2:13">
      <c r="B103"/>
      <c r="C103" s="1659"/>
      <c r="D103" s="943"/>
      <c r="E103" s="269"/>
      <c r="F103" s="187"/>
      <c r="G103" s="214"/>
      <c r="H103" s="329"/>
      <c r="I103" s="252"/>
      <c r="J103" s="118"/>
      <c r="K103" s="202"/>
    </row>
    <row r="104" spans="2:13">
      <c r="B104"/>
      <c r="C104" s="1659"/>
      <c r="D104" s="944"/>
      <c r="E104" s="43"/>
      <c r="F104" s="187" t="s">
        <v>105</v>
      </c>
      <c r="G104" s="1202"/>
      <c r="H104" s="1207" t="str">
        <f>IF(G104="","",I466)</f>
        <v/>
      </c>
      <c r="I104" s="252" t="str">
        <f t="shared" si="26"/>
        <v/>
      </c>
      <c r="J104" s="118"/>
      <c r="K104" s="202"/>
    </row>
    <row r="105" spans="2:13">
      <c r="B105"/>
      <c r="C105" s="1659"/>
      <c r="D105" s="945"/>
      <c r="E105" s="213"/>
      <c r="F105" s="187" t="s">
        <v>296</v>
      </c>
      <c r="G105" s="1204"/>
      <c r="H105" s="378">
        <v>250</v>
      </c>
      <c r="I105" s="252">
        <f t="shared" si="26"/>
        <v>0</v>
      </c>
      <c r="J105" s="118"/>
      <c r="K105" s="202"/>
    </row>
    <row r="106" spans="2:13">
      <c r="B106"/>
      <c r="C106" s="1659"/>
      <c r="D106" s="945"/>
      <c r="E106" s="213"/>
      <c r="F106" s="187"/>
      <c r="G106" s="214"/>
      <c r="H106" s="378"/>
      <c r="I106" s="252"/>
      <c r="J106" s="118"/>
      <c r="K106" s="202"/>
    </row>
    <row r="107" spans="2:13">
      <c r="B107"/>
      <c r="C107" s="1659"/>
      <c r="D107" s="945"/>
      <c r="E107" s="213">
        <v>99990166</v>
      </c>
      <c r="F107" s="196" t="s">
        <v>1355</v>
      </c>
      <c r="G107" s="1202"/>
      <c r="H107" s="1205">
        <v>900</v>
      </c>
      <c r="I107" s="252">
        <f t="shared" ref="I107" si="27">IF(ISERROR(H107*G107),"",H107*G107)</f>
        <v>0</v>
      </c>
      <c r="J107" s="118"/>
      <c r="K107" s="202"/>
    </row>
    <row r="108" spans="2:13">
      <c r="B108"/>
      <c r="C108" s="1659"/>
      <c r="D108" s="943"/>
      <c r="E108" s="269"/>
      <c r="F108" s="144"/>
      <c r="G108" s="214"/>
      <c r="H108" s="329"/>
      <c r="I108" s="252">
        <f t="shared" si="26"/>
        <v>0</v>
      </c>
      <c r="J108" s="118"/>
      <c r="K108" s="202"/>
    </row>
    <row r="109" spans="2:13" ht="13.5" thickBot="1">
      <c r="B109"/>
      <c r="C109" s="1676"/>
      <c r="D109" s="946"/>
      <c r="E109" s="271"/>
      <c r="F109" s="255"/>
      <c r="G109" s="149"/>
      <c r="H109" s="330"/>
      <c r="I109" s="347">
        <f t="shared" si="26"/>
        <v>0</v>
      </c>
      <c r="J109" s="118"/>
      <c r="K109" s="202"/>
    </row>
    <row r="110" spans="2:13" ht="13.5" thickBot="1">
      <c r="B110"/>
      <c r="C110" s="26"/>
      <c r="D110" s="26"/>
      <c r="E110" s="26"/>
      <c r="F110" s="27"/>
      <c r="G110" s="28"/>
      <c r="H110" s="51" t="s">
        <v>42</v>
      </c>
      <c r="I110" s="246">
        <f>SUM(I97:I109)</f>
        <v>0</v>
      </c>
      <c r="J110" s="118"/>
      <c r="K110" s="202"/>
    </row>
    <row r="111" spans="2:13" ht="13.5" thickBot="1">
      <c r="B111"/>
      <c r="C111" s="1"/>
      <c r="D111" s="1"/>
      <c r="E111" s="1"/>
      <c r="F111"/>
      <c r="G111" s="2"/>
      <c r="H111" s="2"/>
      <c r="I111" s="2"/>
      <c r="J111" s="118"/>
      <c r="K111" s="202"/>
      <c r="L111" s="202"/>
      <c r="M111" s="202"/>
    </row>
    <row r="112" spans="2:13" ht="16.5" thickBot="1">
      <c r="B112"/>
      <c r="C112" s="80" t="s">
        <v>40</v>
      </c>
      <c r="D112" s="81"/>
      <c r="E112" s="81"/>
      <c r="F112" s="374" t="str">
        <f>IF(SUM(G116,G119,G123,)&lt;1, "You have not selected any ink","")</f>
        <v>You have not selected any ink</v>
      </c>
      <c r="G112" s="83"/>
      <c r="H112" s="82"/>
      <c r="I112" s="84"/>
      <c r="J112" s="118"/>
      <c r="K112" s="202"/>
      <c r="L112" s="202"/>
      <c r="M112" s="202"/>
    </row>
    <row r="113" spans="2:13" ht="4.5" customHeight="1" thickBot="1">
      <c r="B113"/>
      <c r="C113"/>
      <c r="D113"/>
      <c r="E113"/>
      <c r="F113"/>
      <c r="G113"/>
      <c r="H113"/>
      <c r="I113"/>
      <c r="J113" s="118"/>
      <c r="L113" s="202"/>
      <c r="M113" s="202"/>
    </row>
    <row r="114" spans="2:13" ht="15">
      <c r="B114" s="164"/>
      <c r="C114" s="396"/>
      <c r="D114" s="949"/>
      <c r="E114" s="777"/>
      <c r="F114" s="778"/>
      <c r="G114" s="779"/>
      <c r="H114" s="780"/>
      <c r="I114" s="781"/>
      <c r="J114" s="118"/>
      <c r="K114" s="202"/>
      <c r="L114" s="202"/>
      <c r="M114" s="202"/>
    </row>
    <row r="115" spans="2:13" ht="15">
      <c r="B115" s="164"/>
      <c r="C115" s="397" t="s">
        <v>770</v>
      </c>
      <c r="D115" s="456"/>
      <c r="E115" s="456"/>
      <c r="F115" s="457"/>
      <c r="G115" s="458"/>
      <c r="H115" s="459"/>
      <c r="I115" s="460"/>
      <c r="J115" s="118"/>
      <c r="K115" s="202"/>
      <c r="L115" s="202"/>
      <c r="M115" s="202"/>
    </row>
    <row r="116" spans="2:13" ht="25.5">
      <c r="B116" s="164"/>
      <c r="C116" s="23"/>
      <c r="D116" s="944">
        <f>VLOOKUP($F116,$F$248:$I$460,3,FALSE)</f>
        <v>0</v>
      </c>
      <c r="E116" s="465" t="str">
        <f>VLOOKUP($F116,$F$248:$I$460,2,FALSE)</f>
        <v>15140036 x 0.3, 16140005 x 0.3</v>
      </c>
      <c r="F116" s="467" t="s">
        <v>627</v>
      </c>
      <c r="G116" s="469">
        <f>G17</f>
        <v>0</v>
      </c>
      <c r="H116" s="471" t="str">
        <f>IF(G116&gt;=1,VLOOKUP(F116,F$247:I$460,4,FALSE),"")</f>
        <v/>
      </c>
      <c r="I116" s="470" t="str">
        <f>IF(ISERROR(H116*G116),"",H116*G116)</f>
        <v/>
      </c>
      <c r="J116" s="118"/>
      <c r="K116" s="202"/>
      <c r="L116" s="202"/>
      <c r="M116" s="202"/>
    </row>
    <row r="117" spans="2:13">
      <c r="B117" s="164"/>
      <c r="C117" s="461"/>
      <c r="D117" s="950"/>
      <c r="E117" s="462"/>
      <c r="F117" s="463"/>
      <c r="G117" s="463"/>
      <c r="H117" s="464"/>
      <c r="I117" s="454"/>
      <c r="J117" s="118"/>
      <c r="K117" s="202"/>
      <c r="L117" s="202"/>
      <c r="M117" s="202"/>
    </row>
    <row r="118" spans="2:13" ht="15">
      <c r="B118" s="164"/>
      <c r="C118" s="397" t="s">
        <v>771</v>
      </c>
      <c r="D118" s="951"/>
      <c r="E118" s="456"/>
      <c r="F118" s="457"/>
      <c r="G118" s="458"/>
      <c r="H118" s="459"/>
      <c r="I118" s="460"/>
      <c r="J118" s="118"/>
      <c r="K118" s="202"/>
      <c r="L118" s="202"/>
      <c r="M118" s="202"/>
    </row>
    <row r="119" spans="2:13" ht="25.5">
      <c r="B119" s="164"/>
      <c r="C119" s="23"/>
      <c r="D119" s="944">
        <f>VLOOKUP($F119,$F$248:$I$460,3,FALSE)</f>
        <v>0</v>
      </c>
      <c r="E119" s="465" t="str">
        <f>VLOOKUP($F119,$F$248:$I$460,2,FALSE)</f>
        <v>15140061 x 1.5, 16140014 x 0.3</v>
      </c>
      <c r="F119" s="467" t="s">
        <v>636</v>
      </c>
      <c r="G119" s="469">
        <f>G22</f>
        <v>0</v>
      </c>
      <c r="H119" s="471" t="str">
        <f>IF(G119&gt;=1,VLOOKUP(F119,F$247:I$460,4,FALSE),"")</f>
        <v/>
      </c>
      <c r="I119" s="470" t="str">
        <f t="shared" ref="I119" si="28">IF(ISERROR(H119*G119),"",H119*G119)</f>
        <v/>
      </c>
      <c r="J119" s="118"/>
      <c r="K119" s="202"/>
      <c r="L119" s="202"/>
      <c r="M119" s="202"/>
    </row>
    <row r="120" spans="2:13">
      <c r="B120" s="164"/>
      <c r="C120" s="461"/>
      <c r="D120" s="950"/>
      <c r="E120" s="462"/>
      <c r="F120" s="463"/>
      <c r="G120" s="463"/>
      <c r="H120" s="464"/>
      <c r="I120" s="454"/>
      <c r="J120" s="118"/>
      <c r="K120" s="202"/>
      <c r="L120" s="202"/>
      <c r="M120" s="202"/>
    </row>
    <row r="121" spans="2:13">
      <c r="B121" s="164"/>
      <c r="C121" s="782"/>
      <c r="D121" s="26"/>
      <c r="E121" s="783"/>
      <c r="F121" s="784"/>
      <c r="G121" s="784"/>
      <c r="H121" s="785"/>
      <c r="I121" s="786"/>
      <c r="J121" s="118"/>
      <c r="K121" s="202"/>
      <c r="L121" s="202"/>
      <c r="M121" s="202"/>
    </row>
    <row r="122" spans="2:13" ht="15">
      <c r="B122" s="164"/>
      <c r="C122" s="455" t="s">
        <v>639</v>
      </c>
      <c r="D122" s="952"/>
      <c r="E122" s="456"/>
      <c r="F122" s="457"/>
      <c r="G122" s="458"/>
      <c r="H122" s="459"/>
      <c r="I122" s="460"/>
      <c r="J122" s="118"/>
      <c r="K122" s="202"/>
      <c r="L122" s="202"/>
      <c r="M122" s="202"/>
    </row>
    <row r="123" spans="2:13">
      <c r="B123" s="164"/>
      <c r="C123" s="1670"/>
      <c r="D123" s="944" t="str">
        <f>VLOOKUP($F123,$F$248:$I$460,3,FALSE)</f>
        <v>FA91240/5L</v>
      </c>
      <c r="E123" s="56" t="str">
        <f>VLOOKUP($F123,$F$248:$I$460,2,FALSE)</f>
        <v>15140036</v>
      </c>
      <c r="F123" s="144" t="s">
        <v>595</v>
      </c>
      <c r="G123" s="145"/>
      <c r="H123" s="141" t="str">
        <f>IF(G123&gt;=1,VLOOKUP(F123,F$247:I$460,4,FALSE),"")</f>
        <v/>
      </c>
      <c r="I123" s="59" t="str">
        <f>IF(ISERROR(H123*G123),"",H123*G123)</f>
        <v/>
      </c>
      <c r="J123" s="118"/>
      <c r="K123" s="202"/>
      <c r="L123" s="202"/>
      <c r="M123" s="202"/>
    </row>
    <row r="124" spans="2:13">
      <c r="B124" s="164"/>
      <c r="C124" s="1660"/>
      <c r="D124" s="944" t="str">
        <f>VLOOKUP($F124,$F$248:$I$460,3,FALSE)</f>
        <v>FA91512/5L</v>
      </c>
      <c r="E124" s="56" t="str">
        <f>VLOOKUP($F124,$F$248:$I$460,2,FALSE)</f>
        <v>16140005</v>
      </c>
      <c r="F124" s="238" t="str">
        <f>IFERROR(VLOOKUP(F123,F368:AE385,26,FALSE),"")</f>
        <v>Solvent 1512 Clr 10 X 500Ml</v>
      </c>
      <c r="G124" s="145"/>
      <c r="H124" s="141" t="str">
        <f>IF(G124&gt;=1,VLOOKUP(F124,F$247:I$460,4,FALSE),"")</f>
        <v/>
      </c>
      <c r="I124" s="59" t="str">
        <f>IF(ISERROR(H124*G124),"",H124*G124)</f>
        <v/>
      </c>
      <c r="J124" s="118"/>
      <c r="K124" s="202"/>
      <c r="L124" s="202"/>
      <c r="M124" s="202"/>
    </row>
    <row r="125" spans="2:13">
      <c r="B125" s="164"/>
      <c r="C125" s="461"/>
      <c r="D125" s="950"/>
      <c r="E125" s="462"/>
      <c r="F125" s="463"/>
      <c r="G125" s="463"/>
      <c r="H125" s="464"/>
      <c r="I125" s="454"/>
      <c r="J125" s="118"/>
      <c r="K125" s="202"/>
      <c r="L125" s="202"/>
      <c r="M125" s="202"/>
    </row>
    <row r="126" spans="2:13" ht="15">
      <c r="B126"/>
      <c r="C126" s="455" t="s">
        <v>638</v>
      </c>
      <c r="D126" s="952"/>
      <c r="E126" s="456"/>
      <c r="F126" s="457"/>
      <c r="G126" s="458"/>
      <c r="H126" s="459"/>
      <c r="I126" s="460"/>
      <c r="J126" s="118"/>
      <c r="K126" s="202"/>
      <c r="L126" s="202"/>
      <c r="M126" s="202"/>
    </row>
    <row r="127" spans="2:13" ht="13.5" thickBot="1">
      <c r="B127"/>
      <c r="C127" s="40"/>
      <c r="D127" s="953">
        <f>VLOOKUP($F127,$F$248:$I$460,3,FALSE)</f>
        <v>0</v>
      </c>
      <c r="E127" s="10">
        <f>VLOOKUP($F127,$F$248:$I$460,2,FALSE)</f>
        <v>19810039</v>
      </c>
      <c r="F127" s="242" t="s">
        <v>559</v>
      </c>
      <c r="G127" s="150">
        <f>SUM(G17,G22,G27)</f>
        <v>0</v>
      </c>
      <c r="H127" s="441" t="str">
        <f>IF(G127&gt;=1,VLOOKUP(F127,F$247:I$460,4,FALSE),"")</f>
        <v/>
      </c>
      <c r="I127" s="442" t="str">
        <f>IF(ISERROR(H127*G127),"",H127*G127)</f>
        <v/>
      </c>
      <c r="J127" s="118"/>
      <c r="K127" s="202"/>
      <c r="L127" s="202"/>
      <c r="M127" s="202"/>
    </row>
    <row r="128" spans="2:13" ht="13.5" thickBot="1">
      <c r="B128"/>
      <c r="C128" s="1"/>
      <c r="D128" s="1"/>
      <c r="E128" s="1"/>
      <c r="F128"/>
      <c r="G128" s="2"/>
      <c r="H128" s="51" t="s">
        <v>42</v>
      </c>
      <c r="I128" s="246">
        <f>SUM(I116:I127)</f>
        <v>0</v>
      </c>
      <c r="J128" s="118"/>
    </row>
    <row r="129" spans="2:13" ht="13.5" thickBot="1">
      <c r="B129"/>
      <c r="C129" s="1"/>
      <c r="D129" s="1"/>
      <c r="E129" s="1"/>
      <c r="F129"/>
      <c r="G129" s="2"/>
      <c r="H129" s="229"/>
      <c r="I129" s="230"/>
      <c r="J129" s="118"/>
    </row>
    <row r="130" spans="2:13" ht="16.5" thickBot="1">
      <c r="B130"/>
      <c r="C130" s="80" t="s">
        <v>141</v>
      </c>
      <c r="D130" s="81"/>
      <c r="E130" s="81"/>
      <c r="F130" s="107"/>
      <c r="G130" s="83"/>
      <c r="H130" s="82"/>
      <c r="I130" s="84"/>
      <c r="J130" s="118"/>
    </row>
    <row r="131" spans="2:13" ht="4.5" customHeight="1" thickBot="1">
      <c r="B131"/>
      <c r="C131"/>
      <c r="D131"/>
      <c r="E131"/>
      <c r="F131"/>
      <c r="G131"/>
      <c r="H131"/>
      <c r="I131"/>
      <c r="J131" s="118"/>
      <c r="L131" s="202"/>
      <c r="M131" s="202"/>
    </row>
    <row r="132" spans="2:13">
      <c r="B132"/>
      <c r="C132" s="957"/>
      <c r="D132" s="954"/>
      <c r="E132" s="232"/>
      <c r="F132" s="233"/>
      <c r="G132" s="234">
        <v>1</v>
      </c>
      <c r="H132" s="235"/>
      <c r="I132" s="32">
        <f t="shared" ref="I132:I142" si="29">IF(ISERROR(H132*G132),"",H132*G132)</f>
        <v>0</v>
      </c>
      <c r="J132" s="118"/>
    </row>
    <row r="133" spans="2:13">
      <c r="B133"/>
      <c r="C133" s="958"/>
      <c r="D133" s="955"/>
      <c r="E133" s="261"/>
      <c r="F133" s="262"/>
      <c r="G133" s="263">
        <v>1</v>
      </c>
      <c r="H133" s="264"/>
      <c r="I133" s="59">
        <f t="shared" si="29"/>
        <v>0</v>
      </c>
      <c r="J133" s="118"/>
    </row>
    <row r="134" spans="2:13">
      <c r="B134"/>
      <c r="C134" s="958"/>
      <c r="D134" s="955"/>
      <c r="E134" s="261"/>
      <c r="F134" s="262"/>
      <c r="G134" s="263">
        <v>1</v>
      </c>
      <c r="H134" s="264"/>
      <c r="I134" s="59">
        <f t="shared" si="29"/>
        <v>0</v>
      </c>
      <c r="J134" s="118"/>
    </row>
    <row r="135" spans="2:13">
      <c r="B135"/>
      <c r="C135" s="958"/>
      <c r="D135" s="955"/>
      <c r="E135" s="261"/>
      <c r="F135" s="262"/>
      <c r="G135" s="263">
        <v>1</v>
      </c>
      <c r="H135" s="264"/>
      <c r="I135" s="59">
        <f t="shared" si="29"/>
        <v>0</v>
      </c>
      <c r="J135" s="118"/>
    </row>
    <row r="136" spans="2:13">
      <c r="B136"/>
      <c r="C136" s="958"/>
      <c r="D136" s="955"/>
      <c r="E136" s="261"/>
      <c r="F136" s="262"/>
      <c r="G136" s="263">
        <v>1</v>
      </c>
      <c r="H136" s="264"/>
      <c r="I136" s="59">
        <f t="shared" si="29"/>
        <v>0</v>
      </c>
      <c r="J136" s="118"/>
    </row>
    <row r="137" spans="2:13">
      <c r="B137"/>
      <c r="C137" s="958"/>
      <c r="D137" s="955"/>
      <c r="E137" s="261"/>
      <c r="F137" s="262"/>
      <c r="G137" s="263">
        <v>1</v>
      </c>
      <c r="H137" s="264"/>
      <c r="I137" s="59">
        <f t="shared" si="29"/>
        <v>0</v>
      </c>
      <c r="J137" s="118"/>
    </row>
    <row r="138" spans="2:13">
      <c r="B138"/>
      <c r="C138" s="958"/>
      <c r="D138" s="955"/>
      <c r="E138" s="261"/>
      <c r="F138" s="262"/>
      <c r="G138" s="263">
        <v>1</v>
      </c>
      <c r="H138" s="264"/>
      <c r="I138" s="59">
        <f t="shared" si="29"/>
        <v>0</v>
      </c>
      <c r="J138" s="118"/>
    </row>
    <row r="139" spans="2:13">
      <c r="B139"/>
      <c r="C139" s="958"/>
      <c r="D139" s="955"/>
      <c r="E139" s="261"/>
      <c r="F139" s="262"/>
      <c r="G139" s="263">
        <v>1</v>
      </c>
      <c r="H139" s="264"/>
      <c r="I139" s="59">
        <f t="shared" si="29"/>
        <v>0</v>
      </c>
      <c r="J139" s="118"/>
    </row>
    <row r="140" spans="2:13">
      <c r="B140"/>
      <c r="C140" s="958"/>
      <c r="D140" s="955"/>
      <c r="E140" s="261"/>
      <c r="F140" s="262"/>
      <c r="G140" s="263">
        <v>1</v>
      </c>
      <c r="H140" s="264"/>
      <c r="I140" s="59">
        <f t="shared" si="29"/>
        <v>0</v>
      </c>
      <c r="J140" s="118"/>
    </row>
    <row r="141" spans="2:13">
      <c r="B141"/>
      <c r="C141" s="959"/>
      <c r="D141" s="467"/>
      <c r="E141" s="237"/>
      <c r="F141" s="238"/>
      <c r="G141" s="145">
        <v>1</v>
      </c>
      <c r="H141" s="239"/>
      <c r="I141" s="59">
        <f t="shared" si="29"/>
        <v>0</v>
      </c>
      <c r="J141" s="118"/>
    </row>
    <row r="142" spans="2:13" ht="13.5" thickBot="1">
      <c r="B142"/>
      <c r="C142" s="960"/>
      <c r="D142" s="956"/>
      <c r="E142" s="241"/>
      <c r="F142" s="242"/>
      <c r="G142" s="150">
        <v>1</v>
      </c>
      <c r="H142" s="243"/>
      <c r="I142" s="12">
        <f t="shared" si="29"/>
        <v>0</v>
      </c>
      <c r="J142" s="118"/>
    </row>
    <row r="143" spans="2:13" ht="13.5" thickBot="1">
      <c r="B143"/>
      <c r="C143" s="434"/>
      <c r="D143" s="434" t="s">
        <v>144</v>
      </c>
      <c r="E143" s="435">
        <f>ROUND(SUM(I17:I30),0)</f>
        <v>0</v>
      </c>
      <c r="F143"/>
      <c r="G143" s="2"/>
      <c r="H143" s="51" t="s">
        <v>42</v>
      </c>
      <c r="I143" s="246">
        <f>SUM(I132:I142)</f>
        <v>0</v>
      </c>
      <c r="J143" s="118"/>
    </row>
    <row r="144" spans="2:13" ht="13.5" thickBot="1">
      <c r="B144"/>
      <c r="C144" s="434"/>
      <c r="D144" s="434" t="s">
        <v>584</v>
      </c>
      <c r="E144" s="435">
        <f>ROUND(SUM(I143,I128,I110,I93,I72,I48),0)</f>
        <v>0</v>
      </c>
      <c r="F144"/>
      <c r="G144" s="2"/>
      <c r="H144" s="229"/>
      <c r="I144" s="230"/>
      <c r="J144" s="118"/>
    </row>
    <row r="145" spans="2:63" ht="13.5" hidden="1" thickBot="1">
      <c r="B145"/>
      <c r="C145" s="436"/>
      <c r="D145" s="436"/>
      <c r="E145" s="437"/>
      <c r="F145" s="189" t="s">
        <v>102</v>
      </c>
      <c r="G145" s="2"/>
      <c r="H145" s="71" t="s">
        <v>101</v>
      </c>
      <c r="I145" s="188">
        <f>'Install Guide'!H25</f>
        <v>0</v>
      </c>
      <c r="J145" s="118"/>
    </row>
    <row r="146" spans="2:63" ht="13.5" hidden="1" thickBot="1">
      <c r="B146"/>
      <c r="C146" s="434"/>
      <c r="D146" s="434"/>
      <c r="E146" s="437"/>
      <c r="F146"/>
      <c r="G146" s="2"/>
      <c r="H146" s="38"/>
      <c r="I146" s="39"/>
      <c r="J146" s="118"/>
    </row>
    <row r="147" spans="2:63" ht="13.5" thickBot="1">
      <c r="B147"/>
      <c r="C147" s="434"/>
      <c r="D147" s="434" t="s">
        <v>585</v>
      </c>
      <c r="E147" s="435">
        <f>ROUND(I168-E144,0)</f>
        <v>0</v>
      </c>
      <c r="F147"/>
      <c r="G147" s="2"/>
      <c r="H147" s="71" t="s">
        <v>41</v>
      </c>
      <c r="I147" s="245">
        <f>ROUND(SUM(I93,I110,I128,I145,I31,I143,I48,I72),0)</f>
        <v>0</v>
      </c>
      <c r="J147" s="118"/>
    </row>
    <row r="148" spans="2:63" ht="13.5" thickBot="1">
      <c r="B148"/>
      <c r="C148" s="434"/>
      <c r="D148" s="434" t="s">
        <v>586</v>
      </c>
      <c r="E148" s="440" t="e">
        <f>ROUND((E147/E143)-1,4)</f>
        <v>#DIV/0!</v>
      </c>
      <c r="F148" s="111"/>
      <c r="G148" s="2"/>
      <c r="H148" s="2"/>
      <c r="I148" s="2"/>
      <c r="J148" s="119"/>
    </row>
    <row r="149" spans="2:63" ht="16.5" thickBot="1">
      <c r="B149"/>
      <c r="C149" s="434"/>
      <c r="D149" s="434" t="s">
        <v>586</v>
      </c>
      <c r="E149" s="438" t="str">
        <f>IF(D156="Y","",IF(I149&gt;10%,"Warning this is above the maximum allowable discount for a 4900!",""))</f>
        <v/>
      </c>
      <c r="F149" s="111"/>
      <c r="G149" s="2"/>
      <c r="H149" s="151" t="s">
        <v>73</v>
      </c>
      <c r="I149" s="439"/>
      <c r="J149" s="119"/>
    </row>
    <row r="150" spans="2:63" ht="16.5" thickBot="1">
      <c r="B150"/>
      <c r="C150" s="1"/>
      <c r="D150" s="1"/>
      <c r="E150" s="36"/>
      <c r="F150" s="143" t="str">
        <f>IF(AND(D156="Y",I149&gt;10%),"Special Discount Approved by Sales Manager",IF(I149&gt;10%,"Pending Approval",""))</f>
        <v/>
      </c>
      <c r="G150"/>
      <c r="H150"/>
      <c r="I150"/>
      <c r="J150" s="119"/>
    </row>
    <row r="151" spans="2:63" ht="13.5" thickBot="1">
      <c r="B151"/>
      <c r="C151" s="1"/>
      <c r="D151" s="1"/>
      <c r="E151" s="1"/>
      <c r="F151"/>
      <c r="G151"/>
      <c r="H151" s="102" t="s">
        <v>41</v>
      </c>
      <c r="I151" s="245">
        <f>ROUND((I31*(1-I149))+SUM(I128,I110,I93,I143,I48,I72),0)</f>
        <v>0</v>
      </c>
      <c r="J151" s="119"/>
    </row>
    <row r="152" spans="2:63">
      <c r="B152"/>
      <c r="C152" s="1"/>
      <c r="D152" s="1"/>
      <c r="E152" s="1"/>
      <c r="F152"/>
      <c r="G152" s="2"/>
      <c r="H152"/>
      <c r="I152"/>
      <c r="J152" s="118"/>
    </row>
    <row r="153" spans="2:63" ht="16.5" hidden="1" thickBot="1">
      <c r="B153"/>
      <c r="C153" s="80"/>
      <c r="D153" s="80" t="s">
        <v>10</v>
      </c>
      <c r="E153" s="81"/>
      <c r="F153" s="82"/>
      <c r="G153" s="83"/>
      <c r="H153" s="82"/>
      <c r="I153" s="84"/>
      <c r="J153" s="118"/>
    </row>
    <row r="154" spans="2:63" ht="6" hidden="1" customHeight="1" thickBot="1">
      <c r="B154" s="1"/>
      <c r="C154" s="1"/>
      <c r="D154" s="1"/>
      <c r="E154" s="1"/>
      <c r="F154" s="1"/>
      <c r="G154" s="1"/>
      <c r="H154" s="1"/>
      <c r="I154" s="1"/>
      <c r="J154" s="1"/>
    </row>
    <row r="155" spans="2:63" ht="103.5" hidden="1" customHeight="1" thickBot="1">
      <c r="B155"/>
      <c r="C155"/>
      <c r="D155" s="1641" t="s">
        <v>64</v>
      </c>
      <c r="E155" s="1642"/>
      <c r="F155" s="1642"/>
      <c r="G155" s="1642"/>
      <c r="H155" s="1642"/>
      <c r="I155" s="1643"/>
      <c r="J155" s="118"/>
    </row>
    <row r="156" spans="2:63" ht="13.5" hidden="1" thickBot="1">
      <c r="B156"/>
      <c r="C156" s="417"/>
      <c r="D156" s="417"/>
      <c r="E156" s="417"/>
      <c r="F156" s="205"/>
      <c r="G156" s="2"/>
      <c r="H156"/>
      <c r="I156"/>
      <c r="J156" s="118"/>
      <c r="AS156"/>
      <c r="AT156"/>
      <c r="AU156"/>
      <c r="AV156"/>
      <c r="AW156"/>
      <c r="AX156"/>
      <c r="AY156"/>
      <c r="AZ156"/>
      <c r="BA156"/>
      <c r="BB156"/>
      <c r="BC156"/>
      <c r="BD156"/>
      <c r="BE156"/>
      <c r="BF156"/>
      <c r="BG156"/>
      <c r="BH156"/>
      <c r="BI156"/>
      <c r="BJ156"/>
      <c r="BK156"/>
    </row>
    <row r="157" spans="2:63" ht="13.5" hidden="1" thickBot="1">
      <c r="B157"/>
      <c r="C157" s="109"/>
      <c r="D157" s="109"/>
      <c r="E157" s="109"/>
      <c r="F157" s="120"/>
      <c r="G157" s="120"/>
      <c r="H157" s="120"/>
      <c r="I157" s="120"/>
      <c r="J157" s="118"/>
    </row>
    <row r="158" spans="2:63" ht="16.5" hidden="1" thickBot="1">
      <c r="B158"/>
      <c r="C158" s="80" t="s">
        <v>117</v>
      </c>
      <c r="D158" s="81"/>
      <c r="E158" s="81"/>
      <c r="F158" s="82"/>
      <c r="G158" s="83"/>
      <c r="H158" s="82"/>
      <c r="I158" s="84"/>
      <c r="J158" s="118"/>
    </row>
    <row r="159" spans="2:63" ht="7.5" hidden="1" customHeight="1" thickBot="1">
      <c r="B159"/>
      <c r="C159" s="109"/>
      <c r="D159" s="109"/>
      <c r="E159" s="109"/>
      <c r="F159" s="120"/>
      <c r="G159" s="120"/>
      <c r="H159" s="120"/>
      <c r="I159" s="120"/>
      <c r="J159" s="118"/>
    </row>
    <row r="160" spans="2:63" ht="13.5" hidden="1" customHeight="1" thickBot="1">
      <c r="B160"/>
      <c r="C160" s="1661" t="s">
        <v>119</v>
      </c>
      <c r="D160" s="1662"/>
      <c r="E160" s="1662"/>
      <c r="F160" s="1662"/>
      <c r="G160" s="1662"/>
      <c r="H160" s="1662"/>
      <c r="I160" s="1663"/>
      <c r="J160" s="118"/>
    </row>
    <row r="161" spans="1:10" ht="12.75" hidden="1" customHeight="1">
      <c r="B161"/>
      <c r="C161" s="1664" t="s">
        <v>64</v>
      </c>
      <c r="D161" s="1665"/>
      <c r="E161" s="1665"/>
      <c r="F161" s="1665"/>
      <c r="G161" s="1665"/>
      <c r="H161" s="1665"/>
      <c r="I161" s="1666"/>
      <c r="J161" s="118"/>
    </row>
    <row r="162" spans="1:10" hidden="1">
      <c r="B162"/>
      <c r="C162" s="1664"/>
      <c r="D162" s="1665"/>
      <c r="E162" s="1665"/>
      <c r="F162" s="1665"/>
      <c r="G162" s="1665"/>
      <c r="H162" s="1665"/>
      <c r="I162" s="1666"/>
      <c r="J162" s="118"/>
    </row>
    <row r="163" spans="1:10" ht="12.75" hidden="1" customHeight="1">
      <c r="B163"/>
      <c r="C163" s="1664"/>
      <c r="D163" s="1665"/>
      <c r="E163" s="1665"/>
      <c r="F163" s="1665"/>
      <c r="G163" s="1665"/>
      <c r="H163" s="1665"/>
      <c r="I163" s="1666"/>
      <c r="J163" s="118"/>
    </row>
    <row r="164" spans="1:10" hidden="1">
      <c r="B164"/>
      <c r="C164" s="1664"/>
      <c r="D164" s="1665"/>
      <c r="E164" s="1665"/>
      <c r="F164" s="1665"/>
      <c r="G164" s="1665"/>
      <c r="H164" s="1665"/>
      <c r="I164" s="1666"/>
      <c r="J164" s="118"/>
    </row>
    <row r="165" spans="1:10" hidden="1">
      <c r="B165"/>
      <c r="C165" s="1664"/>
      <c r="D165" s="1665"/>
      <c r="E165" s="1665"/>
      <c r="F165" s="1665"/>
      <c r="G165" s="1665"/>
      <c r="H165" s="1665"/>
      <c r="I165" s="1666"/>
      <c r="J165" s="118"/>
    </row>
    <row r="166" spans="1:10" ht="13.5" hidden="1" thickBot="1">
      <c r="B166"/>
      <c r="C166" s="1667"/>
      <c r="D166" s="1668"/>
      <c r="E166" s="1668"/>
      <c r="F166" s="1668"/>
      <c r="G166" s="1668"/>
      <c r="H166" s="1668"/>
      <c r="I166" s="1669"/>
      <c r="J166" s="118"/>
    </row>
    <row r="167" spans="1:10" ht="13.5" thickBot="1">
      <c r="B167"/>
      <c r="C167" s="222"/>
      <c r="D167" s="222"/>
      <c r="E167" s="265"/>
      <c r="F167" s="222"/>
      <c r="G167" s="120"/>
      <c r="H167" s="120"/>
      <c r="I167" s="120"/>
      <c r="J167" s="118"/>
    </row>
    <row r="168" spans="1:10" ht="13.5" thickBot="1">
      <c r="B168"/>
      <c r="C168" s="349"/>
      <c r="D168" s="349" t="s">
        <v>144</v>
      </c>
      <c r="E168" s="266" t="str">
        <f>IF(I168="","",IF(I168=0,"",ROUND(E148,4)))</f>
        <v/>
      </c>
      <c r="F168" s="267" t="e">
        <f>((I168-SUM(I143,I128,I110,I93,I30,#REF!,#REF!,#REF!,I24,I23,I22,I18))/(SUM(D156:E156)))-1</f>
        <v>#REF!</v>
      </c>
      <c r="G168" s="343"/>
      <c r="H168" s="223" t="s">
        <v>118</v>
      </c>
      <c r="I168" s="326"/>
      <c r="J168" s="118"/>
    </row>
    <row r="169" spans="1:10">
      <c r="B169"/>
      <c r="C169" s="349"/>
      <c r="D169" s="349" t="s">
        <v>74</v>
      </c>
      <c r="E169" s="266" t="str">
        <f>IF(I168="","",IF(I168=0,"",ROUND(F169,4)))</f>
        <v/>
      </c>
      <c r="F169" s="267" t="e">
        <f>(I168/I147)-1</f>
        <v>#DIV/0!</v>
      </c>
      <c r="G169" s="343"/>
      <c r="H169" s="120"/>
      <c r="I169" s="120"/>
      <c r="J169" s="118"/>
    </row>
    <row r="170" spans="1:10">
      <c r="B170"/>
      <c r="C170" s="350"/>
      <c r="D170" s="350" t="str">
        <f>IFERROR(((IF(I168="","", IF(E168&gt;0%,"Extra Charged", IF(ABS(E168)&lt;=E10,"Tier 1",IF(ABS(E168)&lt;=E9,"Tier 2","No qualification")))))),"No Price Entered")</f>
        <v/>
      </c>
      <c r="E170" s="418" t="str">
        <f>IF(D170="Extra Charged", I168-I147, "")</f>
        <v/>
      </c>
      <c r="F170" s="444"/>
      <c r="G170" s="120"/>
      <c r="H170" s="120"/>
      <c r="I170" s="120"/>
      <c r="J170" s="118"/>
    </row>
    <row r="171" spans="1:10">
      <c r="B171"/>
      <c r="C171" s="445"/>
      <c r="D171" s="445"/>
      <c r="E171" s="445"/>
      <c r="F171" s="446"/>
      <c r="G171" s="120"/>
      <c r="H171" s="120"/>
      <c r="I171" s="121"/>
      <c r="J171" s="118"/>
    </row>
    <row r="172" spans="1:10">
      <c r="B172"/>
      <c r="C172" s="445"/>
      <c r="D172" s="445"/>
      <c r="E172" s="445"/>
      <c r="F172" s="446"/>
      <c r="G172" s="120"/>
      <c r="H172" s="120"/>
      <c r="I172" s="121"/>
      <c r="J172" s="118"/>
    </row>
    <row r="173" spans="1:10" hidden="1">
      <c r="A173" s="201"/>
      <c r="B173"/>
      <c r="C173" s="445"/>
      <c r="D173" s="445"/>
      <c r="E173" s="1344" t="s">
        <v>1446</v>
      </c>
      <c r="F173" s="1001" t="s">
        <v>1390</v>
      </c>
      <c r="G173" s="120"/>
      <c r="H173" s="120"/>
      <c r="I173" s="121"/>
      <c r="J173" s="118"/>
    </row>
    <row r="174" spans="1:10" hidden="1">
      <c r="A174" s="201"/>
      <c r="B174"/>
      <c r="C174" s="445" t="s">
        <v>310</v>
      </c>
      <c r="D174" s="445"/>
      <c r="E174" s="1349">
        <f>SUM(I97:I98,I102)</f>
        <v>0</v>
      </c>
      <c r="F174" s="446"/>
      <c r="G174" s="120"/>
      <c r="H174" s="120"/>
      <c r="I174" s="121"/>
      <c r="J174" s="118"/>
    </row>
    <row r="175" spans="1:10" hidden="1">
      <c r="B175"/>
      <c r="C175" s="445" t="s">
        <v>769</v>
      </c>
      <c r="D175" s="445"/>
      <c r="E175" s="1349">
        <f>H100</f>
        <v>0</v>
      </c>
      <c r="F175" s="446"/>
      <c r="G175" s="120"/>
      <c r="H175" s="120"/>
      <c r="I175" s="121"/>
      <c r="J175" s="118"/>
    </row>
    <row r="176" spans="1:10" hidden="1">
      <c r="B176"/>
      <c r="C176" s="445" t="s">
        <v>1355</v>
      </c>
      <c r="D176" s="445"/>
      <c r="E176" s="1349">
        <f>I107</f>
        <v>0</v>
      </c>
      <c r="F176" s="446"/>
      <c r="G176" s="120"/>
      <c r="H176" s="120"/>
      <c r="I176" s="121"/>
      <c r="J176" s="118"/>
    </row>
    <row r="177" spans="1:10" hidden="1">
      <c r="B177"/>
      <c r="C177" s="445" t="s">
        <v>1431</v>
      </c>
      <c r="D177" s="445"/>
      <c r="E177" s="1349">
        <f>IFERROR(I104+I105,0)</f>
        <v>0</v>
      </c>
      <c r="F177" s="446"/>
      <c r="G177" s="120"/>
      <c r="H177" s="120"/>
      <c r="I177" s="121"/>
      <c r="J177" s="118"/>
    </row>
    <row r="178" spans="1:10" hidden="1">
      <c r="A178" s="201"/>
      <c r="B178"/>
      <c r="C178" s="445" t="s">
        <v>1443</v>
      </c>
      <c r="D178" s="445"/>
      <c r="E178" s="1349"/>
      <c r="F178" s="446"/>
      <c r="G178" s="120"/>
      <c r="H178" s="120"/>
      <c r="I178" s="121"/>
      <c r="J178" s="118"/>
    </row>
    <row r="179" spans="1:10" hidden="1">
      <c r="B179"/>
      <c r="C179" s="445" t="s">
        <v>1440</v>
      </c>
      <c r="D179" s="445"/>
      <c r="E179" s="1349"/>
      <c r="F179" s="446"/>
      <c r="G179" s="120"/>
      <c r="H179" s="120"/>
      <c r="I179" s="121"/>
      <c r="J179" s="118"/>
    </row>
    <row r="180" spans="1:10" hidden="1">
      <c r="B180"/>
      <c r="C180" s="445" t="s">
        <v>1441</v>
      </c>
      <c r="D180" s="445"/>
      <c r="E180" s="1349"/>
      <c r="F180" s="446"/>
      <c r="G180" s="120"/>
      <c r="H180" s="120"/>
      <c r="I180" s="121"/>
      <c r="J180" s="118"/>
    </row>
    <row r="181" spans="1:10" hidden="1">
      <c r="B181"/>
      <c r="C181" s="445" t="s">
        <v>1442</v>
      </c>
      <c r="D181" s="445"/>
      <c r="E181" s="1349"/>
      <c r="F181" s="446"/>
      <c r="G181" s="120"/>
      <c r="H181" s="120"/>
      <c r="I181" s="121"/>
      <c r="J181" s="118"/>
    </row>
    <row r="182" spans="1:10" hidden="1">
      <c r="B182"/>
      <c r="C182" s="445" t="s">
        <v>1439</v>
      </c>
      <c r="D182" s="445"/>
      <c r="E182" s="1350">
        <f>I168-E174-E175-E176-E177-E178-E179-E180-E181</f>
        <v>0</v>
      </c>
      <c r="F182" s="446"/>
      <c r="G182" s="120"/>
      <c r="H182" s="120"/>
      <c r="I182" s="121"/>
      <c r="J182" s="118"/>
    </row>
    <row r="183" spans="1:10" hidden="1">
      <c r="B183"/>
      <c r="C183" s="445"/>
      <c r="D183" s="445"/>
      <c r="E183" s="445"/>
      <c r="F183" s="446"/>
      <c r="G183" s="120"/>
      <c r="H183" s="120"/>
      <c r="I183" s="121"/>
      <c r="J183" s="118"/>
    </row>
    <row r="184" spans="1:10" hidden="1">
      <c r="B184"/>
      <c r="C184" s="445" t="s">
        <v>1432</v>
      </c>
      <c r="D184" s="445"/>
      <c r="E184" s="1350">
        <f>E182*(0.075)</f>
        <v>0</v>
      </c>
      <c r="F184" s="446"/>
      <c r="G184" s="120"/>
      <c r="H184" s="120"/>
      <c r="I184" s="121"/>
      <c r="J184" s="118"/>
    </row>
    <row r="185" spans="1:10" hidden="1">
      <c r="B185"/>
      <c r="C185" s="445" t="s">
        <v>1445</v>
      </c>
      <c r="D185" s="445"/>
      <c r="E185" s="1351">
        <f>E182-E184</f>
        <v>0</v>
      </c>
      <c r="F185" s="446"/>
      <c r="G185" s="120"/>
      <c r="H185" s="120"/>
      <c r="I185" s="121"/>
      <c r="J185" s="118"/>
    </row>
    <row r="186" spans="1:10" hidden="1">
      <c r="B186"/>
      <c r="C186" s="445"/>
      <c r="D186" s="445"/>
      <c r="E186" s="445"/>
      <c r="F186" s="446"/>
      <c r="G186" s="120"/>
      <c r="H186" s="120"/>
      <c r="I186" s="121"/>
      <c r="J186" s="118"/>
    </row>
    <row r="187" spans="1:10" hidden="1">
      <c r="B187"/>
      <c r="C187" s="445"/>
      <c r="D187" s="445"/>
      <c r="E187" s="445"/>
      <c r="F187" s="446"/>
      <c r="G187" s="120"/>
      <c r="H187" s="120"/>
      <c r="I187" s="121"/>
      <c r="J187" s="118"/>
    </row>
    <row r="188" spans="1:10" hidden="1">
      <c r="A188" s="201" t="s">
        <v>1450</v>
      </c>
      <c r="B188"/>
      <c r="C188" s="445"/>
      <c r="D188" s="445"/>
      <c r="E188" s="445"/>
      <c r="F188" s="446"/>
      <c r="G188" s="120"/>
      <c r="H188" s="120"/>
      <c r="I188" s="121"/>
      <c r="J188" s="118"/>
    </row>
    <row r="189" spans="1:10" hidden="1">
      <c r="A189" s="201" t="s">
        <v>1450</v>
      </c>
      <c r="B189"/>
      <c r="C189" s="445"/>
      <c r="D189" s="445"/>
      <c r="E189" s="445"/>
      <c r="F189" s="446"/>
      <c r="G189" s="120"/>
      <c r="H189" s="120"/>
      <c r="I189" s="121"/>
      <c r="J189" s="118"/>
    </row>
    <row r="190" spans="1:10">
      <c r="B190"/>
      <c r="C190" s="445"/>
      <c r="D190" s="445"/>
      <c r="E190" s="445"/>
      <c r="F190" s="446"/>
      <c r="G190" s="120"/>
      <c r="H190" s="120"/>
      <c r="I190" s="121"/>
      <c r="J190" s="118"/>
    </row>
    <row r="191" spans="1:10">
      <c r="B191"/>
      <c r="C191" s="445"/>
      <c r="D191" s="445"/>
      <c r="E191" s="445"/>
      <c r="F191" s="446"/>
      <c r="G191" s="120"/>
      <c r="H191" s="120"/>
      <c r="I191" s="121"/>
      <c r="J191" s="118"/>
    </row>
    <row r="192" spans="1:10">
      <c r="B192"/>
      <c r="C192" s="445"/>
      <c r="D192" s="445"/>
      <c r="E192" s="445"/>
      <c r="F192" s="446"/>
      <c r="G192" s="120"/>
      <c r="H192" s="120"/>
      <c r="I192" s="121"/>
      <c r="J192" s="118"/>
    </row>
    <row r="193" spans="2:10">
      <c r="B193"/>
      <c r="C193" s="1"/>
      <c r="D193" s="1"/>
      <c r="E193" s="1"/>
      <c r="F193"/>
      <c r="G193" s="2"/>
      <c r="H193"/>
      <c r="I193"/>
      <c r="J193" s="118"/>
    </row>
    <row r="194" spans="2:10" ht="12.75" customHeight="1">
      <c r="C194" s="112"/>
      <c r="D194" s="112"/>
      <c r="E194" s="112"/>
      <c r="G194" s="112"/>
    </row>
    <row r="195" spans="2:10" ht="12.75" hidden="1" customHeight="1">
      <c r="C195" s="112"/>
      <c r="D195" s="112"/>
      <c r="E195" s="112"/>
      <c r="G195" s="112"/>
    </row>
    <row r="196" spans="2:10" ht="12.75" hidden="1" customHeight="1">
      <c r="C196" s="112"/>
      <c r="D196" s="112"/>
      <c r="E196" s="112"/>
      <c r="G196" s="112"/>
    </row>
    <row r="197" spans="2:10" ht="12.75" hidden="1" customHeight="1">
      <c r="C197" s="112"/>
      <c r="D197" s="112"/>
      <c r="E197" s="112"/>
      <c r="G197" s="112"/>
    </row>
    <row r="198" spans="2:10" ht="12.75" hidden="1" customHeight="1">
      <c r="C198" s="112"/>
      <c r="D198" s="112"/>
      <c r="E198" s="112"/>
      <c r="G198" s="112"/>
    </row>
    <row r="199" spans="2:10" ht="12.75" hidden="1" customHeight="1">
      <c r="C199" s="112"/>
      <c r="D199" s="112"/>
      <c r="E199" s="112"/>
      <c r="G199" s="112"/>
    </row>
    <row r="200" spans="2:10" ht="12.75" hidden="1" customHeight="1">
      <c r="C200" s="112"/>
      <c r="D200" s="112"/>
      <c r="E200" s="112"/>
      <c r="G200" s="112"/>
    </row>
    <row r="201" spans="2:10" ht="12.75" hidden="1" customHeight="1">
      <c r="C201" s="112"/>
      <c r="D201" s="112"/>
      <c r="E201" s="112"/>
      <c r="G201" s="112"/>
    </row>
    <row r="202" spans="2:10" ht="12.75" hidden="1" customHeight="1">
      <c r="C202" s="112"/>
      <c r="D202" s="112"/>
      <c r="E202" s="112"/>
      <c r="G202" s="112"/>
    </row>
    <row r="203" spans="2:10" ht="12.75" hidden="1" customHeight="1">
      <c r="C203" s="112"/>
      <c r="D203" s="112"/>
      <c r="E203" s="112"/>
      <c r="G203" s="112"/>
    </row>
    <row r="204" spans="2:10" ht="12.75" hidden="1" customHeight="1">
      <c r="C204" s="112"/>
      <c r="D204" s="112"/>
      <c r="E204" s="112"/>
      <c r="G204" s="112"/>
    </row>
    <row r="205" spans="2:10" ht="12.75" hidden="1" customHeight="1">
      <c r="C205" s="112"/>
      <c r="D205" s="112"/>
      <c r="E205" s="112"/>
      <c r="G205" s="112"/>
    </row>
    <row r="206" spans="2:10" ht="12.75" hidden="1" customHeight="1">
      <c r="C206" s="112"/>
      <c r="D206" s="112"/>
      <c r="E206" s="112"/>
      <c r="G206" s="112"/>
    </row>
    <row r="207" spans="2:10" ht="12.75" hidden="1" customHeight="1">
      <c r="C207" s="112"/>
      <c r="D207" s="112"/>
      <c r="E207" s="112"/>
      <c r="G207" s="112"/>
    </row>
    <row r="208" spans="2:10" ht="12.75" hidden="1" customHeight="1">
      <c r="C208" s="112"/>
      <c r="D208" s="112"/>
      <c r="E208" s="112"/>
      <c r="G208" s="112"/>
    </row>
    <row r="209" spans="2:10" ht="12.75" hidden="1" customHeight="1">
      <c r="C209" s="112"/>
      <c r="D209" s="112"/>
      <c r="E209" s="112"/>
      <c r="G209" s="112"/>
    </row>
    <row r="210" spans="2:10" ht="12.75" hidden="1" customHeight="1">
      <c r="C210" s="112"/>
      <c r="D210" s="112"/>
      <c r="E210" s="112"/>
      <c r="G210" s="112"/>
    </row>
    <row r="211" spans="2:10" ht="12.75" hidden="1" customHeight="1">
      <c r="C211" s="112"/>
      <c r="D211" s="112"/>
      <c r="E211" s="112"/>
      <c r="G211" s="112"/>
    </row>
    <row r="212" spans="2:10" ht="12.75" hidden="1" customHeight="1">
      <c r="C212" s="112"/>
      <c r="D212" s="112"/>
      <c r="E212" s="112"/>
      <c r="G212" s="112"/>
    </row>
    <row r="213" spans="2:10" ht="12.75" hidden="1" customHeight="1">
      <c r="B213" s="118"/>
      <c r="C213" s="118"/>
      <c r="D213" s="118"/>
      <c r="E213" s="118"/>
      <c r="F213" s="118"/>
      <c r="G213" s="118"/>
      <c r="H213" s="118"/>
      <c r="I213" s="118"/>
      <c r="J213" s="118"/>
    </row>
    <row r="214" spans="2:10" ht="12.75" hidden="1" customHeight="1">
      <c r="B214" s="118"/>
      <c r="C214" s="118"/>
      <c r="D214" s="118"/>
      <c r="E214" s="118"/>
      <c r="F214" s="118"/>
      <c r="G214" s="118"/>
      <c r="H214" s="118"/>
      <c r="I214" s="118"/>
      <c r="J214" s="118"/>
    </row>
    <row r="215" spans="2:10" ht="12.75" hidden="1" customHeight="1">
      <c r="B215" s="118"/>
      <c r="C215" s="118"/>
      <c r="D215" s="118"/>
      <c r="E215" s="118"/>
      <c r="F215" s="118"/>
      <c r="G215" s="118"/>
      <c r="H215" s="118"/>
      <c r="I215" s="118"/>
      <c r="J215" s="118"/>
    </row>
    <row r="216" spans="2:10" ht="12.75" hidden="1" customHeight="1">
      <c r="B216" s="118"/>
      <c r="C216" s="118"/>
      <c r="D216" s="118"/>
      <c r="E216" s="118"/>
      <c r="F216" s="118"/>
      <c r="G216" s="118"/>
      <c r="H216" s="118"/>
      <c r="I216" s="118"/>
      <c r="J216" s="118"/>
    </row>
    <row r="217" spans="2:10" ht="12.75" hidden="1" customHeight="1">
      <c r="B217" s="118"/>
      <c r="C217" s="1177">
        <v>7900</v>
      </c>
      <c r="D217" s="1176" t="str">
        <f>F17</f>
        <v>7900 IP55</v>
      </c>
      <c r="E217" s="118"/>
      <c r="F217" s="1176" t="str">
        <f>IFERROR(VLOOKUP(D217,C222:D233,2,FALSE),"")</f>
        <v>02030008</v>
      </c>
      <c r="G217" s="1179" t="str">
        <f xml:space="preserve"> IF(G17=0,"",G17)</f>
        <v/>
      </c>
      <c r="H217" s="118" t="str">
        <f>IF(G217="","", G217&amp; " x "&amp;F217)</f>
        <v/>
      </c>
      <c r="I217" s="118"/>
      <c r="J217" s="118"/>
    </row>
    <row r="218" spans="2:10" ht="12.75" hidden="1" customHeight="1">
      <c r="B218" s="118"/>
      <c r="C218" s="1178" t="s">
        <v>1338</v>
      </c>
      <c r="D218" s="1176" t="str">
        <f>F22</f>
        <v>7900 Spectrum</v>
      </c>
      <c r="E218" s="118"/>
      <c r="F218" s="1176" t="str">
        <f>IFERROR(VLOOKUP(D218,C222:D233,2,FALSE),"")</f>
        <v>02030008</v>
      </c>
      <c r="G218" s="1179" t="str">
        <f xml:space="preserve"> IF(G22=0,"",G22)</f>
        <v/>
      </c>
      <c r="H218" s="118" t="str">
        <f>IF(G218="","", G218&amp; " x "&amp;F218)</f>
        <v/>
      </c>
      <c r="I218" s="118"/>
      <c r="J218" s="118"/>
    </row>
    <row r="219" spans="2:10" ht="12.75" hidden="1" customHeight="1">
      <c r="B219" s="118"/>
      <c r="C219" s="1178" t="s">
        <v>318</v>
      </c>
      <c r="D219" s="1176" t="s">
        <v>318</v>
      </c>
      <c r="E219" s="118"/>
      <c r="F219" s="1176" t="s">
        <v>568</v>
      </c>
      <c r="G219" s="1179">
        <f>G27</f>
        <v>0</v>
      </c>
      <c r="H219" s="1180" t="str">
        <f>H217&amp;" &amp;"&amp;H218</f>
        <v xml:space="preserve"> &amp;</v>
      </c>
      <c r="I219" s="118"/>
      <c r="J219" s="118"/>
    </row>
    <row r="220" spans="2:10" ht="12.75" hidden="1" customHeight="1">
      <c r="B220" s="118"/>
      <c r="C220" s="118"/>
      <c r="D220" s="118"/>
      <c r="E220" s="118"/>
      <c r="F220" s="118"/>
      <c r="G220" s="118"/>
      <c r="H220" s="118"/>
      <c r="I220" s="118"/>
      <c r="J220" s="118"/>
    </row>
    <row r="221" spans="2:10" ht="12.75" hidden="1" customHeight="1">
      <c r="B221" s="118"/>
      <c r="C221" s="169" t="s">
        <v>1326</v>
      </c>
      <c r="D221" s="1181" t="s">
        <v>1335</v>
      </c>
      <c r="E221" s="169" t="s">
        <v>1327</v>
      </c>
      <c r="F221" s="118"/>
      <c r="G221" s="118"/>
      <c r="H221" s="118"/>
      <c r="I221" s="118"/>
      <c r="J221" s="118"/>
    </row>
    <row r="222" spans="2:10" ht="12.75" hidden="1" customHeight="1">
      <c r="B222" s="118"/>
      <c r="C222" s="118" t="s">
        <v>587</v>
      </c>
      <c r="D222" s="119" t="s">
        <v>568</v>
      </c>
      <c r="E222" s="118" t="s">
        <v>569</v>
      </c>
      <c r="F222" s="118"/>
      <c r="G222" s="118"/>
      <c r="H222" s="118"/>
      <c r="I222" s="118"/>
      <c r="J222" s="118"/>
    </row>
    <row r="223" spans="2:10" ht="12.75" hidden="1" customHeight="1">
      <c r="B223" s="118"/>
      <c r="C223" s="118" t="s">
        <v>316</v>
      </c>
      <c r="D223" s="119" t="s">
        <v>568</v>
      </c>
      <c r="E223" s="118" t="s">
        <v>569</v>
      </c>
      <c r="F223" s="118"/>
      <c r="G223" s="118"/>
      <c r="H223" s="118"/>
      <c r="I223" s="118"/>
      <c r="J223" s="118"/>
    </row>
    <row r="224" spans="2:10" ht="12.75" hidden="1" customHeight="1">
      <c r="B224" s="118"/>
      <c r="C224" s="118"/>
      <c r="D224" s="119"/>
      <c r="E224" s="118"/>
      <c r="F224" s="118"/>
      <c r="G224" s="118"/>
      <c r="H224" s="118"/>
      <c r="I224" s="118"/>
      <c r="J224" s="118"/>
    </row>
    <row r="225" spans="2:10" ht="12.75" hidden="1" customHeight="1">
      <c r="B225" s="118"/>
      <c r="C225" s="118"/>
      <c r="D225" s="119"/>
      <c r="E225" s="118"/>
      <c r="F225" s="118"/>
      <c r="G225" s="118"/>
      <c r="H225" s="118"/>
      <c r="I225" s="118"/>
      <c r="J225" s="118"/>
    </row>
    <row r="226" spans="2:10" ht="12.75" hidden="1" customHeight="1">
      <c r="B226" s="118"/>
      <c r="C226" s="118"/>
      <c r="D226" s="119"/>
      <c r="E226" s="118"/>
      <c r="F226" s="118"/>
      <c r="G226" s="118"/>
      <c r="H226" s="118"/>
      <c r="I226" s="118"/>
      <c r="J226" s="118"/>
    </row>
    <row r="227" spans="2:10" ht="12.75" hidden="1" customHeight="1">
      <c r="B227" s="118"/>
      <c r="C227" s="118"/>
      <c r="D227" s="119"/>
      <c r="E227" s="118"/>
      <c r="F227" s="118"/>
      <c r="G227" s="118"/>
      <c r="H227" s="118"/>
      <c r="I227" s="118"/>
      <c r="J227" s="118"/>
    </row>
    <row r="228" spans="2:10" ht="12.75" hidden="1" customHeight="1">
      <c r="B228" s="118"/>
      <c r="C228" s="118"/>
      <c r="D228" s="119"/>
      <c r="E228" s="118"/>
      <c r="F228" s="118"/>
      <c r="G228" s="118"/>
      <c r="H228" s="118"/>
      <c r="I228" s="118"/>
      <c r="J228" s="118"/>
    </row>
    <row r="229" spans="2:10" ht="12.75" hidden="1" customHeight="1">
      <c r="B229" s="118"/>
      <c r="C229" s="118"/>
      <c r="D229" s="119"/>
      <c r="E229" s="118"/>
      <c r="F229" s="118"/>
      <c r="G229" s="118"/>
      <c r="H229" s="118"/>
      <c r="I229" s="118"/>
      <c r="J229" s="118"/>
    </row>
    <row r="230" spans="2:10" ht="12.75" hidden="1" customHeight="1">
      <c r="B230" s="118"/>
      <c r="C230" s="118"/>
      <c r="D230" s="119"/>
      <c r="E230" s="118"/>
      <c r="F230" s="118"/>
      <c r="G230" s="118"/>
      <c r="H230" s="118"/>
      <c r="I230" s="118"/>
      <c r="J230" s="118"/>
    </row>
    <row r="231" spans="2:10" ht="12.75" hidden="1" customHeight="1">
      <c r="B231" s="118"/>
      <c r="C231" s="118"/>
      <c r="D231" s="119"/>
      <c r="E231" s="118"/>
      <c r="F231" s="118"/>
      <c r="G231" s="118"/>
      <c r="H231" s="118"/>
      <c r="I231" s="118"/>
      <c r="J231" s="118"/>
    </row>
    <row r="232" spans="2:10" ht="12.75" hidden="1" customHeight="1">
      <c r="B232" s="118"/>
      <c r="C232" s="118"/>
      <c r="D232" s="119"/>
      <c r="E232" s="118"/>
      <c r="F232" s="118"/>
      <c r="G232" s="118"/>
      <c r="H232" s="118"/>
      <c r="I232" s="118"/>
      <c r="J232" s="118"/>
    </row>
    <row r="233" spans="2:10" ht="12.75" hidden="1" customHeight="1">
      <c r="B233" s="118"/>
      <c r="C233" s="118"/>
      <c r="D233" s="119"/>
      <c r="E233" s="118"/>
      <c r="F233" s="118"/>
      <c r="G233" s="118"/>
      <c r="H233" s="118"/>
      <c r="I233" s="118"/>
      <c r="J233" s="118"/>
    </row>
    <row r="234" spans="2:10" ht="12.75" hidden="1" customHeight="1">
      <c r="B234" s="118"/>
      <c r="C234" s="118"/>
      <c r="D234" s="118"/>
      <c r="E234" s="118"/>
      <c r="F234" s="118"/>
      <c r="G234" s="118"/>
      <c r="H234" s="118"/>
      <c r="I234" s="118"/>
      <c r="J234" s="118"/>
    </row>
    <row r="235" spans="2:10" ht="12.75" hidden="1" customHeight="1">
      <c r="B235" s="118"/>
      <c r="C235" s="118"/>
      <c r="D235" s="118"/>
      <c r="E235" s="118"/>
      <c r="F235" s="118"/>
      <c r="G235" s="118"/>
      <c r="H235" s="118"/>
      <c r="I235" s="118"/>
      <c r="J235" s="118"/>
    </row>
    <row r="236" spans="2:10" ht="12.75" hidden="1" customHeight="1">
      <c r="B236" s="118"/>
      <c r="C236" s="118"/>
      <c r="D236" s="118"/>
      <c r="E236" s="118"/>
      <c r="F236" s="118"/>
      <c r="G236" s="118"/>
      <c r="H236" s="118"/>
      <c r="I236" s="118"/>
      <c r="J236" s="118"/>
    </row>
    <row r="237" spans="2:10" ht="12.75" hidden="1" customHeight="1">
      <c r="B237" s="118"/>
      <c r="C237" s="118"/>
      <c r="D237" s="118"/>
      <c r="E237" s="118"/>
      <c r="F237" s="118"/>
      <c r="G237" s="118"/>
      <c r="H237" s="118"/>
      <c r="I237" s="118"/>
      <c r="J237" s="118"/>
    </row>
    <row r="238" spans="2:10" ht="12.75" hidden="1" customHeight="1">
      <c r="B238" s="118"/>
      <c r="C238" s="118"/>
      <c r="D238" s="118"/>
      <c r="E238" s="118"/>
      <c r="F238" s="118"/>
      <c r="G238" s="118"/>
      <c r="H238" s="118"/>
      <c r="I238" s="118"/>
      <c r="J238" s="118"/>
    </row>
    <row r="239" spans="2:10" ht="12.75" hidden="1" customHeight="1">
      <c r="C239" s="112"/>
      <c r="D239" s="112"/>
      <c r="E239" s="112"/>
      <c r="G239" s="112"/>
    </row>
    <row r="240" spans="2:10" ht="12.75" hidden="1" customHeight="1">
      <c r="C240" s="112"/>
      <c r="D240" s="112"/>
      <c r="E240" s="112"/>
      <c r="G240" s="112"/>
    </row>
    <row r="241" spans="2:60" ht="12.75" hidden="1" customHeight="1">
      <c r="C241" s="112"/>
      <c r="D241" s="112"/>
      <c r="E241" s="112"/>
      <c r="G241" s="112"/>
    </row>
    <row r="242" spans="2:60" ht="12.75" hidden="1" customHeight="1">
      <c r="C242" s="112"/>
      <c r="D242" s="112"/>
      <c r="E242" s="112"/>
      <c r="G242" s="112"/>
    </row>
    <row r="243" spans="2:60" ht="13.5" hidden="1" customHeight="1">
      <c r="C243" s="112"/>
      <c r="D243" s="112"/>
      <c r="E243" s="112"/>
      <c r="G243" s="112"/>
    </row>
    <row r="244" spans="2:60" ht="13.5" hidden="1" customHeight="1" thickBot="1">
      <c r="C244" s="112"/>
      <c r="D244" s="112"/>
      <c r="E244" s="112"/>
      <c r="G244" s="112"/>
    </row>
    <row r="245" spans="2:60" ht="12.75" hidden="1" customHeight="1">
      <c r="B245" s="122"/>
      <c r="C245" s="123"/>
      <c r="D245" s="123"/>
      <c r="E245" s="123"/>
      <c r="F245" s="124"/>
      <c r="G245" s="125"/>
      <c r="H245" s="124"/>
      <c r="I245" s="124"/>
      <c r="J245" s="126"/>
    </row>
    <row r="246" spans="2:60" ht="12.75" hidden="1" customHeight="1">
      <c r="B246" s="203"/>
      <c r="C246" s="128"/>
      <c r="D246" s="128" t="s">
        <v>13</v>
      </c>
      <c r="E246" s="128"/>
      <c r="F246" s="129" t="s">
        <v>0</v>
      </c>
      <c r="G246" s="129" t="s">
        <v>9</v>
      </c>
      <c r="H246" s="130" t="s">
        <v>34</v>
      </c>
      <c r="I246" s="130" t="s">
        <v>35</v>
      </c>
      <c r="J246" s="131"/>
    </row>
    <row r="247" spans="2:60" ht="12.75" hidden="1" customHeight="1">
      <c r="B247" s="203"/>
      <c r="C247" s="132"/>
      <c r="D247" s="132" t="s">
        <v>43</v>
      </c>
      <c r="E247" s="132"/>
      <c r="F247" s="133"/>
      <c r="G247" s="134"/>
      <c r="H247" s="135"/>
      <c r="I247" s="135"/>
      <c r="J247" s="131"/>
      <c r="BH247" s="1317"/>
    </row>
    <row r="248" spans="2:60" ht="12.75" hidden="1" customHeight="1">
      <c r="B248" s="203"/>
      <c r="C248" s="133"/>
      <c r="D248" s="133"/>
      <c r="E248" s="115"/>
      <c r="F248" s="196" t="s">
        <v>587</v>
      </c>
      <c r="G248" s="3"/>
      <c r="H248" s="3"/>
      <c r="I248" s="792">
        <v>18480</v>
      </c>
      <c r="J248" s="1369"/>
      <c r="K248" s="1370"/>
      <c r="L248" s="256">
        <v>7900</v>
      </c>
      <c r="BH248" s="1317"/>
    </row>
    <row r="249" spans="2:60" ht="12.75" hidden="1" customHeight="1">
      <c r="B249" s="203"/>
      <c r="C249" s="133"/>
      <c r="D249" s="133"/>
      <c r="E249" s="115"/>
      <c r="F249" s="196" t="s">
        <v>392</v>
      </c>
      <c r="G249" s="197"/>
      <c r="H249" s="197"/>
      <c r="I249" s="792">
        <v>24717</v>
      </c>
      <c r="J249" s="1085"/>
      <c r="K249" s="1370"/>
      <c r="L249" s="256">
        <v>7900</v>
      </c>
      <c r="BH249" s="1317"/>
    </row>
    <row r="250" spans="2:60" ht="12.75" hidden="1" customHeight="1">
      <c r="B250" s="203"/>
      <c r="C250" s="133"/>
      <c r="D250" s="133"/>
      <c r="E250" s="115"/>
      <c r="F250" s="196" t="s">
        <v>316</v>
      </c>
      <c r="G250" s="197"/>
      <c r="H250" s="197"/>
      <c r="I250" s="792">
        <v>25064</v>
      </c>
      <c r="J250" s="1085"/>
      <c r="K250" s="1370"/>
      <c r="L250" s="256" t="s">
        <v>316</v>
      </c>
      <c r="BH250" s="1317"/>
    </row>
    <row r="251" spans="2:60" ht="12.75" hidden="1" customHeight="1">
      <c r="B251" s="203"/>
      <c r="C251" s="133"/>
      <c r="D251" s="133"/>
      <c r="E251" s="115"/>
      <c r="F251" s="196" t="s">
        <v>318</v>
      </c>
      <c r="G251" s="197"/>
      <c r="H251" s="197"/>
      <c r="I251" s="792">
        <v>26565</v>
      </c>
      <c r="J251" s="1085"/>
      <c r="K251" s="1370"/>
      <c r="L251" s="256" t="s">
        <v>318</v>
      </c>
      <c r="BH251" s="1317"/>
    </row>
    <row r="252" spans="2:60" ht="12.75" hidden="1" customHeight="1">
      <c r="B252" s="203"/>
      <c r="C252" s="133"/>
      <c r="D252" s="133"/>
      <c r="E252" s="115"/>
      <c r="F252" s="196" t="s">
        <v>319</v>
      </c>
      <c r="G252" s="197"/>
      <c r="H252" s="197"/>
      <c r="I252" s="792" t="s">
        <v>69</v>
      </c>
      <c r="J252" s="513"/>
      <c r="L252" s="256" t="s">
        <v>319</v>
      </c>
    </row>
    <row r="253" spans="2:60" ht="12.75" hidden="1" customHeight="1">
      <c r="B253" s="203"/>
      <c r="C253" s="133"/>
      <c r="D253" s="133"/>
      <c r="E253" s="115"/>
      <c r="F253" s="196" t="s">
        <v>320</v>
      </c>
      <c r="G253" s="197"/>
      <c r="H253" s="197"/>
      <c r="I253" s="792" t="s">
        <v>69</v>
      </c>
      <c r="J253" s="513"/>
      <c r="L253" s="256" t="s">
        <v>320</v>
      </c>
    </row>
    <row r="254" spans="2:60" ht="12.75" hidden="1" customHeight="1">
      <c r="B254" s="203"/>
      <c r="C254" s="133"/>
      <c r="D254" s="133"/>
      <c r="E254" s="115"/>
      <c r="F254" s="196"/>
      <c r="G254" s="197"/>
      <c r="H254" s="197"/>
      <c r="I254" s="792"/>
      <c r="J254" s="513"/>
      <c r="L254" s="256"/>
    </row>
    <row r="255" spans="2:60" ht="12.75" hidden="1" customHeight="1">
      <c r="B255" s="203"/>
      <c r="C255" s="115"/>
      <c r="D255" s="115"/>
      <c r="E255" s="115"/>
      <c r="F255" s="109"/>
      <c r="G255" s="199"/>
      <c r="H255" s="199"/>
      <c r="I255" s="332"/>
      <c r="J255" s="513"/>
    </row>
    <row r="256" spans="2:60" ht="12.75" hidden="1" customHeight="1">
      <c r="B256" s="203"/>
      <c r="C256" s="132"/>
      <c r="D256" s="132" t="s">
        <v>24</v>
      </c>
      <c r="E256" s="115"/>
      <c r="F256" s="204"/>
      <c r="G256" s="199"/>
      <c r="H256" s="199"/>
      <c r="I256" s="332"/>
      <c r="J256" s="131"/>
    </row>
    <row r="257" spans="2:16" ht="12.75" hidden="1" customHeight="1">
      <c r="B257" s="203"/>
      <c r="C257" s="204"/>
      <c r="D257" s="204"/>
      <c r="E257" s="115"/>
      <c r="F257" s="196" t="s">
        <v>321</v>
      </c>
      <c r="G257" s="253"/>
      <c r="H257" s="197"/>
      <c r="I257" s="403">
        <v>812</v>
      </c>
      <c r="J257" s="131"/>
      <c r="K257" s="1370"/>
      <c r="L257" s="375">
        <v>7900</v>
      </c>
      <c r="M257" s="375"/>
      <c r="N257" s="375"/>
      <c r="O257" s="511"/>
      <c r="P257" s="511"/>
    </row>
    <row r="258" spans="2:16" ht="12.75" hidden="1" customHeight="1">
      <c r="B258" s="203"/>
      <c r="C258" s="204"/>
      <c r="D258" s="204"/>
      <c r="E258" s="204"/>
      <c r="F258" s="99" t="s">
        <v>322</v>
      </c>
      <c r="G258" s="253"/>
      <c r="H258" s="197"/>
      <c r="I258" s="403">
        <v>1001</v>
      </c>
      <c r="J258" s="131"/>
      <c r="K258" s="1370"/>
      <c r="L258" s="375">
        <v>7900</v>
      </c>
      <c r="M258" s="375"/>
      <c r="N258" s="375"/>
      <c r="O258" s="511"/>
      <c r="P258" s="511"/>
    </row>
    <row r="259" spans="2:16" ht="12.75" hidden="1" customHeight="1">
      <c r="B259" s="203"/>
      <c r="C259" s="204"/>
      <c r="D259" s="204"/>
      <c r="E259" s="115"/>
      <c r="F259" s="99" t="s">
        <v>323</v>
      </c>
      <c r="G259" s="253"/>
      <c r="H259" s="197"/>
      <c r="I259" s="403">
        <v>1001</v>
      </c>
      <c r="J259" s="131"/>
      <c r="K259" s="1370"/>
      <c r="L259" s="375">
        <v>7900</v>
      </c>
      <c r="M259" s="375"/>
      <c r="N259" s="375"/>
      <c r="O259" s="511"/>
      <c r="P259" s="511"/>
    </row>
    <row r="260" spans="2:16" ht="13.5" hidden="1" customHeight="1" thickBot="1">
      <c r="B260" s="203"/>
      <c r="C260" s="204"/>
      <c r="D260" s="204"/>
      <c r="E260" s="115"/>
      <c r="F260" s="362" t="s">
        <v>324</v>
      </c>
      <c r="G260" s="365"/>
      <c r="H260" s="366"/>
      <c r="I260" s="404">
        <v>1172</v>
      </c>
      <c r="J260" s="131"/>
      <c r="K260" s="1370"/>
      <c r="L260" s="375">
        <v>7900</v>
      </c>
      <c r="M260" s="375"/>
      <c r="N260" s="375"/>
      <c r="O260" s="511"/>
      <c r="P260" s="511"/>
    </row>
    <row r="261" spans="2:16" ht="12.75" hidden="1" customHeight="1">
      <c r="B261" s="203"/>
      <c r="C261" s="204"/>
      <c r="D261" s="204"/>
      <c r="E261" s="115"/>
      <c r="F261" s="363" t="s">
        <v>325</v>
      </c>
      <c r="G261" s="253"/>
      <c r="H261" s="197"/>
      <c r="I261" s="403">
        <v>454</v>
      </c>
      <c r="J261" s="131"/>
      <c r="K261" s="1370"/>
      <c r="L261" s="375">
        <v>7900</v>
      </c>
      <c r="M261" s="375"/>
      <c r="N261" s="375"/>
      <c r="O261" s="511"/>
      <c r="P261" s="511"/>
    </row>
    <row r="262" spans="2:16" ht="12.75" hidden="1" customHeight="1">
      <c r="B262" s="203"/>
      <c r="C262" s="204"/>
      <c r="D262" s="204"/>
      <c r="E262" s="115"/>
      <c r="F262" s="99" t="s">
        <v>326</v>
      </c>
      <c r="G262" s="253"/>
      <c r="H262" s="197"/>
      <c r="I262" s="403">
        <v>642</v>
      </c>
      <c r="J262" s="131"/>
      <c r="K262" s="1370"/>
      <c r="L262" s="375">
        <v>7900</v>
      </c>
      <c r="M262" s="375"/>
      <c r="N262" s="375"/>
      <c r="O262" s="511"/>
      <c r="P262" s="511"/>
    </row>
    <row r="263" spans="2:16" ht="12.75" hidden="1" customHeight="1">
      <c r="B263" s="203"/>
      <c r="C263" s="204"/>
      <c r="D263" s="204"/>
      <c r="E263" s="115"/>
      <c r="F263" s="99" t="s">
        <v>327</v>
      </c>
      <c r="G263" s="253"/>
      <c r="H263" s="197"/>
      <c r="I263" s="403">
        <v>642</v>
      </c>
      <c r="J263" s="131"/>
      <c r="K263" s="1370"/>
      <c r="L263" s="375">
        <v>7900</v>
      </c>
      <c r="M263" s="375"/>
      <c r="N263" s="375"/>
      <c r="O263" s="511"/>
      <c r="P263" s="511"/>
    </row>
    <row r="264" spans="2:16" ht="12.75" hidden="1" customHeight="1">
      <c r="B264" s="203"/>
      <c r="C264" s="204"/>
      <c r="D264" s="204"/>
      <c r="E264" s="115"/>
      <c r="F264" s="99" t="s">
        <v>328</v>
      </c>
      <c r="G264" s="253"/>
      <c r="H264" s="197"/>
      <c r="I264" s="403">
        <v>812</v>
      </c>
      <c r="J264" s="131"/>
      <c r="K264" s="1370"/>
      <c r="L264" s="375">
        <v>7900</v>
      </c>
      <c r="M264" s="375"/>
      <c r="N264" s="375"/>
      <c r="O264" s="511"/>
      <c r="P264" s="511"/>
    </row>
    <row r="265" spans="2:16" ht="12.75" hidden="1" customHeight="1">
      <c r="B265" s="203"/>
      <c r="C265" s="204"/>
      <c r="D265" s="204"/>
      <c r="E265" s="115"/>
      <c r="F265" s="196" t="s">
        <v>1010</v>
      </c>
      <c r="G265" s="253"/>
      <c r="H265" s="197"/>
      <c r="I265" s="403">
        <v>1039</v>
      </c>
      <c r="J265" s="131"/>
      <c r="K265" s="1370"/>
      <c r="L265" s="375">
        <v>7900</v>
      </c>
      <c r="M265" s="375"/>
      <c r="N265" s="375"/>
      <c r="O265" s="511"/>
      <c r="P265" s="511"/>
    </row>
    <row r="266" spans="2:16" ht="13.5" hidden="1" customHeight="1" thickBot="1">
      <c r="B266" s="203"/>
      <c r="C266" s="204"/>
      <c r="D266" s="204"/>
      <c r="E266" s="115"/>
      <c r="F266" s="373" t="s">
        <v>1011</v>
      </c>
      <c r="G266" s="365"/>
      <c r="H266" s="366"/>
      <c r="I266" s="404">
        <v>1039</v>
      </c>
      <c r="J266" s="131"/>
      <c r="K266" s="1370"/>
      <c r="L266" s="375">
        <v>7900</v>
      </c>
      <c r="M266" s="375"/>
      <c r="N266" s="375"/>
      <c r="O266" s="511"/>
      <c r="P266" s="511"/>
    </row>
    <row r="267" spans="2:16" ht="12.75" hidden="1" customHeight="1">
      <c r="B267" s="203"/>
      <c r="C267" s="204"/>
      <c r="D267" s="204"/>
      <c r="E267" s="204"/>
      <c r="F267" s="363" t="s">
        <v>340</v>
      </c>
      <c r="G267" s="253"/>
      <c r="H267" s="197"/>
      <c r="I267" s="403">
        <v>176</v>
      </c>
      <c r="J267" s="131"/>
      <c r="K267" s="1370"/>
      <c r="L267" s="375">
        <v>7900</v>
      </c>
      <c r="M267" s="375" t="s">
        <v>391</v>
      </c>
      <c r="N267" s="375"/>
      <c r="O267" s="511"/>
      <c r="P267" s="511"/>
    </row>
    <row r="268" spans="2:16" ht="12.75" hidden="1" customHeight="1">
      <c r="B268" s="203"/>
      <c r="C268" s="204"/>
      <c r="D268" s="204"/>
      <c r="E268" s="204"/>
      <c r="F268" s="99" t="s">
        <v>341</v>
      </c>
      <c r="G268" s="253"/>
      <c r="H268" s="197"/>
      <c r="I268" s="403">
        <v>176</v>
      </c>
      <c r="J268" s="131"/>
      <c r="K268" s="1370"/>
      <c r="L268" s="375">
        <v>7900</v>
      </c>
      <c r="M268" s="375" t="s">
        <v>391</v>
      </c>
      <c r="N268" s="375"/>
      <c r="O268" s="511"/>
      <c r="P268" s="511"/>
    </row>
    <row r="269" spans="2:16" ht="12.75" hidden="1" customHeight="1">
      <c r="B269" s="203"/>
      <c r="C269" s="204"/>
      <c r="D269" s="204"/>
      <c r="E269" s="204"/>
      <c r="F269" s="99" t="s">
        <v>342</v>
      </c>
      <c r="G269" s="253"/>
      <c r="H269" s="197"/>
      <c r="I269" s="403">
        <v>176</v>
      </c>
      <c r="J269" s="131"/>
      <c r="K269" s="1370"/>
      <c r="L269" s="375">
        <v>7900</v>
      </c>
      <c r="M269" s="375" t="s">
        <v>391</v>
      </c>
      <c r="N269" s="375"/>
      <c r="O269" s="511"/>
      <c r="P269" s="511"/>
    </row>
    <row r="270" spans="2:16" ht="13.5" hidden="1" customHeight="1" thickBot="1">
      <c r="B270" s="203"/>
      <c r="C270" s="204"/>
      <c r="D270" s="204"/>
      <c r="E270" s="204"/>
      <c r="F270" s="362" t="s">
        <v>343</v>
      </c>
      <c r="G270" s="365"/>
      <c r="H270" s="366"/>
      <c r="I270" s="404">
        <v>335</v>
      </c>
      <c r="J270" s="131"/>
      <c r="K270" s="1370"/>
      <c r="L270" s="375">
        <v>7900</v>
      </c>
      <c r="M270" s="375" t="s">
        <v>391</v>
      </c>
      <c r="N270" s="375"/>
      <c r="O270" s="511"/>
      <c r="P270" s="511"/>
    </row>
    <row r="271" spans="2:16" ht="12.75" hidden="1" customHeight="1">
      <c r="B271" s="203"/>
      <c r="C271" s="204"/>
      <c r="D271" s="204"/>
      <c r="E271" s="115"/>
      <c r="F271" s="363" t="s">
        <v>335</v>
      </c>
      <c r="G271" s="253"/>
      <c r="H271" s="197"/>
      <c r="I271" s="403">
        <v>453</v>
      </c>
      <c r="J271" s="131"/>
      <c r="K271" s="1370"/>
      <c r="L271" s="375">
        <v>7900</v>
      </c>
      <c r="M271" s="375"/>
      <c r="N271" s="375"/>
      <c r="O271" s="511"/>
      <c r="P271" s="511"/>
    </row>
    <row r="272" spans="2:16" ht="12.75" hidden="1" customHeight="1">
      <c r="B272" s="203"/>
      <c r="C272" s="204"/>
      <c r="D272" s="204"/>
      <c r="E272" s="115"/>
      <c r="F272" s="99" t="s">
        <v>336</v>
      </c>
      <c r="G272" s="253"/>
      <c r="H272" s="197"/>
      <c r="I272" s="403">
        <v>642</v>
      </c>
      <c r="J272" s="131"/>
      <c r="K272" s="1370"/>
      <c r="L272" s="375">
        <v>7900</v>
      </c>
      <c r="M272" s="375"/>
      <c r="N272" s="375"/>
      <c r="O272" s="511"/>
      <c r="P272" s="511"/>
    </row>
    <row r="273" spans="2:16" ht="12.75" hidden="1" customHeight="1">
      <c r="B273" s="203"/>
      <c r="C273" s="204"/>
      <c r="D273" s="204"/>
      <c r="E273" s="115"/>
      <c r="F273" s="99" t="s">
        <v>337</v>
      </c>
      <c r="G273" s="253"/>
      <c r="H273" s="197"/>
      <c r="I273" s="403">
        <v>642</v>
      </c>
      <c r="J273" s="131"/>
      <c r="K273" s="1370"/>
      <c r="L273" s="375">
        <v>7900</v>
      </c>
      <c r="M273" s="375"/>
      <c r="N273" s="375"/>
      <c r="O273" s="511"/>
      <c r="P273" s="511"/>
    </row>
    <row r="274" spans="2:16" ht="13.5" hidden="1" customHeight="1" thickBot="1">
      <c r="B274" s="203"/>
      <c r="C274" s="204"/>
      <c r="D274" s="204"/>
      <c r="E274" s="115"/>
      <c r="F274" s="362" t="s">
        <v>338</v>
      </c>
      <c r="G274" s="365"/>
      <c r="H274" s="366"/>
      <c r="I274" s="404">
        <v>812</v>
      </c>
      <c r="J274" s="131"/>
      <c r="K274" s="1370"/>
      <c r="L274" s="375">
        <v>7900</v>
      </c>
      <c r="M274" s="375"/>
      <c r="N274" s="375"/>
      <c r="O274" s="511"/>
      <c r="P274" s="511"/>
    </row>
    <row r="275" spans="2:16" ht="12.75" hidden="1" customHeight="1">
      <c r="B275" s="203"/>
      <c r="C275" s="204"/>
      <c r="D275" s="204"/>
      <c r="E275" s="204"/>
      <c r="F275" s="363" t="s">
        <v>344</v>
      </c>
      <c r="G275" s="253"/>
      <c r="H275" s="197"/>
      <c r="I275" s="403">
        <v>159</v>
      </c>
      <c r="J275" s="131"/>
      <c r="K275" s="1370"/>
      <c r="L275" s="375">
        <v>7900</v>
      </c>
      <c r="M275" s="375">
        <v>4900</v>
      </c>
      <c r="N275" s="375"/>
      <c r="O275" s="511"/>
      <c r="P275" s="511"/>
    </row>
    <row r="276" spans="2:16" ht="12.75" hidden="1" customHeight="1">
      <c r="B276" s="203"/>
      <c r="C276" s="204"/>
      <c r="D276" s="204"/>
      <c r="E276" s="204"/>
      <c r="F276" s="99" t="s">
        <v>345</v>
      </c>
      <c r="G276" s="253"/>
      <c r="H276" s="197"/>
      <c r="I276" s="403">
        <v>335</v>
      </c>
      <c r="J276" s="131"/>
      <c r="K276" s="1370"/>
      <c r="L276" s="375">
        <v>7900</v>
      </c>
      <c r="M276" s="375">
        <v>4900</v>
      </c>
      <c r="N276" s="375"/>
      <c r="O276" s="511"/>
      <c r="P276" s="511"/>
    </row>
    <row r="277" spans="2:16" ht="12.75" hidden="1" customHeight="1">
      <c r="B277" s="203"/>
      <c r="C277" s="204"/>
      <c r="D277" s="204"/>
      <c r="E277" s="204"/>
      <c r="F277" s="99" t="s">
        <v>346</v>
      </c>
      <c r="G277" s="253"/>
      <c r="H277" s="197"/>
      <c r="I277" s="403">
        <v>335</v>
      </c>
      <c r="J277" s="131"/>
      <c r="K277" s="1370"/>
      <c r="L277" s="375">
        <v>7900</v>
      </c>
      <c r="M277" s="375">
        <v>4900</v>
      </c>
      <c r="N277" s="375"/>
      <c r="O277" s="511"/>
      <c r="P277" s="511"/>
    </row>
    <row r="278" spans="2:16" ht="13.5" hidden="1" customHeight="1" thickBot="1">
      <c r="B278" s="203"/>
      <c r="C278" s="204"/>
      <c r="D278" s="204"/>
      <c r="E278" s="204"/>
      <c r="F278" s="362" t="s">
        <v>347</v>
      </c>
      <c r="G278" s="365"/>
      <c r="H278" s="366"/>
      <c r="I278" s="404">
        <v>493</v>
      </c>
      <c r="J278" s="131"/>
      <c r="K278" s="1370"/>
      <c r="L278" s="375">
        <v>7900</v>
      </c>
      <c r="M278" s="375">
        <v>4900</v>
      </c>
      <c r="N278" s="375"/>
      <c r="O278" s="511"/>
      <c r="P278" s="511"/>
    </row>
    <row r="279" spans="2:16" ht="13.5" hidden="1" customHeight="1" thickBot="1">
      <c r="B279" s="203"/>
      <c r="C279" s="204"/>
      <c r="D279" s="204"/>
      <c r="E279" s="115"/>
      <c r="F279" s="364" t="s">
        <v>339</v>
      </c>
      <c r="G279" s="365"/>
      <c r="H279" s="366"/>
      <c r="I279" s="404">
        <v>488</v>
      </c>
      <c r="J279" s="131"/>
      <c r="K279" s="1370"/>
      <c r="L279" s="375">
        <v>7900</v>
      </c>
      <c r="M279" s="375"/>
      <c r="N279" s="375"/>
      <c r="O279" s="375" t="s">
        <v>318</v>
      </c>
      <c r="P279" s="511"/>
    </row>
    <row r="280" spans="2:16" ht="12.75" hidden="1" customHeight="1">
      <c r="B280" s="203"/>
      <c r="C280" s="204"/>
      <c r="D280" s="204"/>
      <c r="E280" s="204"/>
      <c r="F280" s="363" t="s">
        <v>352</v>
      </c>
      <c r="G280" s="253"/>
      <c r="H280" s="197"/>
      <c r="I280" s="403">
        <v>158</v>
      </c>
      <c r="J280" s="131"/>
      <c r="K280" s="1370"/>
      <c r="L280" s="375">
        <v>7900</v>
      </c>
      <c r="M280" s="375">
        <v>4900</v>
      </c>
      <c r="N280" s="375"/>
      <c r="O280" s="511"/>
      <c r="P280" s="511"/>
    </row>
    <row r="281" spans="2:16" ht="12.75" hidden="1" customHeight="1">
      <c r="B281" s="203"/>
      <c r="C281" s="204"/>
      <c r="D281" s="204"/>
      <c r="E281" s="204"/>
      <c r="F281" s="99" t="s">
        <v>353</v>
      </c>
      <c r="G281" s="254"/>
      <c r="H281" s="197"/>
      <c r="I281" s="403">
        <v>335</v>
      </c>
      <c r="J281" s="131"/>
      <c r="K281" s="1370"/>
      <c r="L281" s="375">
        <v>7900</v>
      </c>
      <c r="M281" s="375">
        <v>4900</v>
      </c>
      <c r="N281" s="375"/>
      <c r="O281" s="511"/>
      <c r="P281" s="511"/>
    </row>
    <row r="282" spans="2:16" ht="12.75" hidden="1" customHeight="1">
      <c r="B282" s="203"/>
      <c r="C282" s="204"/>
      <c r="D282" s="204"/>
      <c r="E282" s="204"/>
      <c r="F282" s="99" t="s">
        <v>354</v>
      </c>
      <c r="G282" s="253"/>
      <c r="H282" s="197"/>
      <c r="I282" s="403">
        <v>335</v>
      </c>
      <c r="J282" s="131"/>
      <c r="K282" s="1370"/>
      <c r="L282" s="375">
        <v>7900</v>
      </c>
      <c r="M282" s="375">
        <v>4900</v>
      </c>
      <c r="N282" s="375"/>
      <c r="O282" s="511"/>
      <c r="P282" s="511"/>
    </row>
    <row r="283" spans="2:16" ht="13.5" hidden="1" customHeight="1" thickBot="1">
      <c r="B283" s="203"/>
      <c r="C283" s="204"/>
      <c r="D283" s="204"/>
      <c r="E283" s="204"/>
      <c r="F283" s="362" t="s">
        <v>355</v>
      </c>
      <c r="G283" s="365"/>
      <c r="H283" s="366"/>
      <c r="I283" s="404">
        <v>493</v>
      </c>
      <c r="J283" s="131"/>
      <c r="K283" s="1370"/>
      <c r="L283" s="375">
        <v>7900</v>
      </c>
      <c r="M283" s="375">
        <v>4900</v>
      </c>
      <c r="N283" s="375"/>
      <c r="O283" s="511"/>
      <c r="P283" s="511"/>
    </row>
    <row r="284" spans="2:16" ht="12.75" hidden="1" customHeight="1">
      <c r="B284" s="203"/>
      <c r="C284" s="204"/>
      <c r="D284" s="204"/>
      <c r="E284" s="204"/>
      <c r="F284" s="363" t="s">
        <v>348</v>
      </c>
      <c r="G284" s="253"/>
      <c r="H284" s="197"/>
      <c r="I284" s="403">
        <v>158</v>
      </c>
      <c r="J284" s="131"/>
      <c r="K284" s="1370"/>
      <c r="L284" s="375">
        <v>7900</v>
      </c>
      <c r="M284" s="375">
        <v>4900</v>
      </c>
      <c r="N284" s="375" t="s">
        <v>316</v>
      </c>
      <c r="O284" s="511"/>
      <c r="P284" s="511"/>
    </row>
    <row r="285" spans="2:16" ht="12.75" hidden="1" customHeight="1">
      <c r="B285" s="203"/>
      <c r="C285" s="204"/>
      <c r="D285" s="204"/>
      <c r="E285" s="204"/>
      <c r="F285" s="99" t="s">
        <v>349</v>
      </c>
      <c r="G285" s="253"/>
      <c r="H285" s="197"/>
      <c r="I285" s="403">
        <v>335</v>
      </c>
      <c r="J285" s="131"/>
      <c r="K285" s="1370"/>
      <c r="L285" s="375">
        <v>7900</v>
      </c>
      <c r="M285" s="375">
        <v>4900</v>
      </c>
      <c r="N285" s="375" t="s">
        <v>316</v>
      </c>
      <c r="O285" s="511"/>
      <c r="P285" s="511"/>
    </row>
    <row r="286" spans="2:16" ht="12.75" hidden="1" customHeight="1">
      <c r="B286" s="203"/>
      <c r="C286" s="204"/>
      <c r="D286" s="204"/>
      <c r="E286" s="204"/>
      <c r="F286" s="99" t="s">
        <v>350</v>
      </c>
      <c r="G286" s="253"/>
      <c r="H286" s="197"/>
      <c r="I286" s="403">
        <v>335</v>
      </c>
      <c r="J286" s="131"/>
      <c r="K286" s="1370"/>
      <c r="L286" s="375">
        <v>7900</v>
      </c>
      <c r="M286" s="375">
        <v>4900</v>
      </c>
      <c r="N286" s="375" t="s">
        <v>316</v>
      </c>
      <c r="O286" s="511"/>
      <c r="P286" s="511"/>
    </row>
    <row r="287" spans="2:16" ht="13.5" hidden="1" customHeight="1" thickBot="1">
      <c r="B287" s="203"/>
      <c r="C287" s="204"/>
      <c r="D287" s="204"/>
      <c r="E287" s="204"/>
      <c r="F287" s="362" t="s">
        <v>351</v>
      </c>
      <c r="G287" s="365"/>
      <c r="H287" s="366"/>
      <c r="I287" s="404">
        <v>493</v>
      </c>
      <c r="J287" s="131"/>
      <c r="K287" s="1370"/>
      <c r="L287" s="375">
        <v>7900</v>
      </c>
      <c r="M287" s="375">
        <v>4900</v>
      </c>
      <c r="N287" s="375" t="s">
        <v>316</v>
      </c>
      <c r="O287" s="511"/>
      <c r="P287" s="511"/>
    </row>
    <row r="288" spans="2:16" ht="12.75" hidden="1" customHeight="1">
      <c r="B288" s="203"/>
      <c r="C288" s="204"/>
      <c r="D288" s="204"/>
      <c r="E288" s="115"/>
      <c r="F288" s="363" t="s">
        <v>331</v>
      </c>
      <c r="G288" s="253"/>
      <c r="H288" s="197"/>
      <c r="I288" s="403">
        <v>850</v>
      </c>
      <c r="J288" s="131"/>
      <c r="K288" s="1370"/>
      <c r="L288" s="375">
        <v>7900</v>
      </c>
      <c r="M288" s="375"/>
      <c r="N288" s="375" t="s">
        <v>316</v>
      </c>
      <c r="O288" s="511"/>
      <c r="P288" s="511"/>
    </row>
    <row r="289" spans="2:16" ht="12.75" hidden="1" customHeight="1">
      <c r="B289" s="203"/>
      <c r="C289" s="204"/>
      <c r="D289" s="204"/>
      <c r="E289" s="115"/>
      <c r="F289" s="99" t="s">
        <v>332</v>
      </c>
      <c r="G289" s="253"/>
      <c r="H289" s="197"/>
      <c r="I289" s="403">
        <v>1038</v>
      </c>
      <c r="J289" s="131"/>
      <c r="K289" s="1370"/>
      <c r="L289" s="375">
        <v>7900</v>
      </c>
      <c r="M289" s="375"/>
      <c r="N289" s="375" t="s">
        <v>316</v>
      </c>
      <c r="O289" s="511"/>
      <c r="P289" s="511"/>
    </row>
    <row r="290" spans="2:16" ht="12.75" hidden="1" customHeight="1">
      <c r="B290" s="203"/>
      <c r="C290" s="204"/>
      <c r="D290" s="204"/>
      <c r="E290" s="115"/>
      <c r="F290" s="99" t="s">
        <v>333</v>
      </c>
      <c r="G290" s="253"/>
      <c r="H290" s="197"/>
      <c r="I290" s="403">
        <v>1038</v>
      </c>
      <c r="J290" s="131"/>
      <c r="K290" s="1370"/>
      <c r="L290" s="375">
        <v>7900</v>
      </c>
      <c r="M290" s="375"/>
      <c r="N290" s="375" t="s">
        <v>316</v>
      </c>
      <c r="O290" s="511"/>
      <c r="P290" s="511"/>
    </row>
    <row r="291" spans="2:16" ht="13.5" hidden="1" customHeight="1" thickBot="1">
      <c r="B291" s="203"/>
      <c r="C291" s="204"/>
      <c r="D291" s="204"/>
      <c r="E291" s="115"/>
      <c r="F291" s="362" t="s">
        <v>334</v>
      </c>
      <c r="G291" s="365"/>
      <c r="H291" s="366"/>
      <c r="I291" s="404">
        <v>1208</v>
      </c>
      <c r="J291" s="131"/>
      <c r="K291" s="1370"/>
      <c r="L291" s="375">
        <v>7900</v>
      </c>
      <c r="M291" s="375"/>
      <c r="N291" s="375" t="s">
        <v>316</v>
      </c>
      <c r="O291" s="511"/>
      <c r="P291" s="511"/>
    </row>
    <row r="292" spans="2:16" ht="12.75" hidden="1" customHeight="1">
      <c r="B292" s="203"/>
      <c r="C292" s="204"/>
      <c r="D292" s="204"/>
      <c r="E292" s="115"/>
      <c r="F292" s="115"/>
      <c r="G292" s="115"/>
      <c r="H292" s="115"/>
      <c r="I292" s="115"/>
      <c r="J292" s="131"/>
    </row>
    <row r="293" spans="2:16" ht="12.75" hidden="1" customHeight="1">
      <c r="B293" s="203"/>
      <c r="C293" s="204"/>
      <c r="D293" s="204"/>
      <c r="E293" s="115"/>
      <c r="F293" s="115"/>
      <c r="G293" s="115"/>
      <c r="H293" s="115"/>
      <c r="I293" s="115"/>
      <c r="J293" s="131"/>
    </row>
    <row r="294" spans="2:16" ht="12.75" hidden="1" customHeight="1">
      <c r="B294" s="203"/>
      <c r="C294" s="204"/>
      <c r="D294" s="204"/>
      <c r="E294" s="115"/>
      <c r="F294" s="115"/>
      <c r="G294" s="115"/>
      <c r="H294" s="115"/>
      <c r="I294" s="115"/>
      <c r="J294" s="131"/>
    </row>
    <row r="295" spans="2:16" ht="12.75" hidden="1" customHeight="1">
      <c r="B295" s="203"/>
      <c r="C295" s="204"/>
      <c r="D295" s="204"/>
      <c r="E295" s="115"/>
      <c r="F295" s="115"/>
      <c r="G295" s="115"/>
      <c r="H295" s="115"/>
      <c r="I295" s="115"/>
      <c r="J295" s="131"/>
    </row>
    <row r="296" spans="2:16" ht="12.75" hidden="1" customHeight="1">
      <c r="B296" s="203"/>
      <c r="C296" s="204"/>
      <c r="D296" s="204"/>
      <c r="E296" s="115"/>
      <c r="F296" s="133"/>
      <c r="G296" s="199"/>
      <c r="H296" s="199"/>
      <c r="I296" s="333"/>
      <c r="J296" s="131"/>
    </row>
    <row r="297" spans="2:16" ht="12.75" hidden="1" customHeight="1">
      <c r="B297" s="203"/>
      <c r="C297" s="132"/>
      <c r="D297" s="132" t="s">
        <v>356</v>
      </c>
      <c r="E297" s="115"/>
      <c r="F297" s="133"/>
      <c r="G297" s="199"/>
      <c r="H297" s="199"/>
      <c r="I297" s="333"/>
      <c r="J297" s="131"/>
    </row>
    <row r="298" spans="2:16" ht="12.75" hidden="1" customHeight="1">
      <c r="B298" s="203"/>
      <c r="C298" s="204"/>
      <c r="D298" s="204"/>
      <c r="E298" s="115">
        <v>7900</v>
      </c>
      <c r="F298" s="196" t="s">
        <v>357</v>
      </c>
      <c r="G298" s="197"/>
      <c r="H298" s="197"/>
      <c r="I298" s="403">
        <v>0</v>
      </c>
      <c r="J298" s="131"/>
    </row>
    <row r="299" spans="2:16" ht="12.75" hidden="1" customHeight="1">
      <c r="B299" s="203"/>
      <c r="C299" s="204"/>
      <c r="D299" s="204"/>
      <c r="E299" s="115">
        <v>7900</v>
      </c>
      <c r="F299" s="196" t="s">
        <v>517</v>
      </c>
      <c r="G299" s="197">
        <v>12080031</v>
      </c>
      <c r="H299" s="197" t="s">
        <v>519</v>
      </c>
      <c r="I299" s="403">
        <v>954</v>
      </c>
      <c r="J299" s="131"/>
      <c r="K299" s="1370"/>
    </row>
    <row r="300" spans="2:16" ht="12.75" hidden="1" customHeight="1">
      <c r="B300" s="203"/>
      <c r="C300" s="204"/>
      <c r="D300" s="204"/>
      <c r="E300" s="115">
        <v>7900</v>
      </c>
      <c r="F300" s="196" t="s">
        <v>518</v>
      </c>
      <c r="G300" s="197"/>
      <c r="H300" s="197" t="s">
        <v>519</v>
      </c>
      <c r="I300" s="403">
        <v>954</v>
      </c>
      <c r="J300" s="131"/>
      <c r="K300" s="1370"/>
    </row>
    <row r="301" spans="2:16" ht="12.75" hidden="1" customHeight="1">
      <c r="B301" s="203"/>
      <c r="C301" s="204"/>
      <c r="D301" s="204"/>
      <c r="E301" s="115"/>
      <c r="F301" s="204"/>
      <c r="G301" s="199"/>
      <c r="H301" s="199"/>
      <c r="I301" s="405"/>
      <c r="J301" s="131"/>
    </row>
    <row r="302" spans="2:16" ht="12.75" hidden="1" customHeight="1">
      <c r="B302" s="203"/>
      <c r="C302" s="204"/>
      <c r="D302" s="204"/>
      <c r="E302" s="115">
        <v>7900</v>
      </c>
      <c r="F302" s="196" t="s">
        <v>773</v>
      </c>
      <c r="G302" s="197">
        <v>12080039</v>
      </c>
      <c r="H302" s="197" t="s">
        <v>1095</v>
      </c>
      <c r="I302" s="403"/>
      <c r="J302" s="131"/>
    </row>
    <row r="303" spans="2:16" ht="12.75" hidden="1" customHeight="1">
      <c r="B303" s="203"/>
      <c r="C303" s="204"/>
      <c r="D303" s="204"/>
      <c r="E303" s="115">
        <v>7900</v>
      </c>
      <c r="F303" s="196" t="s">
        <v>363</v>
      </c>
      <c r="G303" s="197"/>
      <c r="H303" s="197" t="s">
        <v>520</v>
      </c>
      <c r="I303" s="403"/>
      <c r="J303" s="131"/>
    </row>
    <row r="304" spans="2:16" ht="12.75" hidden="1" customHeight="1">
      <c r="B304" s="203"/>
      <c r="C304" s="204"/>
      <c r="D304" s="204"/>
      <c r="E304" s="115">
        <v>7900</v>
      </c>
      <c r="F304" s="196" t="s">
        <v>362</v>
      </c>
      <c r="G304" s="197"/>
      <c r="H304" s="197" t="s">
        <v>521</v>
      </c>
      <c r="I304" s="403">
        <v>953</v>
      </c>
      <c r="J304" s="131"/>
      <c r="K304" s="1370"/>
    </row>
    <row r="305" spans="2:60" ht="12.75" hidden="1" customHeight="1">
      <c r="B305" s="203"/>
      <c r="C305" s="204"/>
      <c r="D305" s="204"/>
      <c r="E305" s="115"/>
      <c r="F305" s="380" t="s">
        <v>772</v>
      </c>
      <c r="G305" s="199"/>
      <c r="H305" s="199"/>
      <c r="I305" s="333"/>
      <c r="J305" s="131"/>
    </row>
    <row r="306" spans="2:60" ht="12.75" hidden="1" customHeight="1">
      <c r="B306" s="203"/>
      <c r="C306" s="204"/>
      <c r="D306" s="204"/>
      <c r="E306" s="115"/>
      <c r="F306" s="204"/>
      <c r="G306" s="199"/>
      <c r="H306" s="199"/>
      <c r="I306" s="333"/>
      <c r="J306" s="131"/>
    </row>
    <row r="307" spans="2:60" ht="12.75" hidden="1" customHeight="1">
      <c r="B307" s="203"/>
      <c r="C307" s="204"/>
      <c r="D307" s="204"/>
      <c r="E307" s="115"/>
      <c r="F307" s="115"/>
      <c r="G307" s="115"/>
      <c r="H307" s="115"/>
      <c r="I307" s="115"/>
      <c r="J307" s="131"/>
    </row>
    <row r="308" spans="2:60" ht="12.75" hidden="1" customHeight="1">
      <c r="B308" s="203"/>
      <c r="C308" s="132"/>
      <c r="D308" s="132" t="s">
        <v>361</v>
      </c>
      <c r="E308" s="115"/>
      <c r="F308" s="196"/>
      <c r="G308" s="197"/>
      <c r="H308" s="197"/>
      <c r="I308" s="403"/>
      <c r="J308" s="131"/>
    </row>
    <row r="309" spans="2:60" ht="12.75" hidden="1" customHeight="1">
      <c r="B309" s="203"/>
      <c r="C309" s="204"/>
      <c r="D309" s="204"/>
      <c r="E309" s="115">
        <v>7900</v>
      </c>
      <c r="F309" s="196" t="s">
        <v>394</v>
      </c>
      <c r="G309" s="197"/>
      <c r="H309" s="197"/>
      <c r="I309" s="403">
        <v>953</v>
      </c>
      <c r="J309" s="131"/>
      <c r="K309" s="1370"/>
    </row>
    <row r="310" spans="2:60" ht="12.75" hidden="1" customHeight="1">
      <c r="B310" s="203"/>
      <c r="C310" s="204"/>
      <c r="D310" s="204"/>
      <c r="E310" s="115"/>
      <c r="F310" s="196"/>
      <c r="G310" s="197"/>
      <c r="H310" s="197"/>
      <c r="I310" s="403"/>
      <c r="J310" s="131"/>
    </row>
    <row r="311" spans="2:60" ht="12.75" hidden="1" customHeight="1">
      <c r="B311" s="203"/>
      <c r="C311" s="204"/>
      <c r="D311" s="204"/>
      <c r="E311" s="115"/>
      <c r="F311" s="133"/>
      <c r="G311" s="199"/>
      <c r="H311" s="199"/>
      <c r="I311" s="333"/>
      <c r="J311" s="131"/>
    </row>
    <row r="312" spans="2:60" ht="12" hidden="1" customHeight="1">
      <c r="B312" s="203"/>
      <c r="C312" s="133"/>
      <c r="D312" s="133"/>
      <c r="E312" s="115"/>
      <c r="F312" s="133"/>
      <c r="G312" s="199"/>
      <c r="H312" s="199"/>
      <c r="I312" s="333"/>
      <c r="J312" s="131"/>
    </row>
    <row r="313" spans="2:60" ht="12.75" hidden="1" customHeight="1">
      <c r="B313" s="203"/>
      <c r="C313" s="132"/>
      <c r="D313" s="132" t="s">
        <v>109</v>
      </c>
      <c r="E313" s="115"/>
      <c r="F313" s="133"/>
      <c r="G313" s="199"/>
      <c r="H313" s="199"/>
      <c r="I313" s="333"/>
      <c r="J313" s="131"/>
      <c r="AR313" s="201" t="s">
        <v>1048</v>
      </c>
      <c r="AS313" s="201" t="s">
        <v>35</v>
      </c>
    </row>
    <row r="314" spans="2:60" ht="12.75" hidden="1" customHeight="1">
      <c r="B314" s="203"/>
      <c r="C314" s="133"/>
      <c r="D314" s="133"/>
      <c r="E314" s="115"/>
      <c r="F314" s="157" t="s">
        <v>368</v>
      </c>
      <c r="G314" s="383" t="s">
        <v>527</v>
      </c>
      <c r="H314" s="383" t="s">
        <v>528</v>
      </c>
      <c r="I314" s="403">
        <v>945</v>
      </c>
      <c r="J314" s="131"/>
      <c r="AQ314" s="201">
        <v>900</v>
      </c>
      <c r="AR314" s="908">
        <v>0.05</v>
      </c>
      <c r="AS314" s="112">
        <f>AQ314*(1+AR314)</f>
        <v>945</v>
      </c>
      <c r="BH314" s="912"/>
    </row>
    <row r="315" spans="2:60" ht="12.75" hidden="1" customHeight="1">
      <c r="B315" s="203"/>
      <c r="C315" s="133"/>
      <c r="D315" s="133"/>
      <c r="E315" s="115"/>
      <c r="F315" s="196" t="s">
        <v>371</v>
      </c>
      <c r="G315" s="383" t="s">
        <v>677</v>
      </c>
      <c r="H315" s="383" t="s">
        <v>558</v>
      </c>
      <c r="I315" s="403">
        <v>145</v>
      </c>
      <c r="J315" s="131"/>
      <c r="AQ315" s="201">
        <v>138</v>
      </c>
      <c r="AR315" s="908">
        <v>0.05</v>
      </c>
      <c r="AS315" s="112">
        <f t="shared" ref="AS315:AS324" si="30">AQ315*(1+AR315)</f>
        <v>144.9</v>
      </c>
      <c r="BH315" s="912"/>
    </row>
    <row r="316" spans="2:60" ht="22.5" hidden="1" customHeight="1">
      <c r="B316" s="203"/>
      <c r="C316" s="133"/>
      <c r="D316" s="133"/>
      <c r="E316" s="115"/>
      <c r="F316" s="196" t="s">
        <v>372</v>
      </c>
      <c r="G316" s="385" t="s">
        <v>640</v>
      </c>
      <c r="H316" s="383"/>
      <c r="I316" s="403">
        <v>456</v>
      </c>
      <c r="J316" s="131"/>
      <c r="AQ316" s="201">
        <v>434</v>
      </c>
      <c r="AR316" s="908">
        <v>0.05</v>
      </c>
      <c r="AS316" s="112">
        <f t="shared" si="30"/>
        <v>455.70000000000005</v>
      </c>
      <c r="BH316" s="912"/>
    </row>
    <row r="317" spans="2:60" ht="12.75" hidden="1" customHeight="1">
      <c r="B317" s="203"/>
      <c r="C317" s="133"/>
      <c r="D317" s="133"/>
      <c r="E317" s="115"/>
      <c r="F317" s="196" t="s">
        <v>374</v>
      </c>
      <c r="G317" s="384" t="s">
        <v>548</v>
      </c>
      <c r="H317" s="383" t="s">
        <v>547</v>
      </c>
      <c r="I317" s="403">
        <v>270</v>
      </c>
      <c r="J317" s="131"/>
      <c r="AQ317" s="201">
        <v>257</v>
      </c>
      <c r="AR317" s="908">
        <v>0.05</v>
      </c>
      <c r="AS317" s="112">
        <f t="shared" si="30"/>
        <v>269.85000000000002</v>
      </c>
      <c r="BH317" s="912"/>
    </row>
    <row r="318" spans="2:60" ht="12.75" hidden="1" customHeight="1">
      <c r="B318" s="203"/>
      <c r="C318" s="133"/>
      <c r="D318" s="133"/>
      <c r="E318" s="115"/>
      <c r="F318" s="196" t="s">
        <v>370</v>
      </c>
      <c r="G318" s="384" t="s">
        <v>507</v>
      </c>
      <c r="H318" s="383" t="s">
        <v>511</v>
      </c>
      <c r="I318" s="403">
        <v>156</v>
      </c>
      <c r="J318" s="131"/>
      <c r="AQ318" s="201">
        <v>149</v>
      </c>
      <c r="AR318" s="908">
        <v>0.05</v>
      </c>
      <c r="AS318" s="112">
        <f t="shared" si="30"/>
        <v>156.45000000000002</v>
      </c>
      <c r="BH318" s="912"/>
    </row>
    <row r="319" spans="2:60" ht="12.75" hidden="1" customHeight="1">
      <c r="B319" s="203"/>
      <c r="C319" s="133"/>
      <c r="D319" s="133"/>
      <c r="E319" s="115"/>
      <c r="F319" s="196" t="s">
        <v>508</v>
      </c>
      <c r="G319" s="384" t="s">
        <v>509</v>
      </c>
      <c r="H319" s="383" t="s">
        <v>510</v>
      </c>
      <c r="I319" s="403">
        <v>156</v>
      </c>
      <c r="J319" s="131"/>
      <c r="AQ319" s="201">
        <v>149</v>
      </c>
      <c r="AR319" s="908">
        <v>0.05</v>
      </c>
      <c r="AS319" s="112">
        <f t="shared" si="30"/>
        <v>156.45000000000002</v>
      </c>
      <c r="BH319" s="912"/>
    </row>
    <row r="320" spans="2:60" ht="12.75" hidden="1" customHeight="1">
      <c r="B320" s="203"/>
      <c r="C320" s="133"/>
      <c r="D320" s="133"/>
      <c r="E320" s="115"/>
      <c r="F320" s="196" t="s">
        <v>397</v>
      </c>
      <c r="G320" s="384" t="s">
        <v>523</v>
      </c>
      <c r="H320" s="385" t="s">
        <v>525</v>
      </c>
      <c r="I320" s="403">
        <v>342</v>
      </c>
      <c r="J320" s="131"/>
      <c r="AQ320" s="201">
        <v>325.64999999999998</v>
      </c>
      <c r="AR320" s="908">
        <v>0.05</v>
      </c>
      <c r="AS320" s="112">
        <f t="shared" si="30"/>
        <v>341.9325</v>
      </c>
      <c r="BH320" s="912"/>
    </row>
    <row r="321" spans="2:63" ht="12.75" hidden="1" customHeight="1">
      <c r="B321" s="203"/>
      <c r="C321" s="133"/>
      <c r="D321" s="133"/>
      <c r="E321" s="115"/>
      <c r="F321" s="196" t="s">
        <v>398</v>
      </c>
      <c r="G321" s="386" t="s">
        <v>524</v>
      </c>
      <c r="H321" s="383" t="s">
        <v>526</v>
      </c>
      <c r="I321" s="403">
        <v>1000</v>
      </c>
      <c r="J321" s="131"/>
      <c r="AQ321" s="201">
        <v>952.83</v>
      </c>
      <c r="AR321" s="908">
        <v>0.05</v>
      </c>
      <c r="AS321" s="112">
        <f t="shared" si="30"/>
        <v>1000.4715000000001</v>
      </c>
      <c r="BH321" s="912"/>
    </row>
    <row r="322" spans="2:63" ht="12.75" hidden="1" customHeight="1">
      <c r="B322" s="203"/>
      <c r="C322" s="133"/>
      <c r="D322" s="133"/>
      <c r="E322" s="115"/>
      <c r="F322" s="196" t="s">
        <v>373</v>
      </c>
      <c r="G322" s="384" t="s">
        <v>580</v>
      </c>
      <c r="H322" s="383" t="s">
        <v>581</v>
      </c>
      <c r="I322" s="403">
        <v>13</v>
      </c>
      <c r="J322" s="131"/>
      <c r="AQ322" s="201">
        <v>12</v>
      </c>
      <c r="AR322" s="908">
        <v>0.05</v>
      </c>
      <c r="AS322" s="112">
        <f t="shared" si="30"/>
        <v>12.600000000000001</v>
      </c>
      <c r="BH322" s="912"/>
    </row>
    <row r="323" spans="2:63" ht="12.75" hidden="1" customHeight="1">
      <c r="B323" s="203"/>
      <c r="C323" s="133"/>
      <c r="D323" s="133"/>
      <c r="E323" s="115"/>
      <c r="F323" s="196" t="s">
        <v>681</v>
      </c>
      <c r="G323" s="384" t="s">
        <v>582</v>
      </c>
      <c r="H323" s="383" t="s">
        <v>583</v>
      </c>
      <c r="I323" s="403">
        <v>657</v>
      </c>
      <c r="J323" s="131"/>
      <c r="AE323" s="201" t="s">
        <v>656</v>
      </c>
      <c r="AF323" s="201" t="s">
        <v>403</v>
      </c>
      <c r="AK323" s="201" t="s">
        <v>656</v>
      </c>
      <c r="AL323" s="201" t="s">
        <v>403</v>
      </c>
      <c r="AQ323" s="201">
        <v>626</v>
      </c>
      <c r="AR323" s="908">
        <v>0.05</v>
      </c>
      <c r="AS323" s="112">
        <f t="shared" si="30"/>
        <v>657.30000000000007</v>
      </c>
      <c r="BH323" s="912"/>
    </row>
    <row r="324" spans="2:63" ht="12.75" hidden="1" customHeight="1">
      <c r="B324" s="203"/>
      <c r="C324" s="133"/>
      <c r="D324" s="133"/>
      <c r="E324" s="115"/>
      <c r="F324" s="196" t="s">
        <v>369</v>
      </c>
      <c r="G324" s="383" t="s">
        <v>545</v>
      </c>
      <c r="H324" s="383" t="s">
        <v>546</v>
      </c>
      <c r="I324" s="403">
        <v>97</v>
      </c>
      <c r="J324" s="131"/>
      <c r="AB324" s="890">
        <v>1</v>
      </c>
      <c r="AC324" s="201" t="str">
        <f>$L$18</f>
        <v>Ultima Mk7 2M</v>
      </c>
      <c r="AD324" s="201" t="str">
        <f>AB324&amp;AC324</f>
        <v>1Ultima Mk7 2M</v>
      </c>
      <c r="AE324" s="201" t="str">
        <f>IFERROR(VLOOKUP(AD324,SSSS!$E$6:$F$285,2,FALSE),"")</f>
        <v>Ink 1010 Black 10 X 500Ml</v>
      </c>
      <c r="AF324" s="201" t="str">
        <f>IFERROR(VLOOKUP(AE324,$F$368:$O$385,10,FALSE),"")</f>
        <v>Startup Kit - 1010 Ink &amp; 1505 Solvent</v>
      </c>
      <c r="AH324" s="890">
        <v>1</v>
      </c>
      <c r="AI324" s="201" t="str">
        <f>$L$23</f>
        <v>Midi Plus Mk7 2M</v>
      </c>
      <c r="AJ324" s="201" t="str">
        <f>AH324&amp;AI324</f>
        <v>1Midi Plus Mk7 2M</v>
      </c>
      <c r="AK324" s="201" t="str">
        <f>IFERROR(VLOOKUP(AJ324,SSSS!$E$6:$F$285,2,FALSE),"")</f>
        <v>Ink 1010 Black 10 X 500Ml</v>
      </c>
      <c r="AL324" s="201" t="str">
        <f>IFERROR(VLOOKUP(AK324,$F$368:$O$385,10,FALSE),"")</f>
        <v>Startup Kit - 1010 Ink &amp; 1505 Solvent</v>
      </c>
      <c r="AQ324" s="201">
        <v>83</v>
      </c>
      <c r="AR324" s="908">
        <v>0.05</v>
      </c>
      <c r="AS324" s="112">
        <f t="shared" si="30"/>
        <v>87.15</v>
      </c>
      <c r="BH324" s="912"/>
    </row>
    <row r="325" spans="2:63" ht="12.75" hidden="1" customHeight="1">
      <c r="B325" s="203"/>
      <c r="C325" s="133"/>
      <c r="D325" s="133"/>
      <c r="E325" s="115"/>
      <c r="F325" s="196"/>
      <c r="G325" s="383"/>
      <c r="H325" s="383"/>
      <c r="I325" s="403"/>
      <c r="J325" s="131"/>
      <c r="AB325" s="933"/>
      <c r="AH325" s="933"/>
      <c r="AR325" s="908"/>
      <c r="BH325" s="912"/>
    </row>
    <row r="326" spans="2:63" ht="12.75" hidden="1" customHeight="1">
      <c r="B326" s="203"/>
      <c r="C326" s="133"/>
      <c r="D326" s="133"/>
      <c r="E326" s="115"/>
      <c r="F326" s="196" t="s">
        <v>1073</v>
      </c>
      <c r="G326" s="383"/>
      <c r="H326" s="383"/>
      <c r="I326" s="403">
        <v>0</v>
      </c>
      <c r="J326" s="131"/>
      <c r="AB326" s="933"/>
      <c r="AH326" s="933"/>
      <c r="AR326" s="908"/>
      <c r="BH326" s="912"/>
    </row>
    <row r="327" spans="2:63" ht="12.75" hidden="1" customHeight="1">
      <c r="B327" s="203"/>
      <c r="C327" s="133"/>
      <c r="D327" s="133"/>
      <c r="E327" s="115"/>
      <c r="F327" s="196"/>
      <c r="G327" s="383"/>
      <c r="H327" s="383"/>
      <c r="I327" s="403"/>
      <c r="J327" s="131"/>
      <c r="AB327" s="933"/>
      <c r="AH327" s="933"/>
      <c r="AR327" s="908"/>
      <c r="BH327" s="912"/>
    </row>
    <row r="328" spans="2:63" ht="12.75" hidden="1" customHeight="1">
      <c r="B328" s="203"/>
      <c r="C328" s="133"/>
      <c r="D328" s="133"/>
      <c r="E328" s="115"/>
      <c r="F328" s="196"/>
      <c r="G328" s="386"/>
      <c r="H328" s="383"/>
      <c r="I328" s="403"/>
      <c r="J328" s="131"/>
      <c r="AB328" s="890">
        <f>AB324+1</f>
        <v>2</v>
      </c>
      <c r="AC328" s="201" t="str">
        <f t="shared" ref="AC328:AC351" si="31">$L$18</f>
        <v>Ultima Mk7 2M</v>
      </c>
      <c r="AD328" s="201" t="str">
        <f t="shared" ref="AD328:AD351" si="32">AB328&amp;AC328</f>
        <v>2Ultima Mk7 2M</v>
      </c>
      <c r="AE328" s="201" t="str">
        <f>IFERROR(VLOOKUP(AD328,SSSS!$E$6:$F$285,2,FALSE),"")</f>
        <v>Ink 1014 Blk Easypack 2X500Ml</v>
      </c>
      <c r="AF328" s="201" t="str">
        <f t="shared" ref="AF328:AF351" si="33">IFERROR(VLOOKUP(AE328,$F$368:$O$385,10,FALSE),"")</f>
        <v>Startup Kit - 1014 Ink &amp; 1505 Solvent</v>
      </c>
      <c r="AH328" s="890">
        <f>AH324+1</f>
        <v>2</v>
      </c>
      <c r="AI328" s="201" t="str">
        <f t="shared" ref="AI328:AI351" si="34">$L$23</f>
        <v>Midi Plus Mk7 2M</v>
      </c>
      <c r="AJ328" s="201" t="str">
        <f t="shared" ref="AJ328:AJ351" si="35">AH328&amp;AI328</f>
        <v>2Midi Plus Mk7 2M</v>
      </c>
      <c r="AK328" s="201" t="str">
        <f>IFERROR(VLOOKUP(AJ328,SSSS!$E$6:$F$285,2,FALSE),"")</f>
        <v>Ink 1014 Blk Easypack 2X500Ml</v>
      </c>
      <c r="AL328" s="201" t="str">
        <f t="shared" ref="AL328:AL351" si="36">IFERROR(VLOOKUP(AK328,$F$368:$O$385,10,FALSE),"")</f>
        <v>Startup Kit - 1014 Ink &amp; 1505 Solvent</v>
      </c>
      <c r="BH328" s="912"/>
    </row>
    <row r="329" spans="2:63" ht="12.75" hidden="1" customHeight="1">
      <c r="B329" s="203"/>
      <c r="C329" s="133"/>
      <c r="D329" s="133"/>
      <c r="E329" s="115"/>
      <c r="F329" s="196"/>
      <c r="G329" s="386"/>
      <c r="H329" s="387"/>
      <c r="I329" s="419"/>
      <c r="J329" s="131"/>
      <c r="AB329" s="890">
        <f t="shared" ref="AB329:AB351" si="37">AB328+1</f>
        <v>3</v>
      </c>
      <c r="AC329" s="201" t="str">
        <f t="shared" si="31"/>
        <v>Ultima Mk7 2M</v>
      </c>
      <c r="AD329" s="201" t="str">
        <f t="shared" si="32"/>
        <v>3Ultima Mk7 2M</v>
      </c>
      <c r="AE329" s="201" t="str">
        <f>IFERROR(VLOOKUP(AD329,SSSS!$E$6:$F$285,2,FALSE),"")</f>
        <v>Ink 1016 Blk 10 X 500Ml</v>
      </c>
      <c r="AF329" s="201" t="str">
        <f t="shared" si="33"/>
        <v>Startup Kit - 1016 Ink &amp; 1506 Solvent</v>
      </c>
      <c r="AH329" s="890">
        <f t="shared" ref="AH329:AH351" si="38">AH328+1</f>
        <v>3</v>
      </c>
      <c r="AI329" s="201" t="str">
        <f t="shared" si="34"/>
        <v>Midi Plus Mk7 2M</v>
      </c>
      <c r="AJ329" s="201" t="str">
        <f t="shared" si="35"/>
        <v>3Midi Plus Mk7 2M</v>
      </c>
      <c r="AK329" s="201" t="str">
        <f>IFERROR(VLOOKUP(AJ329,SSSS!$E$6:$F$285,2,FALSE),"")</f>
        <v>Ink 1016 Blk 10 X 500Ml</v>
      </c>
      <c r="AL329" s="201" t="str">
        <f t="shared" si="36"/>
        <v>Startup Kit - 1016 Ink &amp; 1506 Solvent</v>
      </c>
      <c r="BH329" s="912"/>
    </row>
    <row r="330" spans="2:63" ht="12.75" hidden="1" customHeight="1">
      <c r="B330" s="203"/>
      <c r="C330" s="133"/>
      <c r="D330" s="133"/>
      <c r="E330" s="115"/>
      <c r="F330" s="204"/>
      <c r="G330" s="199"/>
      <c r="H330" s="199"/>
      <c r="I330" s="333"/>
      <c r="J330" s="131"/>
      <c r="AB330" s="890">
        <f t="shared" si="37"/>
        <v>4</v>
      </c>
      <c r="AC330" s="201" t="str">
        <f t="shared" si="31"/>
        <v>Ultima Mk7 2M</v>
      </c>
      <c r="AD330" s="201" t="str">
        <f t="shared" si="32"/>
        <v>4Ultima Mk7 2M</v>
      </c>
      <c r="AE330" s="201" t="str">
        <f>IFERROR(VLOOKUP(AD330,SSSS!$E$6:$F$285,2,FALSE),"")</f>
        <v>Ink 1056 Blk 10 X 500Ml</v>
      </c>
      <c r="AF330" s="201" t="str">
        <f t="shared" si="33"/>
        <v>Startup Kit - 1056 Ink &amp; 1555 Solvent</v>
      </c>
      <c r="AH330" s="890">
        <f t="shared" si="38"/>
        <v>4</v>
      </c>
      <c r="AI330" s="201" t="str">
        <f t="shared" si="34"/>
        <v>Midi Plus Mk7 2M</v>
      </c>
      <c r="AJ330" s="201" t="str">
        <f t="shared" si="35"/>
        <v>4Midi Plus Mk7 2M</v>
      </c>
      <c r="AK330" s="201" t="str">
        <f>IFERROR(VLOOKUP(AJ330,SSSS!$E$6:$F$285,2,FALSE),"")</f>
        <v>Ink 1039 Yel Easypack 2X500Ml</v>
      </c>
      <c r="AL330" s="201" t="str">
        <f t="shared" si="36"/>
        <v>Startup Kit - 1039 Ink &amp; 1505 Solvent</v>
      </c>
      <c r="BH330" s="912"/>
    </row>
    <row r="331" spans="2:63" ht="12.75" hidden="1" customHeight="1">
      <c r="B331" s="203"/>
      <c r="C331" s="133"/>
      <c r="D331" s="133"/>
      <c r="E331" s="115"/>
      <c r="F331" s="109"/>
      <c r="G331" s="28"/>
      <c r="H331" s="109"/>
      <c r="I331" s="334"/>
      <c r="J331" s="131"/>
      <c r="AB331" s="890">
        <f t="shared" si="37"/>
        <v>5</v>
      </c>
      <c r="AC331" s="201" t="str">
        <f t="shared" si="31"/>
        <v>Ultima Mk7 2M</v>
      </c>
      <c r="AD331" s="201" t="str">
        <f t="shared" si="32"/>
        <v>5Ultima Mk7 2M</v>
      </c>
      <c r="AE331" s="201" t="str">
        <f>IFERROR(VLOOKUP(AD331,SSSS!$E$6:$F$285,2,FALSE),"")</f>
        <v>Ink 1240 Blk 10 X 500Ml</v>
      </c>
      <c r="AF331" s="201" t="str">
        <f t="shared" si="33"/>
        <v>Startup Kit - 1240 Ink &amp; 1512 Solvent</v>
      </c>
      <c r="AH331" s="890">
        <f t="shared" si="38"/>
        <v>5</v>
      </c>
      <c r="AI331" s="201" t="str">
        <f t="shared" si="34"/>
        <v>Midi Plus Mk7 2M</v>
      </c>
      <c r="AJ331" s="201" t="str">
        <f t="shared" si="35"/>
        <v>5Midi Plus Mk7 2M</v>
      </c>
      <c r="AK331" s="201" t="str">
        <f>IFERROR(VLOOKUP(AJ331,SSSS!$E$6:$F$285,2,FALSE),"")</f>
        <v>Ink 1043 Blu Easypack 2X500Ml</v>
      </c>
      <c r="AL331" s="201" t="str">
        <f t="shared" si="36"/>
        <v>Startup Kit - 1043 Ink &amp; 1505 Solvent</v>
      </c>
      <c r="BH331" s="912"/>
    </row>
    <row r="332" spans="2:63" ht="12.75" hidden="1" customHeight="1">
      <c r="B332" s="203"/>
      <c r="C332" s="132"/>
      <c r="D332" s="132" t="s">
        <v>40</v>
      </c>
      <c r="E332" s="115"/>
      <c r="F332" s="382"/>
      <c r="G332" s="28"/>
      <c r="H332" s="109"/>
      <c r="I332" s="335"/>
      <c r="J332" s="131"/>
      <c r="AB332" s="890">
        <f t="shared" si="37"/>
        <v>6</v>
      </c>
      <c r="AC332" s="201" t="str">
        <f t="shared" si="31"/>
        <v>Ultima Mk7 2M</v>
      </c>
      <c r="AD332" s="201" t="str">
        <f t="shared" si="32"/>
        <v>6Ultima Mk7 2M</v>
      </c>
      <c r="AE332" s="201" t="str">
        <f>IFERROR(VLOOKUP(AD332,SSSS!$E$6:$F$285,2,FALSE),"")</f>
        <v>Ink 1405 Blk 10 X 500Ml</v>
      </c>
      <c r="AF332" s="201" t="str">
        <f t="shared" si="33"/>
        <v>Startup Kit - 1405 Ink &amp; 1705 Solvent</v>
      </c>
      <c r="AH332" s="890">
        <f t="shared" si="38"/>
        <v>6</v>
      </c>
      <c r="AI332" s="201" t="str">
        <f t="shared" si="34"/>
        <v>Midi Plus Mk7 2M</v>
      </c>
      <c r="AJ332" s="201" t="str">
        <f t="shared" si="35"/>
        <v>6Midi Plus Mk7 2M</v>
      </c>
      <c r="AK332" s="201" t="str">
        <f>IFERROR(VLOOKUP(AJ332,SSSS!$E$6:$F$285,2,FALSE),"")</f>
        <v>Ink 1056 Blk 10 X 500Ml</v>
      </c>
      <c r="AL332" s="201" t="str">
        <f t="shared" si="36"/>
        <v>Startup Kit - 1056 Ink &amp; 1555 Solvent</v>
      </c>
      <c r="BH332" s="912"/>
    </row>
    <row r="333" spans="2:63" ht="12.75" hidden="1" customHeight="1">
      <c r="B333" s="203"/>
      <c r="C333" s="133"/>
      <c r="D333" s="133"/>
      <c r="E333" s="115"/>
      <c r="F333" s="108"/>
      <c r="G333" s="206"/>
      <c r="H333" s="28"/>
      <c r="I333" s="334"/>
      <c r="J333" s="131"/>
      <c r="AB333" s="890">
        <f t="shared" si="37"/>
        <v>7</v>
      </c>
      <c r="AC333" s="201" t="str">
        <f t="shared" si="31"/>
        <v>Ultima Mk7 2M</v>
      </c>
      <c r="AD333" s="201" t="str">
        <f t="shared" si="32"/>
        <v>7Ultima Mk7 2M</v>
      </c>
      <c r="AE333" s="201" t="str">
        <f>IFERROR(VLOOKUP(AD333,SSSS!$E$6:$F$285,2,FALSE),"")</f>
        <v>Ink 2250 Blk 10 X 500Ml</v>
      </c>
      <c r="AF333" s="201" t="str">
        <f t="shared" si="33"/>
        <v>Startup Kit - 2250 Ink &amp; 2750 Solvent</v>
      </c>
      <c r="AH333" s="890">
        <f t="shared" si="38"/>
        <v>7</v>
      </c>
      <c r="AI333" s="201" t="str">
        <f t="shared" si="34"/>
        <v>Midi Plus Mk7 2M</v>
      </c>
      <c r="AJ333" s="201" t="str">
        <f t="shared" si="35"/>
        <v>7Midi Plus Mk7 2M</v>
      </c>
      <c r="AK333" s="201" t="str">
        <f>IFERROR(VLOOKUP(AJ333,SSSS!$E$6:$F$285,2,FALSE),"")</f>
        <v>Ink 1059 Wht Easypack 2X500Ml</v>
      </c>
      <c r="AL333" s="201" t="str">
        <f t="shared" si="36"/>
        <v>Startup Kit - 1059 Ink &amp; 1505 Solvent</v>
      </c>
      <c r="AS333"/>
      <c r="AT333"/>
      <c r="AU333"/>
      <c r="AV333"/>
      <c r="AW333"/>
      <c r="AX333"/>
      <c r="AY333"/>
      <c r="AZ333"/>
      <c r="BA333"/>
      <c r="BB333"/>
      <c r="BC333"/>
      <c r="BD333"/>
      <c r="BE333"/>
      <c r="BF333"/>
      <c r="BG333"/>
      <c r="BH333" s="1082"/>
      <c r="BI333"/>
      <c r="BJ333"/>
      <c r="BK333"/>
    </row>
    <row r="334" spans="2:63" ht="12.75" hidden="1" customHeight="1">
      <c r="B334" s="203"/>
      <c r="C334" s="133"/>
      <c r="D334" s="133"/>
      <c r="E334" s="115"/>
      <c r="F334" s="108"/>
      <c r="G334" s="206"/>
      <c r="H334" s="28"/>
      <c r="I334" s="334"/>
      <c r="J334" s="131"/>
      <c r="AB334" s="890">
        <f t="shared" si="37"/>
        <v>8</v>
      </c>
      <c r="AC334" s="201" t="str">
        <f t="shared" si="31"/>
        <v>Ultima Mk7 2M</v>
      </c>
      <c r="AD334" s="201" t="str">
        <f t="shared" si="32"/>
        <v>8Ultima Mk7 2M</v>
      </c>
      <c r="AE334" s="201" t="str">
        <f>IFERROR(VLOOKUP(AD334,SSSS!$E$6:$F$285,2,FALSE),"")</f>
        <v>Ink 3103 Black 10 X 500Ml</v>
      </c>
      <c r="AF334" s="201" t="str">
        <f t="shared" si="33"/>
        <v>Startup Kit - 3103 Ink &amp; 3501 Solvent</v>
      </c>
      <c r="AH334" s="890">
        <f t="shared" si="38"/>
        <v>8</v>
      </c>
      <c r="AI334" s="201" t="str">
        <f t="shared" si="34"/>
        <v>Midi Plus Mk7 2M</v>
      </c>
      <c r="AJ334" s="201" t="str">
        <f t="shared" si="35"/>
        <v>8Midi Plus Mk7 2M</v>
      </c>
      <c r="AK334" s="201" t="str">
        <f>IFERROR(VLOOKUP(AJ334,SSSS!$E$6:$F$285,2,FALSE),"")</f>
        <v>Ink 1070 Blk 10 X 500Ml</v>
      </c>
      <c r="AL334" s="201" t="str">
        <f t="shared" si="36"/>
        <v>Startup Kit - 1070 Ink &amp; 1560 Solvent</v>
      </c>
      <c r="AS334"/>
      <c r="AT334"/>
      <c r="AU334"/>
      <c r="AV334"/>
      <c r="AW334"/>
      <c r="AX334"/>
      <c r="AY334"/>
      <c r="AZ334"/>
      <c r="BA334"/>
      <c r="BB334"/>
      <c r="BC334"/>
      <c r="BD334"/>
      <c r="BE334"/>
      <c r="BF334"/>
      <c r="BG334"/>
      <c r="BH334" s="1082"/>
      <c r="BI334"/>
      <c r="BJ334"/>
      <c r="BK334"/>
    </row>
    <row r="335" spans="2:63" ht="12.75" hidden="1" customHeight="1">
      <c r="B335" s="203"/>
      <c r="C335" s="133"/>
      <c r="D335" s="133"/>
      <c r="E335" s="115"/>
      <c r="F335" s="108"/>
      <c r="G335" s="206"/>
      <c r="H335" s="28"/>
      <c r="I335" s="334"/>
      <c r="J335" s="131"/>
      <c r="AB335" s="890">
        <f t="shared" si="37"/>
        <v>9</v>
      </c>
      <c r="AC335" s="201" t="str">
        <f t="shared" si="31"/>
        <v>Ultima Mk7 2M</v>
      </c>
      <c r="AD335" s="201" t="str">
        <f t="shared" si="32"/>
        <v>9Ultima Mk7 2M</v>
      </c>
      <c r="AE335" s="201" t="str">
        <f>IFERROR(VLOOKUP(AD335,SSSS!$E$6:$F$285,2,FALSE),"")</f>
        <v>Ink 3123 Blu Easypack 2X500Ml</v>
      </c>
      <c r="AF335" s="201" t="str">
        <f t="shared" si="33"/>
        <v>Startup Kit - 3123 Ink &amp; 3501 Solvent</v>
      </c>
      <c r="AH335" s="890">
        <f t="shared" si="38"/>
        <v>9</v>
      </c>
      <c r="AI335" s="201" t="str">
        <f t="shared" si="34"/>
        <v>Midi Plus Mk7 2M</v>
      </c>
      <c r="AJ335" s="201" t="str">
        <f t="shared" si="35"/>
        <v>9Midi Plus Mk7 2M</v>
      </c>
      <c r="AK335" s="201" t="str">
        <f>IFERROR(VLOOKUP(AJ335,SSSS!$E$6:$F$285,2,FALSE),"")</f>
        <v>Ink 1240 Blk 10 X 500Ml</v>
      </c>
      <c r="AL335" s="201" t="str">
        <f t="shared" si="36"/>
        <v>Startup Kit - 1240 Ink &amp; 1512 Solvent</v>
      </c>
      <c r="AS335"/>
      <c r="AT335"/>
      <c r="AU335"/>
      <c r="AV335"/>
      <c r="AW335"/>
      <c r="AX335"/>
      <c r="AY335"/>
      <c r="AZ335"/>
      <c r="BA335"/>
      <c r="BB335"/>
      <c r="BC335"/>
      <c r="BD335"/>
      <c r="BE335"/>
      <c r="BF335"/>
      <c r="BG335"/>
      <c r="BH335" s="1082"/>
      <c r="BI335"/>
      <c r="BJ335"/>
      <c r="BK335"/>
    </row>
    <row r="336" spans="2:63" ht="12.75" hidden="1" customHeight="1">
      <c r="B336" s="203"/>
      <c r="C336" s="468"/>
      <c r="D336" s="468" t="s">
        <v>403</v>
      </c>
      <c r="E336" s="115"/>
      <c r="F336" s="382" t="s">
        <v>561</v>
      </c>
      <c r="G336" s="206"/>
      <c r="H336" s="28"/>
      <c r="I336" s="334"/>
      <c r="J336" s="131"/>
      <c r="L336" s="890"/>
      <c r="M336" s="201" t="s">
        <v>619</v>
      </c>
      <c r="P336" s="201" t="s">
        <v>618</v>
      </c>
      <c r="V336" s="201" t="s">
        <v>617</v>
      </c>
      <c r="W336" s="890" t="s">
        <v>562</v>
      </c>
      <c r="AB336" s="890">
        <f t="shared" si="37"/>
        <v>10</v>
      </c>
      <c r="AC336" s="201" t="str">
        <f t="shared" si="31"/>
        <v>Ultima Mk7 2M</v>
      </c>
      <c r="AD336" s="201" t="str">
        <f t="shared" si="32"/>
        <v>10Ultima Mk7 2M</v>
      </c>
      <c r="AE336" s="201" t="str">
        <f>IFERROR(VLOOKUP(AD336,SSSS!$E$6:$F$285,2,FALSE),"")</f>
        <v/>
      </c>
      <c r="AF336" s="201" t="str">
        <f t="shared" si="33"/>
        <v/>
      </c>
      <c r="AH336" s="890">
        <f t="shared" si="38"/>
        <v>10</v>
      </c>
      <c r="AI336" s="201" t="str">
        <f t="shared" si="34"/>
        <v>Midi Plus Mk7 2M</v>
      </c>
      <c r="AJ336" s="201" t="str">
        <f t="shared" si="35"/>
        <v>10Midi Plus Mk7 2M</v>
      </c>
      <c r="AK336" s="201" t="str">
        <f>IFERROR(VLOOKUP(AJ336,SSSS!$E$6:$F$285,2,FALSE),"")</f>
        <v>Ink 1280 Purple To Pink 10X500</v>
      </c>
      <c r="AL336" s="201" t="str">
        <f t="shared" si="36"/>
        <v>Startup Kit - 1280 Ink &amp; 1540 Solvent</v>
      </c>
      <c r="AS336"/>
      <c r="AT336"/>
      <c r="AU336"/>
      <c r="AV336"/>
      <c r="AW336"/>
      <c r="AX336"/>
      <c r="AY336"/>
      <c r="AZ336"/>
      <c r="BA336"/>
      <c r="BB336"/>
      <c r="BC336"/>
      <c r="BD336"/>
      <c r="BE336"/>
      <c r="BF336"/>
      <c r="BG336"/>
      <c r="BH336" s="1082"/>
      <c r="BI336"/>
      <c r="BJ336"/>
      <c r="BK336"/>
    </row>
    <row r="337" spans="2:63" ht="12.75" hidden="1" customHeight="1">
      <c r="B337" s="203"/>
      <c r="C337" s="133"/>
      <c r="D337" s="133"/>
      <c r="E337" s="115"/>
      <c r="F337" s="157" t="s">
        <v>620</v>
      </c>
      <c r="G337" s="448" t="str">
        <f>VLOOKUP(F337,$O$368:$Z$385,12,FALSE)</f>
        <v>15140020 x 1.5, 16140003 x 0.3</v>
      </c>
      <c r="H337" s="376"/>
      <c r="I337" s="402">
        <v>445.20000000000005</v>
      </c>
      <c r="J337" s="131"/>
      <c r="L337" s="890"/>
      <c r="M337" s="201" t="s">
        <v>404</v>
      </c>
      <c r="P337" s="201" t="s">
        <v>588</v>
      </c>
      <c r="V337" s="512">
        <v>1.5</v>
      </c>
      <c r="W337" s="890">
        <v>1505</v>
      </c>
      <c r="AB337" s="890">
        <f t="shared" si="37"/>
        <v>11</v>
      </c>
      <c r="AC337" s="201" t="str">
        <f t="shared" si="31"/>
        <v>Ultima Mk7 2M</v>
      </c>
      <c r="AD337" s="201" t="str">
        <f t="shared" si="32"/>
        <v>11Ultima Mk7 2M</v>
      </c>
      <c r="AE337" s="201" t="str">
        <f>IFERROR(VLOOKUP(AD337,SSSS!$E$6:$F$285,2,FALSE),"")</f>
        <v/>
      </c>
      <c r="AF337" s="201" t="str">
        <f t="shared" si="33"/>
        <v/>
      </c>
      <c r="AH337" s="890">
        <f t="shared" si="38"/>
        <v>11</v>
      </c>
      <c r="AI337" s="201" t="str">
        <f t="shared" si="34"/>
        <v>Midi Plus Mk7 2M</v>
      </c>
      <c r="AJ337" s="201" t="str">
        <f t="shared" si="35"/>
        <v>11Midi Plus Mk7 2M</v>
      </c>
      <c r="AK337" s="201" t="str">
        <f>IFERROR(VLOOKUP(AJ337,SSSS!$E$6:$F$285,2,FALSE),"")</f>
        <v>Ink 1290 Blk To Blu 10 X 500Ml</v>
      </c>
      <c r="AL337" s="201" t="str">
        <f t="shared" si="36"/>
        <v>Startup Kit - 1290 Ink &amp; 1540 Solvent</v>
      </c>
      <c r="AS337"/>
      <c r="AT337"/>
      <c r="AU337"/>
      <c r="AV337"/>
      <c r="AW337"/>
      <c r="AX337"/>
      <c r="AY337"/>
      <c r="AZ337"/>
      <c r="BA337"/>
      <c r="BB337"/>
      <c r="BC337"/>
      <c r="BD337"/>
      <c r="BE337"/>
      <c r="BF337"/>
      <c r="BG337"/>
      <c r="BH337" s="1316"/>
      <c r="BI337"/>
      <c r="BJ337"/>
      <c r="BK337"/>
    </row>
    <row r="338" spans="2:63" ht="12.75" hidden="1" customHeight="1">
      <c r="B338" s="203"/>
      <c r="C338" s="133"/>
      <c r="D338" s="133"/>
      <c r="E338" s="115"/>
      <c r="F338" s="157" t="s">
        <v>621</v>
      </c>
      <c r="G338" s="448" t="str">
        <f t="shared" ref="G338:G354" si="39">VLOOKUP(F338,$O$368:$Z$385,12,FALSE)</f>
        <v>15140022 x 0.3, 16140003 x 0.3</v>
      </c>
      <c r="H338" s="376"/>
      <c r="I338" s="402">
        <v>445.20000000000005</v>
      </c>
      <c r="J338" s="131"/>
      <c r="L338" s="890"/>
      <c r="M338" s="201" t="s">
        <v>405</v>
      </c>
      <c r="P338" s="201" t="s">
        <v>589</v>
      </c>
      <c r="V338" s="512">
        <v>0.3</v>
      </c>
      <c r="W338" s="890">
        <v>1505</v>
      </c>
      <c r="AB338" s="890">
        <f t="shared" si="37"/>
        <v>12</v>
      </c>
      <c r="AC338" s="201" t="str">
        <f t="shared" si="31"/>
        <v>Ultima Mk7 2M</v>
      </c>
      <c r="AD338" s="201" t="str">
        <f t="shared" si="32"/>
        <v>12Ultima Mk7 2M</v>
      </c>
      <c r="AE338" s="201" t="str">
        <f>IFERROR(VLOOKUP(AD338,SSSS!$E$6:$F$285,2,FALSE),"")</f>
        <v/>
      </c>
      <c r="AF338" s="201" t="str">
        <f t="shared" si="33"/>
        <v/>
      </c>
      <c r="AH338" s="890">
        <f t="shared" si="38"/>
        <v>12</v>
      </c>
      <c r="AI338" s="201" t="str">
        <f t="shared" si="34"/>
        <v>Midi Plus Mk7 2M</v>
      </c>
      <c r="AJ338" s="201" t="str">
        <f t="shared" si="35"/>
        <v>12Midi Plus Mk7 2M</v>
      </c>
      <c r="AK338" s="201" t="str">
        <f>IFERROR(VLOOKUP(AJ338,SSSS!$E$6:$F$285,2,FALSE),"")</f>
        <v>Ink 1306 Wht Easypack 2X500Ml</v>
      </c>
      <c r="AL338" s="201" t="str">
        <f t="shared" si="36"/>
        <v>Startup Kit - 1306 Ink &amp; 1606 Solvent</v>
      </c>
      <c r="AS338"/>
      <c r="AT338"/>
      <c r="AU338"/>
      <c r="AV338"/>
      <c r="AW338"/>
      <c r="AX338"/>
      <c r="AY338"/>
      <c r="AZ338"/>
      <c r="BA338"/>
      <c r="BB338"/>
      <c r="BC338"/>
      <c r="BD338"/>
      <c r="BE338"/>
      <c r="BF338"/>
      <c r="BG338"/>
      <c r="BH338" s="1316"/>
      <c r="BI338"/>
      <c r="BJ338"/>
      <c r="BK338"/>
    </row>
    <row r="339" spans="2:63" ht="12.75" hidden="1" customHeight="1">
      <c r="B339" s="203"/>
      <c r="C339" s="133"/>
      <c r="D339" s="133"/>
      <c r="E339" s="115"/>
      <c r="F339" s="157" t="s">
        <v>622</v>
      </c>
      <c r="G339" s="448" t="str">
        <f t="shared" si="39"/>
        <v>15140024 x 1.5, 16140003 x 0.3</v>
      </c>
      <c r="H339" s="376"/>
      <c r="I339" s="402">
        <v>445.20000000000005</v>
      </c>
      <c r="J339" s="131"/>
      <c r="L339" s="890"/>
      <c r="M339" s="201" t="s">
        <v>406</v>
      </c>
      <c r="P339" s="201" t="s">
        <v>590</v>
      </c>
      <c r="V339" s="512">
        <v>1.5</v>
      </c>
      <c r="W339" s="890">
        <v>1505</v>
      </c>
      <c r="AB339" s="890">
        <f t="shared" si="37"/>
        <v>13</v>
      </c>
      <c r="AC339" s="201" t="str">
        <f t="shared" si="31"/>
        <v>Ultima Mk7 2M</v>
      </c>
      <c r="AD339" s="201" t="str">
        <f t="shared" si="32"/>
        <v>13Ultima Mk7 2M</v>
      </c>
      <c r="AE339" s="201" t="str">
        <f>IFERROR(VLOOKUP(AD339,SSSS!$E$6:$F$285,2,FALSE),"")</f>
        <v/>
      </c>
      <c r="AF339" s="201" t="str">
        <f t="shared" si="33"/>
        <v/>
      </c>
      <c r="AH339" s="890">
        <f t="shared" si="38"/>
        <v>13</v>
      </c>
      <c r="AI339" s="201" t="str">
        <f t="shared" si="34"/>
        <v>Midi Plus Mk7 2M</v>
      </c>
      <c r="AJ339" s="201" t="str">
        <f t="shared" si="35"/>
        <v>13Midi Plus Mk7 2M</v>
      </c>
      <c r="AK339" s="201" t="str">
        <f>IFERROR(VLOOKUP(AJ339,SSSS!$E$6:$F$285,2,FALSE),"")</f>
        <v>Ink 1311 Grey Easypack 2X500Ml</v>
      </c>
      <c r="AL339" s="201" t="str">
        <f t="shared" si="36"/>
        <v>Startup Kit - 1311 Ink &amp; 1606 Solvent</v>
      </c>
      <c r="AS339"/>
      <c r="AT339"/>
      <c r="AU339"/>
      <c r="AV339"/>
      <c r="AW339"/>
      <c r="AX339"/>
      <c r="AY339"/>
      <c r="AZ339"/>
      <c r="BA339"/>
      <c r="BB339"/>
      <c r="BC339"/>
      <c r="BD339"/>
      <c r="BE339"/>
      <c r="BF339"/>
      <c r="BG339"/>
      <c r="BH339" s="1316"/>
      <c r="BI339"/>
      <c r="BJ339"/>
      <c r="BK339"/>
    </row>
    <row r="340" spans="2:63" ht="12.75" hidden="1" customHeight="1">
      <c r="B340" s="203"/>
      <c r="C340" s="133"/>
      <c r="D340" s="133"/>
      <c r="E340" s="115"/>
      <c r="F340" s="157" t="s">
        <v>623</v>
      </c>
      <c r="G340" s="448" t="str">
        <f t="shared" si="39"/>
        <v>15140025 x 0.3, 16140004 x 0.3</v>
      </c>
      <c r="H340" s="376"/>
      <c r="I340" s="402">
        <v>445.20000000000005</v>
      </c>
      <c r="J340" s="131"/>
      <c r="L340" s="890"/>
      <c r="M340" s="201" t="s">
        <v>407</v>
      </c>
      <c r="P340" s="201" t="s">
        <v>591</v>
      </c>
      <c r="V340" s="512">
        <v>0.3</v>
      </c>
      <c r="W340" s="890">
        <v>1506</v>
      </c>
      <c r="AB340" s="890">
        <f t="shared" si="37"/>
        <v>14</v>
      </c>
      <c r="AC340" s="201" t="str">
        <f t="shared" si="31"/>
        <v>Ultima Mk7 2M</v>
      </c>
      <c r="AD340" s="201" t="str">
        <f t="shared" si="32"/>
        <v>14Ultima Mk7 2M</v>
      </c>
      <c r="AE340" s="201" t="str">
        <f>IFERROR(VLOOKUP(AD340,SSSS!$E$6:$F$285,2,FALSE),"")</f>
        <v/>
      </c>
      <c r="AF340" s="201" t="str">
        <f t="shared" si="33"/>
        <v/>
      </c>
      <c r="AH340" s="890">
        <f t="shared" si="38"/>
        <v>14</v>
      </c>
      <c r="AI340" s="201" t="str">
        <f t="shared" si="34"/>
        <v>Midi Plus Mk7 2M</v>
      </c>
      <c r="AJ340" s="201" t="str">
        <f t="shared" si="35"/>
        <v>14Midi Plus Mk7 2M</v>
      </c>
      <c r="AK340" s="201" t="str">
        <f>IFERROR(VLOOKUP(AJ340,SSSS!$E$6:$F$285,2,FALSE),"")</f>
        <v>Ink 1405 Blk 10 X 500Ml</v>
      </c>
      <c r="AL340" s="201" t="str">
        <f t="shared" si="36"/>
        <v>Startup Kit - 1405 Ink &amp; 1705 Solvent</v>
      </c>
      <c r="AS340"/>
      <c r="AT340"/>
      <c r="AU340"/>
      <c r="AV340"/>
      <c r="AW340"/>
      <c r="AX340"/>
      <c r="AY340"/>
      <c r="AZ340"/>
      <c r="BA340"/>
      <c r="BB340"/>
      <c r="BC340"/>
      <c r="BD340"/>
      <c r="BE340"/>
      <c r="BF340"/>
      <c r="BG340"/>
      <c r="BH340" s="1316"/>
      <c r="BI340"/>
      <c r="BJ340"/>
      <c r="BK340"/>
    </row>
    <row r="341" spans="2:63" ht="12.75" hidden="1" customHeight="1">
      <c r="B341" s="203"/>
      <c r="C341" s="133"/>
      <c r="D341" s="133"/>
      <c r="E341" s="115"/>
      <c r="F341" s="157" t="s">
        <v>624</v>
      </c>
      <c r="G341" s="448" t="str">
        <f t="shared" si="39"/>
        <v>15140033 x 0.3, 16140008 x 0.3</v>
      </c>
      <c r="H341" s="376"/>
      <c r="I341" s="402">
        <v>445.20000000000005</v>
      </c>
      <c r="J341" s="131"/>
      <c r="L341" s="890"/>
      <c r="M341" s="201" t="s">
        <v>408</v>
      </c>
      <c r="P341" s="201" t="s">
        <v>592</v>
      </c>
      <c r="V341" s="512">
        <v>0.3</v>
      </c>
      <c r="W341" s="890">
        <v>1555</v>
      </c>
      <c r="AB341" s="890">
        <f t="shared" si="37"/>
        <v>15</v>
      </c>
      <c r="AC341" s="201" t="str">
        <f t="shared" si="31"/>
        <v>Ultima Mk7 2M</v>
      </c>
      <c r="AD341" s="201" t="str">
        <f t="shared" si="32"/>
        <v>15Ultima Mk7 2M</v>
      </c>
      <c r="AE341" s="201" t="str">
        <f>IFERROR(VLOOKUP(AD341,SSSS!$E$6:$F$285,2,FALSE),"")</f>
        <v/>
      </c>
      <c r="AF341" s="201" t="str">
        <f t="shared" si="33"/>
        <v/>
      </c>
      <c r="AH341" s="890">
        <f t="shared" si="38"/>
        <v>15</v>
      </c>
      <c r="AI341" s="201" t="str">
        <f t="shared" si="34"/>
        <v>Midi Plus Mk7 2M</v>
      </c>
      <c r="AJ341" s="201" t="str">
        <f t="shared" si="35"/>
        <v>15Midi Plus Mk7 2M</v>
      </c>
      <c r="AK341" s="201" t="str">
        <f>IFERROR(VLOOKUP(AJ341,SSSS!$E$6:$F$285,2,FALSE),"")</f>
        <v>Ink 2250 Blk 10 X 500Ml</v>
      </c>
      <c r="AL341" s="201" t="str">
        <f t="shared" si="36"/>
        <v>Startup Kit - 2250 Ink &amp; 2750 Solvent</v>
      </c>
      <c r="AS341"/>
      <c r="AT341"/>
      <c r="AU341"/>
      <c r="AV341"/>
      <c r="AW341"/>
      <c r="AX341"/>
      <c r="AY341"/>
      <c r="AZ341"/>
      <c r="BA341"/>
      <c r="BB341"/>
      <c r="BC341"/>
      <c r="BD341"/>
      <c r="BE341"/>
      <c r="BF341"/>
      <c r="BG341"/>
      <c r="BH341" s="1316"/>
      <c r="BI341"/>
      <c r="BJ341"/>
      <c r="BK341"/>
    </row>
    <row r="342" spans="2:63" ht="12.75" hidden="1" customHeight="1">
      <c r="B342" s="203"/>
      <c r="C342" s="133"/>
      <c r="D342" s="133"/>
      <c r="E342" s="115"/>
      <c r="F342" s="157" t="s">
        <v>625</v>
      </c>
      <c r="G342" s="448" t="str">
        <f t="shared" si="39"/>
        <v>15140034 x 1.5, 16140003 x 0.3</v>
      </c>
      <c r="H342" s="376"/>
      <c r="I342" s="402">
        <v>445.20000000000005</v>
      </c>
      <c r="J342" s="131"/>
      <c r="L342" s="890"/>
      <c r="M342" s="201" t="s">
        <v>409</v>
      </c>
      <c r="P342" s="201" t="s">
        <v>593</v>
      </c>
      <c r="V342" s="512">
        <v>1.5</v>
      </c>
      <c r="W342" s="890">
        <v>1505</v>
      </c>
      <c r="AB342" s="890">
        <f t="shared" si="37"/>
        <v>16</v>
      </c>
      <c r="AC342" s="201" t="str">
        <f t="shared" si="31"/>
        <v>Ultima Mk7 2M</v>
      </c>
      <c r="AD342" s="201" t="str">
        <f t="shared" si="32"/>
        <v>16Ultima Mk7 2M</v>
      </c>
      <c r="AE342" s="201" t="str">
        <f>IFERROR(VLOOKUP(AD342,SSSS!$E$6:$F$285,2,FALSE),"")</f>
        <v/>
      </c>
      <c r="AF342" s="201" t="str">
        <f t="shared" si="33"/>
        <v/>
      </c>
      <c r="AH342" s="890">
        <f t="shared" si="38"/>
        <v>16</v>
      </c>
      <c r="AI342" s="201" t="str">
        <f t="shared" si="34"/>
        <v>Midi Plus Mk7 2M</v>
      </c>
      <c r="AJ342" s="201" t="str">
        <f t="shared" si="35"/>
        <v>16Midi Plus Mk7 2M</v>
      </c>
      <c r="AK342" s="201" t="str">
        <f>IFERROR(VLOOKUP(AJ342,SSSS!$E$6:$F$285,2,FALSE),"")</f>
        <v>Ink 3103 Black 10 X 500Ml</v>
      </c>
      <c r="AL342" s="201" t="str">
        <f t="shared" si="36"/>
        <v>Startup Kit - 3103 Ink &amp; 3501 Solvent</v>
      </c>
      <c r="AS342"/>
      <c r="AT342"/>
      <c r="AU342"/>
      <c r="AV342"/>
      <c r="AW342"/>
      <c r="AX342"/>
      <c r="AY342"/>
      <c r="AZ342"/>
      <c r="BA342"/>
      <c r="BB342"/>
      <c r="BC342"/>
      <c r="BD342"/>
      <c r="BE342"/>
      <c r="BF342"/>
      <c r="BG342"/>
      <c r="BH342" s="1316"/>
      <c r="BI342"/>
      <c r="BJ342"/>
      <c r="BK342"/>
    </row>
    <row r="343" spans="2:63" ht="12.75" hidden="1" customHeight="1">
      <c r="B343" s="203"/>
      <c r="C343" s="133"/>
      <c r="D343" s="133"/>
      <c r="E343" s="115"/>
      <c r="F343" s="157" t="s">
        <v>626</v>
      </c>
      <c r="G343" s="448" t="str">
        <f t="shared" si="39"/>
        <v>15140035 x 0.3, 16140009 x 0.3</v>
      </c>
      <c r="H343" s="376"/>
      <c r="I343" s="402">
        <v>445.20000000000005</v>
      </c>
      <c r="J343" s="131"/>
      <c r="L343" s="890"/>
      <c r="M343" s="201" t="s">
        <v>410</v>
      </c>
      <c r="P343" s="201" t="s">
        <v>594</v>
      </c>
      <c r="V343" s="512">
        <v>0.3</v>
      </c>
      <c r="W343" s="890">
        <v>1560</v>
      </c>
      <c r="AB343" s="890">
        <f t="shared" si="37"/>
        <v>17</v>
      </c>
      <c r="AC343" s="201" t="str">
        <f t="shared" si="31"/>
        <v>Ultima Mk7 2M</v>
      </c>
      <c r="AD343" s="201" t="str">
        <f t="shared" si="32"/>
        <v>17Ultima Mk7 2M</v>
      </c>
      <c r="AE343" s="201" t="str">
        <f>IFERROR(VLOOKUP(AD343,SSSS!$E$6:$F$285,2,FALSE),"")</f>
        <v/>
      </c>
      <c r="AF343" s="201" t="str">
        <f t="shared" si="33"/>
        <v/>
      </c>
      <c r="AH343" s="890">
        <f t="shared" si="38"/>
        <v>17</v>
      </c>
      <c r="AI343" s="201" t="str">
        <f t="shared" si="34"/>
        <v>Midi Plus Mk7 2M</v>
      </c>
      <c r="AJ343" s="201" t="str">
        <f t="shared" si="35"/>
        <v>17Midi Plus Mk7 2M</v>
      </c>
      <c r="AK343" s="201" t="str">
        <f>IFERROR(VLOOKUP(AJ343,SSSS!$E$6:$F$285,2,FALSE),"")</f>
        <v>Ink 3123 Blu Easypack 2X500Ml</v>
      </c>
      <c r="AL343" s="201" t="str">
        <f t="shared" si="36"/>
        <v>Startup Kit - 3123 Ink &amp; 3501 Solvent</v>
      </c>
      <c r="AS343"/>
      <c r="AT343"/>
      <c r="AU343"/>
      <c r="AV343"/>
      <c r="AW343"/>
      <c r="AX343"/>
      <c r="AY343"/>
      <c r="AZ343"/>
      <c r="BA343"/>
      <c r="BB343"/>
      <c r="BC343"/>
      <c r="BD343"/>
      <c r="BE343"/>
      <c r="BF343"/>
      <c r="BG343"/>
      <c r="BH343" s="1316"/>
      <c r="BI343"/>
      <c r="BJ343"/>
      <c r="BK343"/>
    </row>
    <row r="344" spans="2:63" ht="12.75" hidden="1" customHeight="1">
      <c r="B344" s="203"/>
      <c r="C344" s="133"/>
      <c r="D344" s="133"/>
      <c r="E344" s="115"/>
      <c r="F344" s="157" t="s">
        <v>627</v>
      </c>
      <c r="G344" s="448" t="str">
        <f t="shared" si="39"/>
        <v>15140036 x 0.3, 16140005 x 0.3</v>
      </c>
      <c r="H344" s="376"/>
      <c r="I344" s="402">
        <v>445.20000000000005</v>
      </c>
      <c r="J344" s="131"/>
      <c r="L344" s="890"/>
      <c r="M344" s="201" t="s">
        <v>411</v>
      </c>
      <c r="P344" s="201" t="s">
        <v>595</v>
      </c>
      <c r="V344" s="512">
        <v>0.3</v>
      </c>
      <c r="W344" s="890">
        <v>1512</v>
      </c>
      <c r="AB344" s="890">
        <f t="shared" si="37"/>
        <v>18</v>
      </c>
      <c r="AC344" s="201" t="str">
        <f t="shared" si="31"/>
        <v>Ultima Mk7 2M</v>
      </c>
      <c r="AD344" s="201" t="str">
        <f t="shared" si="32"/>
        <v>18Ultima Mk7 2M</v>
      </c>
      <c r="AE344" s="201" t="str">
        <f>IFERROR(VLOOKUP(AD344,SSSS!$E$6:$F$285,2,FALSE),"")</f>
        <v/>
      </c>
      <c r="AF344" s="201" t="str">
        <f t="shared" si="33"/>
        <v/>
      </c>
      <c r="AH344" s="890">
        <f t="shared" si="38"/>
        <v>18</v>
      </c>
      <c r="AI344" s="201" t="str">
        <f t="shared" si="34"/>
        <v>Midi Plus Mk7 2M</v>
      </c>
      <c r="AJ344" s="201" t="str">
        <f t="shared" si="35"/>
        <v>18Midi Plus Mk7 2M</v>
      </c>
      <c r="AK344" s="201" t="str">
        <f>IFERROR(VLOOKUP(AJ344,SSSS!$E$6:$F$285,2,FALSE),"")</f>
        <v/>
      </c>
      <c r="AL344" s="201" t="str">
        <f t="shared" si="36"/>
        <v/>
      </c>
      <c r="AS344"/>
      <c r="AT344"/>
      <c r="AU344"/>
      <c r="AV344"/>
      <c r="AW344"/>
      <c r="AX344"/>
      <c r="AY344"/>
      <c r="AZ344"/>
      <c r="BA344"/>
      <c r="BB344"/>
      <c r="BC344"/>
      <c r="BD344"/>
      <c r="BE344"/>
      <c r="BF344"/>
      <c r="BG344"/>
      <c r="BH344" s="1316"/>
      <c r="BI344"/>
      <c r="BJ344"/>
      <c r="BK344"/>
    </row>
    <row r="345" spans="2:63" ht="12.75" hidden="1" customHeight="1">
      <c r="B345" s="203"/>
      <c r="C345" s="133"/>
      <c r="D345" s="133"/>
      <c r="E345" s="115"/>
      <c r="F345" s="157" t="s">
        <v>628</v>
      </c>
      <c r="G345" s="448" t="str">
        <f t="shared" si="39"/>
        <v>15140037 x 0.3, 16140007 x 0.3</v>
      </c>
      <c r="H345" s="376"/>
      <c r="I345" s="402">
        <v>445.20000000000005</v>
      </c>
      <c r="J345" s="131"/>
      <c r="L345" s="890"/>
      <c r="M345" s="201" t="s">
        <v>412</v>
      </c>
      <c r="P345" s="201" t="s">
        <v>596</v>
      </c>
      <c r="V345" s="512">
        <v>0.3</v>
      </c>
      <c r="W345" s="890">
        <v>1540</v>
      </c>
      <c r="AB345" s="890">
        <f t="shared" si="37"/>
        <v>19</v>
      </c>
      <c r="AC345" s="201" t="str">
        <f t="shared" si="31"/>
        <v>Ultima Mk7 2M</v>
      </c>
      <c r="AD345" s="201" t="str">
        <f t="shared" si="32"/>
        <v>19Ultima Mk7 2M</v>
      </c>
      <c r="AE345" s="201" t="str">
        <f>IFERROR(VLOOKUP(AD345,SSSS!$E$6:$F$285,2,FALSE),"")</f>
        <v/>
      </c>
      <c r="AF345" s="201" t="str">
        <f t="shared" si="33"/>
        <v/>
      </c>
      <c r="AH345" s="890">
        <f t="shared" si="38"/>
        <v>19</v>
      </c>
      <c r="AI345" s="201" t="str">
        <f t="shared" si="34"/>
        <v>Midi Plus Mk7 2M</v>
      </c>
      <c r="AJ345" s="201" t="str">
        <f t="shared" si="35"/>
        <v>19Midi Plus Mk7 2M</v>
      </c>
      <c r="AK345" s="201" t="str">
        <f>IFERROR(VLOOKUP(AJ345,SSSS!$E$6:$F$285,2,FALSE),"")</f>
        <v/>
      </c>
      <c r="AL345" s="201" t="str">
        <f t="shared" si="36"/>
        <v/>
      </c>
      <c r="AS345"/>
      <c r="AT345"/>
      <c r="AU345"/>
      <c r="AV345"/>
      <c r="AW345"/>
      <c r="AX345"/>
      <c r="AY345"/>
      <c r="AZ345"/>
      <c r="BA345"/>
      <c r="BB345"/>
      <c r="BC345"/>
      <c r="BD345"/>
      <c r="BE345"/>
      <c r="BF345"/>
      <c r="BG345"/>
      <c r="BH345" s="1316"/>
      <c r="BI345"/>
      <c r="BJ345"/>
      <c r="BK345"/>
    </row>
    <row r="346" spans="2:63" ht="12.75" hidden="1" customHeight="1">
      <c r="B346" s="203"/>
      <c r="C346" s="133"/>
      <c r="D346" s="133"/>
      <c r="E346" s="115"/>
      <c r="F346" s="157" t="s">
        <v>629</v>
      </c>
      <c r="G346" s="448" t="str">
        <f t="shared" si="39"/>
        <v>15140040 x 0.3, 16140011 x 0.3</v>
      </c>
      <c r="H346" s="376"/>
      <c r="I346" s="402">
        <v>445.20000000000005</v>
      </c>
      <c r="J346" s="131"/>
      <c r="L346" s="890"/>
      <c r="M346" s="201" t="s">
        <v>413</v>
      </c>
      <c r="P346" s="201" t="s">
        <v>597</v>
      </c>
      <c r="V346" s="512">
        <v>0.3</v>
      </c>
      <c r="W346" s="890">
        <v>1705</v>
      </c>
      <c r="AB346" s="890">
        <f t="shared" si="37"/>
        <v>20</v>
      </c>
      <c r="AC346" s="201" t="str">
        <f t="shared" si="31"/>
        <v>Ultima Mk7 2M</v>
      </c>
      <c r="AD346" s="201" t="str">
        <f t="shared" si="32"/>
        <v>20Ultima Mk7 2M</v>
      </c>
      <c r="AE346" s="201" t="str">
        <f>IFERROR(VLOOKUP(AD346,SSSS!$E$6:$F$285,2,FALSE),"")</f>
        <v/>
      </c>
      <c r="AF346" s="201" t="str">
        <f t="shared" si="33"/>
        <v/>
      </c>
      <c r="AH346" s="890">
        <f t="shared" si="38"/>
        <v>20</v>
      </c>
      <c r="AI346" s="201" t="str">
        <f t="shared" si="34"/>
        <v>Midi Plus Mk7 2M</v>
      </c>
      <c r="AJ346" s="201" t="str">
        <f t="shared" si="35"/>
        <v>20Midi Plus Mk7 2M</v>
      </c>
      <c r="AK346" s="201" t="str">
        <f>IFERROR(VLOOKUP(AJ346,SSSS!$E$6:$F$285,2,FALSE),"")</f>
        <v/>
      </c>
      <c r="AL346" s="201" t="str">
        <f t="shared" si="36"/>
        <v/>
      </c>
      <c r="AS346"/>
      <c r="AT346"/>
      <c r="AU346"/>
      <c r="AV346"/>
      <c r="AW346"/>
      <c r="AX346"/>
      <c r="AY346"/>
      <c r="AZ346"/>
      <c r="BA346"/>
      <c r="BB346"/>
      <c r="BC346"/>
      <c r="BD346"/>
      <c r="BE346"/>
      <c r="BF346"/>
      <c r="BG346"/>
      <c r="BH346" s="1316"/>
      <c r="BI346"/>
      <c r="BJ346"/>
      <c r="BK346"/>
    </row>
    <row r="347" spans="2:63" ht="12.75" hidden="1" customHeight="1">
      <c r="B347" s="203"/>
      <c r="C347" s="133"/>
      <c r="D347" s="133"/>
      <c r="E347" s="115"/>
      <c r="F347" s="157" t="s">
        <v>630</v>
      </c>
      <c r="G347" s="448" t="str">
        <f t="shared" si="39"/>
        <v>15140042 x 0.3, 16140013 x 0.3</v>
      </c>
      <c r="H347" s="376"/>
      <c r="I347" s="402">
        <v>445.20000000000005</v>
      </c>
      <c r="J347" s="131"/>
      <c r="L347" s="890"/>
      <c r="M347" s="201" t="s">
        <v>414</v>
      </c>
      <c r="P347" s="201" t="s">
        <v>598</v>
      </c>
      <c r="V347" s="512">
        <v>0.3</v>
      </c>
      <c r="W347" s="890">
        <v>3501</v>
      </c>
      <c r="AB347" s="890">
        <f t="shared" si="37"/>
        <v>21</v>
      </c>
      <c r="AC347" s="201" t="str">
        <f t="shared" si="31"/>
        <v>Ultima Mk7 2M</v>
      </c>
      <c r="AD347" s="201" t="str">
        <f t="shared" si="32"/>
        <v>21Ultima Mk7 2M</v>
      </c>
      <c r="AE347" s="201" t="str">
        <f>IFERROR(VLOOKUP(AD347,SSSS!$E$6:$F$285,2,FALSE),"")</f>
        <v/>
      </c>
      <c r="AF347" s="201" t="str">
        <f t="shared" si="33"/>
        <v/>
      </c>
      <c r="AH347" s="890">
        <f t="shared" si="38"/>
        <v>21</v>
      </c>
      <c r="AI347" s="201" t="str">
        <f t="shared" si="34"/>
        <v>Midi Plus Mk7 2M</v>
      </c>
      <c r="AJ347" s="201" t="str">
        <f t="shared" si="35"/>
        <v>21Midi Plus Mk7 2M</v>
      </c>
      <c r="AK347" s="201" t="str">
        <f>IFERROR(VLOOKUP(AJ347,SSSS!$E$6:$F$285,2,FALSE),"")</f>
        <v/>
      </c>
      <c r="AL347" s="201" t="str">
        <f t="shared" si="36"/>
        <v/>
      </c>
      <c r="AS347"/>
      <c r="AT347"/>
      <c r="AU347"/>
      <c r="AV347"/>
      <c r="AW347"/>
      <c r="AX347"/>
      <c r="AY347"/>
      <c r="AZ347"/>
      <c r="BA347"/>
      <c r="BB347"/>
      <c r="BC347"/>
      <c r="BD347"/>
      <c r="BE347"/>
      <c r="BF347"/>
      <c r="BG347"/>
      <c r="BH347" s="1316"/>
      <c r="BI347"/>
      <c r="BJ347"/>
      <c r="BK347"/>
    </row>
    <row r="348" spans="2:63" ht="12.75" hidden="1" customHeight="1">
      <c r="B348" s="203"/>
      <c r="C348" s="133"/>
      <c r="D348" s="133"/>
      <c r="E348" s="115"/>
      <c r="F348" s="157" t="s">
        <v>631</v>
      </c>
      <c r="G348" s="448" t="str">
        <f t="shared" si="39"/>
        <v>15140043 x 1.5, 16140013 x 0.3</v>
      </c>
      <c r="H348" s="376"/>
      <c r="I348" s="402">
        <v>445.20000000000005</v>
      </c>
      <c r="J348" s="131"/>
      <c r="L348" s="890"/>
      <c r="M348" s="201" t="s">
        <v>415</v>
      </c>
      <c r="P348" s="201" t="s">
        <v>599</v>
      </c>
      <c r="V348" s="512">
        <v>1.5</v>
      </c>
      <c r="W348" s="890">
        <v>3501</v>
      </c>
      <c r="AB348" s="890">
        <f t="shared" si="37"/>
        <v>22</v>
      </c>
      <c r="AC348" s="201" t="str">
        <f t="shared" si="31"/>
        <v>Ultima Mk7 2M</v>
      </c>
      <c r="AD348" s="201" t="str">
        <f t="shared" si="32"/>
        <v>22Ultima Mk7 2M</v>
      </c>
      <c r="AE348" s="201" t="str">
        <f>IFERROR(VLOOKUP(AD348,SSSS!$E$6:$F$285,2,FALSE),"")</f>
        <v/>
      </c>
      <c r="AF348" s="201" t="str">
        <f t="shared" si="33"/>
        <v/>
      </c>
      <c r="AH348" s="890">
        <f t="shared" si="38"/>
        <v>22</v>
      </c>
      <c r="AI348" s="201" t="str">
        <f t="shared" si="34"/>
        <v>Midi Plus Mk7 2M</v>
      </c>
      <c r="AJ348" s="201" t="str">
        <f t="shared" si="35"/>
        <v>22Midi Plus Mk7 2M</v>
      </c>
      <c r="AK348" s="201" t="str">
        <f>IFERROR(VLOOKUP(AJ348,SSSS!$E$6:$F$285,2,FALSE),"")</f>
        <v/>
      </c>
      <c r="AL348" s="201" t="str">
        <f t="shared" si="36"/>
        <v/>
      </c>
      <c r="AS348"/>
      <c r="AT348"/>
      <c r="AU348"/>
      <c r="AV348"/>
      <c r="AW348"/>
      <c r="AX348"/>
      <c r="AY348"/>
      <c r="AZ348"/>
      <c r="BA348"/>
      <c r="BB348"/>
      <c r="BC348"/>
      <c r="BD348"/>
      <c r="BE348"/>
      <c r="BF348"/>
      <c r="BG348"/>
      <c r="BH348" s="1316"/>
      <c r="BI348"/>
      <c r="BJ348"/>
      <c r="BK348"/>
    </row>
    <row r="349" spans="2:63" ht="12.75" hidden="1" customHeight="1">
      <c r="B349" s="203"/>
      <c r="C349" s="133"/>
      <c r="D349" s="133"/>
      <c r="E349" s="115"/>
      <c r="F349" s="157" t="s">
        <v>632</v>
      </c>
      <c r="G349" s="448" t="str">
        <f t="shared" si="39"/>
        <v>15140054 x 1.5, 16140003 x 0.3</v>
      </c>
      <c r="H349" s="376"/>
      <c r="I349" s="402">
        <v>445.20000000000005</v>
      </c>
      <c r="J349" s="131"/>
      <c r="L349" s="890"/>
      <c r="M349" s="201" t="s">
        <v>416</v>
      </c>
      <c r="P349" s="201" t="s">
        <v>600</v>
      </c>
      <c r="V349" s="512">
        <v>1.5</v>
      </c>
      <c r="W349" s="890">
        <v>1505</v>
      </c>
      <c r="AB349" s="890">
        <f t="shared" si="37"/>
        <v>23</v>
      </c>
      <c r="AC349" s="201" t="str">
        <f t="shared" si="31"/>
        <v>Ultima Mk7 2M</v>
      </c>
      <c r="AD349" s="201" t="str">
        <f t="shared" si="32"/>
        <v>23Ultima Mk7 2M</v>
      </c>
      <c r="AF349" s="201" t="str">
        <f t="shared" si="33"/>
        <v/>
      </c>
      <c r="AH349" s="890">
        <f t="shared" si="38"/>
        <v>23</v>
      </c>
      <c r="AI349" s="201" t="str">
        <f t="shared" si="34"/>
        <v>Midi Plus Mk7 2M</v>
      </c>
      <c r="AJ349" s="201" t="str">
        <f t="shared" si="35"/>
        <v>23Midi Plus Mk7 2M</v>
      </c>
      <c r="AK349" s="201" t="str">
        <f>IFERROR(VLOOKUP(AJ349,SSSS!$E$6:$F$285,2,FALSE),"")</f>
        <v/>
      </c>
      <c r="AL349" s="201" t="str">
        <f t="shared" si="36"/>
        <v/>
      </c>
      <c r="AS349"/>
      <c r="AT349"/>
      <c r="AU349"/>
      <c r="AV349"/>
      <c r="AW349"/>
      <c r="AX349"/>
      <c r="AY349"/>
      <c r="AZ349"/>
      <c r="BA349"/>
      <c r="BB349"/>
      <c r="BC349"/>
      <c r="BD349"/>
      <c r="BE349"/>
      <c r="BF349"/>
      <c r="BG349"/>
      <c r="BH349" s="1316"/>
      <c r="BI349"/>
      <c r="BJ349"/>
      <c r="BK349"/>
    </row>
    <row r="350" spans="2:63" ht="12.75" hidden="1" customHeight="1">
      <c r="B350" s="203"/>
      <c r="C350" s="133"/>
      <c r="D350" s="133"/>
      <c r="E350" s="115"/>
      <c r="F350" s="157" t="s">
        <v>633</v>
      </c>
      <c r="G350" s="448" t="str">
        <f t="shared" si="39"/>
        <v>15140055 x 0.3, 16140051 x 0.3</v>
      </c>
      <c r="H350" s="376"/>
      <c r="I350" s="402">
        <v>445.20000000000005</v>
      </c>
      <c r="J350" s="131"/>
      <c r="L350" s="890"/>
      <c r="M350" s="201" t="s">
        <v>417</v>
      </c>
      <c r="P350" s="201" t="s">
        <v>601</v>
      </c>
      <c r="V350" s="512">
        <v>0.3</v>
      </c>
      <c r="W350" s="890">
        <v>1558</v>
      </c>
      <c r="AB350" s="890">
        <f t="shared" si="37"/>
        <v>24</v>
      </c>
      <c r="AC350" s="201" t="str">
        <f t="shared" si="31"/>
        <v>Ultima Mk7 2M</v>
      </c>
      <c r="AD350" s="201" t="str">
        <f t="shared" si="32"/>
        <v>24Ultima Mk7 2M</v>
      </c>
      <c r="AF350" s="201" t="str">
        <f t="shared" si="33"/>
        <v/>
      </c>
      <c r="AH350" s="890">
        <f t="shared" si="38"/>
        <v>24</v>
      </c>
      <c r="AI350" s="201" t="str">
        <f t="shared" si="34"/>
        <v>Midi Plus Mk7 2M</v>
      </c>
      <c r="AJ350" s="201" t="str">
        <f t="shared" si="35"/>
        <v>24Midi Plus Mk7 2M</v>
      </c>
      <c r="AK350" s="201" t="str">
        <f>IFERROR(VLOOKUP(AJ350,SSSS!$E$6:$F$285,2,FALSE),"")</f>
        <v/>
      </c>
      <c r="AL350" s="201" t="str">
        <f t="shared" si="36"/>
        <v/>
      </c>
      <c r="AS350"/>
      <c r="AT350"/>
      <c r="AU350"/>
      <c r="AV350"/>
      <c r="AW350"/>
      <c r="AX350"/>
      <c r="AY350"/>
      <c r="AZ350"/>
      <c r="BA350"/>
      <c r="BB350"/>
      <c r="BC350"/>
      <c r="BD350"/>
      <c r="BE350"/>
      <c r="BF350"/>
      <c r="BG350"/>
      <c r="BH350" s="1316"/>
      <c r="BI350"/>
      <c r="BJ350"/>
      <c r="BK350"/>
    </row>
    <row r="351" spans="2:63" ht="12.75" hidden="1" customHeight="1">
      <c r="B351" s="203"/>
      <c r="C351" s="133"/>
      <c r="D351" s="133"/>
      <c r="E351" s="115"/>
      <c r="F351" s="157" t="s">
        <v>634</v>
      </c>
      <c r="G351" s="448" t="str">
        <f t="shared" si="39"/>
        <v>15140057 x 0.3, 16140052 x 0.3</v>
      </c>
      <c r="H351" s="376"/>
      <c r="I351" s="402">
        <v>445.20000000000005</v>
      </c>
      <c r="J351" s="131"/>
      <c r="L351" s="890"/>
      <c r="M351" s="201" t="s">
        <v>418</v>
      </c>
      <c r="P351" s="201" t="s">
        <v>602</v>
      </c>
      <c r="V351" s="512">
        <v>0.3</v>
      </c>
      <c r="W351" s="890">
        <v>2750</v>
      </c>
      <c r="AB351" s="890">
        <f t="shared" si="37"/>
        <v>25</v>
      </c>
      <c r="AC351" s="201" t="str">
        <f t="shared" si="31"/>
        <v>Ultima Mk7 2M</v>
      </c>
      <c r="AD351" s="201" t="str">
        <f t="shared" si="32"/>
        <v>25Ultima Mk7 2M</v>
      </c>
      <c r="AF351" s="201" t="str">
        <f t="shared" si="33"/>
        <v/>
      </c>
      <c r="AH351" s="890">
        <f t="shared" si="38"/>
        <v>25</v>
      </c>
      <c r="AI351" s="201" t="str">
        <f t="shared" si="34"/>
        <v>Midi Plus Mk7 2M</v>
      </c>
      <c r="AJ351" s="201" t="str">
        <f t="shared" si="35"/>
        <v>25Midi Plus Mk7 2M</v>
      </c>
      <c r="AK351" s="201" t="str">
        <f>IFERROR(VLOOKUP(AJ351,SSSS!$E$6:$F$285,2,FALSE),"")</f>
        <v/>
      </c>
      <c r="AL351" s="201" t="str">
        <f t="shared" si="36"/>
        <v/>
      </c>
      <c r="AS351"/>
      <c r="AT351"/>
      <c r="AU351"/>
      <c r="AV351"/>
      <c r="AW351"/>
      <c r="AX351"/>
      <c r="AY351"/>
      <c r="AZ351"/>
      <c r="BA351"/>
      <c r="BB351"/>
      <c r="BC351"/>
      <c r="BD351"/>
      <c r="BE351"/>
      <c r="BF351"/>
      <c r="BG351"/>
      <c r="BH351" s="1316"/>
      <c r="BI351"/>
      <c r="BJ351"/>
      <c r="BK351"/>
    </row>
    <row r="352" spans="2:63" ht="12.75" hidden="1" customHeight="1">
      <c r="B352" s="203"/>
      <c r="C352" s="133"/>
      <c r="D352" s="133"/>
      <c r="E352" s="115"/>
      <c r="F352" s="157" t="s">
        <v>635</v>
      </c>
      <c r="G352" s="448" t="str">
        <f t="shared" si="39"/>
        <v>15140058 x 0.3, 16140007 x 0.3</v>
      </c>
      <c r="H352" s="376"/>
      <c r="I352" s="402">
        <v>445.20000000000005</v>
      </c>
      <c r="J352" s="131"/>
      <c r="L352" s="890"/>
      <c r="M352" s="201" t="s">
        <v>419</v>
      </c>
      <c r="P352" s="201" t="s">
        <v>603</v>
      </c>
      <c r="V352" s="512">
        <v>0.3</v>
      </c>
      <c r="W352" s="890">
        <v>1540</v>
      </c>
      <c r="AS352"/>
      <c r="AT352"/>
      <c r="AU352"/>
      <c r="AV352"/>
      <c r="AW352"/>
      <c r="AX352"/>
      <c r="AY352"/>
      <c r="AZ352"/>
      <c r="BA352"/>
      <c r="BB352"/>
      <c r="BC352"/>
      <c r="BD352"/>
      <c r="BE352"/>
      <c r="BF352"/>
      <c r="BG352"/>
      <c r="BH352" s="1316"/>
      <c r="BI352"/>
      <c r="BJ352"/>
      <c r="BK352"/>
    </row>
    <row r="353" spans="2:63" ht="12.75" hidden="1" customHeight="1">
      <c r="B353" s="203"/>
      <c r="C353" s="133"/>
      <c r="D353" s="133"/>
      <c r="E353" s="115"/>
      <c r="F353" s="157" t="s">
        <v>636</v>
      </c>
      <c r="G353" s="448" t="str">
        <f t="shared" si="39"/>
        <v>15140061 x 1.5, 16140014 x 0.3</v>
      </c>
      <c r="H353" s="376"/>
      <c r="I353" s="402">
        <v>445.20000000000005</v>
      </c>
      <c r="J353" s="131"/>
      <c r="L353" s="890"/>
      <c r="M353" s="201" t="s">
        <v>420</v>
      </c>
      <c r="P353" s="201" t="s">
        <v>604</v>
      </c>
      <c r="V353" s="512">
        <v>1.5</v>
      </c>
      <c r="W353" s="890">
        <v>1606</v>
      </c>
      <c r="AS353"/>
      <c r="AT353"/>
      <c r="AU353"/>
      <c r="AV353"/>
      <c r="AW353"/>
      <c r="AX353"/>
      <c r="AY353"/>
      <c r="AZ353"/>
      <c r="BA353"/>
      <c r="BB353"/>
      <c r="BC353"/>
      <c r="BD353"/>
      <c r="BE353"/>
      <c r="BF353"/>
      <c r="BG353"/>
      <c r="BH353" s="1316"/>
      <c r="BI353"/>
      <c r="BJ353"/>
      <c r="BK353"/>
    </row>
    <row r="354" spans="2:63" ht="12.75" hidden="1" customHeight="1">
      <c r="B354" s="203"/>
      <c r="C354" s="133"/>
      <c r="D354" s="133"/>
      <c r="E354" s="115"/>
      <c r="F354" s="157" t="s">
        <v>637</v>
      </c>
      <c r="G354" s="448" t="str">
        <f t="shared" si="39"/>
        <v>15140062 x 1.5, 16140014 x 0.3</v>
      </c>
      <c r="H354" s="376"/>
      <c r="I354" s="402">
        <v>445.20000000000005</v>
      </c>
      <c r="J354" s="131"/>
      <c r="L354" s="890"/>
      <c r="M354" s="201" t="s">
        <v>421</v>
      </c>
      <c r="P354" s="201" t="s">
        <v>605</v>
      </c>
      <c r="V354" s="512">
        <v>1.5</v>
      </c>
      <c r="W354" s="890">
        <v>1606</v>
      </c>
      <c r="AS354"/>
      <c r="AT354"/>
      <c r="AU354"/>
      <c r="AV354"/>
      <c r="AW354"/>
      <c r="AX354"/>
      <c r="AY354"/>
      <c r="AZ354"/>
      <c r="BA354"/>
      <c r="BB354"/>
      <c r="BC354"/>
      <c r="BD354"/>
      <c r="BE354"/>
      <c r="BF354"/>
      <c r="BG354"/>
      <c r="BH354" s="1316"/>
      <c r="BI354"/>
      <c r="BJ354"/>
      <c r="BK354"/>
    </row>
    <row r="355" spans="2:63" ht="12.75" hidden="1" customHeight="1">
      <c r="B355" s="203"/>
      <c r="C355" s="468"/>
      <c r="D355" s="468" t="s">
        <v>641</v>
      </c>
      <c r="E355" s="115"/>
      <c r="F355" s="157"/>
      <c r="G355" s="376"/>
      <c r="H355" s="376"/>
      <c r="I355" s="402"/>
      <c r="J355" s="131"/>
      <c r="V355" s="512"/>
      <c r="AS355"/>
      <c r="AT355"/>
      <c r="AU355"/>
      <c r="AV355"/>
      <c r="AW355"/>
      <c r="AX355"/>
      <c r="AY355"/>
      <c r="AZ355"/>
      <c r="BA355"/>
      <c r="BB355"/>
      <c r="BC355"/>
      <c r="BD355"/>
      <c r="BE355"/>
      <c r="BF355"/>
      <c r="BG355"/>
      <c r="BH355" s="1316"/>
      <c r="BI355"/>
      <c r="BJ355"/>
      <c r="BK355"/>
    </row>
    <row r="356" spans="2:63" ht="12.75" hidden="1" customHeight="1">
      <c r="B356" s="203"/>
      <c r="C356" s="133"/>
      <c r="D356" s="133"/>
      <c r="E356" s="115">
        <v>1505</v>
      </c>
      <c r="F356" s="157" t="s">
        <v>606</v>
      </c>
      <c r="G356" s="376" t="s">
        <v>450</v>
      </c>
      <c r="H356" s="376" t="s">
        <v>1064</v>
      </c>
      <c r="I356" s="402">
        <v>323.40000000000003</v>
      </c>
      <c r="J356" s="131"/>
      <c r="M356" s="201" t="s">
        <v>422</v>
      </c>
      <c r="P356" s="201" t="s">
        <v>606</v>
      </c>
      <c r="V356" s="512">
        <v>0.3</v>
      </c>
      <c r="AS356"/>
      <c r="AT356"/>
      <c r="AU356"/>
      <c r="AV356"/>
      <c r="AW356"/>
      <c r="AX356"/>
      <c r="AY356"/>
      <c r="AZ356"/>
      <c r="BA356"/>
      <c r="BB356"/>
      <c r="BC356"/>
      <c r="BD356"/>
      <c r="BE356"/>
      <c r="BF356"/>
      <c r="BG356"/>
      <c r="BH356" s="1316"/>
      <c r="BI356"/>
      <c r="BJ356"/>
      <c r="BK356"/>
    </row>
    <row r="357" spans="2:63" ht="12.75" hidden="1" customHeight="1">
      <c r="B357" s="203"/>
      <c r="C357" s="133"/>
      <c r="D357" s="133"/>
      <c r="E357" s="115">
        <v>1506</v>
      </c>
      <c r="F357" s="157" t="s">
        <v>607</v>
      </c>
      <c r="G357" s="376" t="s">
        <v>451</v>
      </c>
      <c r="H357" s="376" t="s">
        <v>1063</v>
      </c>
      <c r="I357" s="402">
        <v>333.90000000000003</v>
      </c>
      <c r="J357" s="131"/>
      <c r="M357" s="201" t="s">
        <v>423</v>
      </c>
      <c r="P357" s="201" t="s">
        <v>607</v>
      </c>
      <c r="V357" s="512">
        <v>0.3</v>
      </c>
      <c r="AS357"/>
      <c r="AT357"/>
      <c r="AU357"/>
      <c r="AV357"/>
      <c r="AW357"/>
      <c r="AX357"/>
      <c r="AY357"/>
      <c r="AZ357"/>
      <c r="BA357"/>
      <c r="BB357"/>
      <c r="BC357"/>
      <c r="BD357"/>
      <c r="BE357"/>
      <c r="BF357"/>
      <c r="BG357"/>
      <c r="BH357" s="1316"/>
      <c r="BI357"/>
      <c r="BJ357"/>
      <c r="BK357"/>
    </row>
    <row r="358" spans="2:63" ht="12.75" hidden="1" customHeight="1">
      <c r="B358" s="203"/>
      <c r="C358" s="133"/>
      <c r="D358" s="133"/>
      <c r="E358" s="115">
        <v>1512</v>
      </c>
      <c r="F358" s="157" t="s">
        <v>608</v>
      </c>
      <c r="G358" s="376" t="s">
        <v>452</v>
      </c>
      <c r="H358" s="376" t="s">
        <v>1062</v>
      </c>
      <c r="I358" s="402">
        <v>278.25</v>
      </c>
      <c r="J358" s="131"/>
      <c r="M358" s="201" t="s">
        <v>424</v>
      </c>
      <c r="P358" s="201" t="s">
        <v>608</v>
      </c>
      <c r="V358" s="512">
        <v>0.3</v>
      </c>
      <c r="AS358"/>
      <c r="AT358"/>
      <c r="AU358"/>
      <c r="AV358"/>
      <c r="AW358"/>
      <c r="AX358"/>
      <c r="AY358"/>
      <c r="AZ358"/>
      <c r="BA358"/>
      <c r="BB358"/>
      <c r="BC358"/>
      <c r="BD358"/>
      <c r="BE358"/>
      <c r="BF358"/>
      <c r="BG358"/>
      <c r="BH358" s="1316"/>
      <c r="BI358"/>
      <c r="BJ358"/>
      <c r="BK358"/>
    </row>
    <row r="359" spans="2:63" ht="12.75" hidden="1" customHeight="1">
      <c r="B359" s="203"/>
      <c r="C359" s="133"/>
      <c r="D359" s="133"/>
      <c r="E359" s="115">
        <v>1540</v>
      </c>
      <c r="F359" s="157" t="s">
        <v>609</v>
      </c>
      <c r="G359" s="376" t="s">
        <v>453</v>
      </c>
      <c r="H359" s="376" t="s">
        <v>1061</v>
      </c>
      <c r="I359" s="402">
        <v>729.75</v>
      </c>
      <c r="J359" s="131"/>
      <c r="M359" s="201" t="s">
        <v>425</v>
      </c>
      <c r="P359" s="201" t="s">
        <v>609</v>
      </c>
      <c r="V359" s="512">
        <v>0.3</v>
      </c>
      <c r="AS359"/>
      <c r="AT359"/>
      <c r="AU359"/>
      <c r="AV359"/>
      <c r="AW359"/>
      <c r="AX359"/>
      <c r="AY359"/>
      <c r="AZ359"/>
      <c r="BA359"/>
      <c r="BB359"/>
      <c r="BC359"/>
      <c r="BD359"/>
      <c r="BE359"/>
      <c r="BF359"/>
      <c r="BG359"/>
      <c r="BH359" s="1316"/>
      <c r="BI359"/>
      <c r="BJ359"/>
      <c r="BK359"/>
    </row>
    <row r="360" spans="2:63" ht="12.75" hidden="1" customHeight="1">
      <c r="B360" s="203"/>
      <c r="C360" s="133"/>
      <c r="D360" s="133"/>
      <c r="E360" s="115">
        <v>1555</v>
      </c>
      <c r="F360" s="157" t="s">
        <v>610</v>
      </c>
      <c r="G360" s="376" t="s">
        <v>454</v>
      </c>
      <c r="H360" s="376" t="s">
        <v>1060</v>
      </c>
      <c r="I360" s="402">
        <v>322.35000000000002</v>
      </c>
      <c r="J360" s="131"/>
      <c r="M360" s="201" t="s">
        <v>426</v>
      </c>
      <c r="P360" s="201" t="s">
        <v>610</v>
      </c>
      <c r="V360" s="512">
        <v>0.3</v>
      </c>
      <c r="AS360"/>
      <c r="AT360"/>
      <c r="AU360"/>
      <c r="AV360"/>
      <c r="AW360"/>
      <c r="AX360"/>
      <c r="AY360"/>
      <c r="AZ360"/>
      <c r="BA360"/>
      <c r="BB360"/>
      <c r="BC360"/>
      <c r="BD360"/>
      <c r="BE360"/>
      <c r="BF360"/>
      <c r="BG360"/>
      <c r="BH360" s="1316"/>
      <c r="BI360"/>
      <c r="BJ360"/>
      <c r="BK360"/>
    </row>
    <row r="361" spans="2:63" ht="12.75" hidden="1" customHeight="1">
      <c r="B361" s="203"/>
      <c r="C361" s="133"/>
      <c r="D361" s="133"/>
      <c r="E361" s="115">
        <v>1560</v>
      </c>
      <c r="F361" s="157" t="s">
        <v>611</v>
      </c>
      <c r="G361" s="376" t="s">
        <v>455</v>
      </c>
      <c r="H361" s="376" t="s">
        <v>484</v>
      </c>
      <c r="I361" s="402">
        <v>722.4</v>
      </c>
      <c r="J361" s="131"/>
      <c r="M361" s="201" t="s">
        <v>427</v>
      </c>
      <c r="P361" s="201" t="s">
        <v>611</v>
      </c>
      <c r="V361" s="512">
        <v>0.3</v>
      </c>
      <c r="AS361"/>
      <c r="AT361"/>
      <c r="AU361"/>
      <c r="AV361"/>
      <c r="AW361"/>
      <c r="AX361"/>
      <c r="AY361"/>
      <c r="AZ361"/>
      <c r="BA361"/>
      <c r="BB361"/>
      <c r="BC361"/>
      <c r="BD361"/>
      <c r="BE361"/>
      <c r="BF361"/>
      <c r="BG361"/>
      <c r="BH361" s="1316"/>
      <c r="BI361"/>
      <c r="BJ361"/>
      <c r="BK361"/>
    </row>
    <row r="362" spans="2:63" ht="12.75" hidden="1" customHeight="1">
      <c r="B362" s="203"/>
      <c r="C362" s="133"/>
      <c r="D362" s="133"/>
      <c r="E362" s="115">
        <v>1705</v>
      </c>
      <c r="F362" s="157" t="s">
        <v>612</v>
      </c>
      <c r="G362" s="376" t="s">
        <v>456</v>
      </c>
      <c r="H362" s="376" t="s">
        <v>485</v>
      </c>
      <c r="I362" s="402">
        <v>214.20000000000002</v>
      </c>
      <c r="J362" s="131"/>
      <c r="M362" s="201" t="s">
        <v>428</v>
      </c>
      <c r="P362" s="201" t="s">
        <v>612</v>
      </c>
      <c r="V362" s="512">
        <v>0.3</v>
      </c>
      <c r="AS362"/>
      <c r="AT362"/>
      <c r="AU362"/>
      <c r="AV362"/>
      <c r="AW362"/>
      <c r="AX362"/>
      <c r="AY362"/>
      <c r="AZ362"/>
      <c r="BA362"/>
      <c r="BB362"/>
      <c r="BC362"/>
      <c r="BD362"/>
      <c r="BE362"/>
      <c r="BF362"/>
      <c r="BG362"/>
      <c r="BH362" s="1316"/>
      <c r="BI362"/>
      <c r="BJ362"/>
      <c r="BK362"/>
    </row>
    <row r="363" spans="2:63" ht="12.75" hidden="1" customHeight="1">
      <c r="B363" s="203"/>
      <c r="C363" s="133"/>
      <c r="D363" s="133"/>
      <c r="E363" s="115">
        <v>3501</v>
      </c>
      <c r="F363" s="157" t="s">
        <v>613</v>
      </c>
      <c r="G363" s="376" t="s">
        <v>457</v>
      </c>
      <c r="H363" s="376" t="s">
        <v>1052</v>
      </c>
      <c r="I363" s="402">
        <v>278.25</v>
      </c>
      <c r="J363" s="131"/>
      <c r="M363" s="201" t="s">
        <v>429</v>
      </c>
      <c r="P363" s="201" t="s">
        <v>613</v>
      </c>
      <c r="V363" s="512">
        <v>0.3</v>
      </c>
      <c r="AS363"/>
      <c r="AT363"/>
      <c r="AU363"/>
      <c r="AV363"/>
      <c r="AW363"/>
      <c r="AX363"/>
      <c r="AY363"/>
      <c r="AZ363"/>
      <c r="BA363"/>
      <c r="BB363"/>
      <c r="BC363"/>
      <c r="BD363"/>
      <c r="BE363"/>
      <c r="BF363"/>
      <c r="BG363"/>
      <c r="BH363" s="1316"/>
      <c r="BI363"/>
      <c r="BJ363"/>
      <c r="BK363"/>
    </row>
    <row r="364" spans="2:63" ht="12.75" hidden="1" customHeight="1">
      <c r="B364" s="203"/>
      <c r="C364" s="133"/>
      <c r="D364" s="133"/>
      <c r="E364" s="115">
        <v>1606</v>
      </c>
      <c r="F364" s="157" t="s">
        <v>614</v>
      </c>
      <c r="G364" s="376" t="s">
        <v>458</v>
      </c>
      <c r="H364" s="376" t="s">
        <v>487</v>
      </c>
      <c r="I364" s="402">
        <v>322.35000000000002</v>
      </c>
      <c r="J364" s="131"/>
      <c r="M364" s="201" t="s">
        <v>430</v>
      </c>
      <c r="P364" s="201" t="s">
        <v>614</v>
      </c>
      <c r="V364" s="512">
        <v>0.3</v>
      </c>
      <c r="AS364"/>
      <c r="AT364"/>
      <c r="AU364"/>
      <c r="AV364"/>
      <c r="AW364"/>
      <c r="AX364"/>
      <c r="AY364"/>
      <c r="AZ364"/>
      <c r="BA364"/>
      <c r="BB364"/>
      <c r="BC364"/>
      <c r="BD364"/>
      <c r="BE364"/>
      <c r="BF364"/>
      <c r="BG364"/>
      <c r="BH364" s="1316"/>
      <c r="BI364"/>
      <c r="BJ364"/>
      <c r="BK364"/>
    </row>
    <row r="365" spans="2:63" ht="12.75" hidden="1" customHeight="1">
      <c r="B365" s="203"/>
      <c r="C365" s="133"/>
      <c r="D365" s="133"/>
      <c r="E365" s="115">
        <v>1558</v>
      </c>
      <c r="F365" s="157" t="s">
        <v>615</v>
      </c>
      <c r="G365" s="376" t="s">
        <v>459</v>
      </c>
      <c r="H365" s="376" t="s">
        <v>488</v>
      </c>
      <c r="I365" s="402">
        <v>341.25</v>
      </c>
      <c r="J365" s="131"/>
      <c r="M365" s="201" t="s">
        <v>431</v>
      </c>
      <c r="P365" s="201" t="s">
        <v>615</v>
      </c>
      <c r="V365" s="512">
        <v>0.3</v>
      </c>
      <c r="AS365"/>
      <c r="AT365"/>
      <c r="AU365"/>
      <c r="AV365"/>
      <c r="AW365"/>
      <c r="AX365"/>
      <c r="AY365"/>
      <c r="AZ365"/>
      <c r="BA365"/>
      <c r="BB365"/>
      <c r="BC365"/>
      <c r="BD365"/>
      <c r="BE365"/>
      <c r="BF365"/>
      <c r="BG365"/>
      <c r="BH365" s="1316"/>
      <c r="BI365"/>
      <c r="BJ365"/>
      <c r="BK365"/>
    </row>
    <row r="366" spans="2:63" ht="12.75" hidden="1" customHeight="1">
      <c r="B366" s="203"/>
      <c r="C366" s="133"/>
      <c r="D366" s="133"/>
      <c r="E366" s="115">
        <v>2750</v>
      </c>
      <c r="F366" s="157" t="s">
        <v>616</v>
      </c>
      <c r="G366" s="376" t="s">
        <v>460</v>
      </c>
      <c r="H366" s="376" t="s">
        <v>1053</v>
      </c>
      <c r="I366" s="402">
        <v>413.70000000000005</v>
      </c>
      <c r="J366" s="131"/>
      <c r="M366" s="201" t="s">
        <v>432</v>
      </c>
      <c r="P366" s="201" t="s">
        <v>616</v>
      </c>
      <c r="V366" s="512">
        <v>0.3</v>
      </c>
      <c r="AS366"/>
      <c r="AT366"/>
      <c r="AU366"/>
      <c r="AV366"/>
      <c r="AW366"/>
      <c r="AX366"/>
      <c r="AY366"/>
      <c r="AZ366"/>
      <c r="BA366"/>
      <c r="BB366"/>
      <c r="BC366"/>
      <c r="BD366"/>
      <c r="BE366"/>
      <c r="BF366"/>
      <c r="BG366"/>
      <c r="BH366" s="1316"/>
      <c r="BI366"/>
      <c r="BJ366"/>
      <c r="BK366"/>
    </row>
    <row r="367" spans="2:63" ht="12.75" hidden="1" customHeight="1">
      <c r="B367" s="203"/>
      <c r="C367" s="133"/>
      <c r="D367" s="133"/>
      <c r="E367" s="115"/>
      <c r="F367" s="157"/>
      <c r="G367" s="376"/>
      <c r="H367" s="376"/>
      <c r="I367" s="402">
        <v>0</v>
      </c>
      <c r="J367" s="131"/>
      <c r="AS367"/>
      <c r="AT367"/>
      <c r="AU367"/>
      <c r="AV367"/>
      <c r="AW367"/>
      <c r="AX367"/>
      <c r="AY367"/>
      <c r="AZ367"/>
      <c r="BA367"/>
      <c r="BB367"/>
      <c r="BC367"/>
      <c r="BD367"/>
      <c r="BE367"/>
      <c r="BF367"/>
      <c r="BG367"/>
      <c r="BH367" s="1316"/>
      <c r="BI367"/>
      <c r="BJ367"/>
      <c r="BK367"/>
    </row>
    <row r="368" spans="2:63" ht="12.75" hidden="1" customHeight="1">
      <c r="B368" s="203"/>
      <c r="C368" s="133"/>
      <c r="D368" s="133"/>
      <c r="E368" s="115">
        <v>1039</v>
      </c>
      <c r="F368" s="157" t="s">
        <v>588</v>
      </c>
      <c r="G368" s="376">
        <v>15140020</v>
      </c>
      <c r="H368" s="376" t="s">
        <v>1054</v>
      </c>
      <c r="I368" s="402"/>
      <c r="J368" s="131"/>
      <c r="L368" s="890">
        <f>VLOOKUP(F368,$P$337:$W$354,8,FALSE)</f>
        <v>1505</v>
      </c>
      <c r="M368" s="201" t="str">
        <f>VLOOKUP(L368,$E$356:$H$366,3,FALSE)</f>
        <v>16140003</v>
      </c>
      <c r="N368" s="201" t="str">
        <f>VLOOKUP(L368,$E$356:$H$366,4,FALSE)</f>
        <v>FA91505/5L</v>
      </c>
      <c r="O368" s="201" t="str">
        <f>"Startup Kit "&amp;"- "&amp;E368&amp;" Ink &amp; "&amp;L368&amp;" Solvent"</f>
        <v>Startup Kit - 1039 Ink &amp; 1505 Solvent</v>
      </c>
      <c r="V368" s="890">
        <f>VLOOKUP(F368,$P$337:$V$366,7,FALSE)</f>
        <v>1.5</v>
      </c>
      <c r="W368" s="890">
        <f>VLOOKUP(L368,$E$356:$V$366,18,FALSE)</f>
        <v>0.3</v>
      </c>
      <c r="X368" s="201" t="str">
        <f>G368&amp;" x "&amp;V368</f>
        <v>15140020 x 1.5</v>
      </c>
      <c r="Y368" s="201" t="str">
        <f>M368&amp;" x "&amp;W368</f>
        <v>16140003 x 0.3</v>
      </c>
      <c r="Z368" s="907" t="str">
        <f>X368&amp;", "&amp;Y368</f>
        <v>15140020 x 1.5, 16140003 x 0.3</v>
      </c>
      <c r="AE368" s="201" t="str">
        <f>VLOOKUP(L368,$E$356:$F$366,2,FALSE)</f>
        <v>Solvent 1505 Clr 10 X 500Ml</v>
      </c>
      <c r="AS368"/>
      <c r="AT368"/>
      <c r="AU368"/>
      <c r="AV368"/>
      <c r="AW368"/>
      <c r="AX368"/>
      <c r="AY368"/>
      <c r="AZ368"/>
      <c r="BA368"/>
      <c r="BB368"/>
      <c r="BC368"/>
      <c r="BD368"/>
      <c r="BE368"/>
      <c r="BF368"/>
      <c r="BG368"/>
      <c r="BH368" s="1316"/>
      <c r="BI368"/>
      <c r="BJ368"/>
      <c r="BK368"/>
    </row>
    <row r="369" spans="2:63" ht="12.75" hidden="1" customHeight="1">
      <c r="B369" s="203"/>
      <c r="C369" s="133"/>
      <c r="D369" s="133"/>
      <c r="E369" s="115">
        <v>1010</v>
      </c>
      <c r="F369" s="157" t="s">
        <v>589</v>
      </c>
      <c r="G369" s="376" t="s">
        <v>433</v>
      </c>
      <c r="H369" s="376" t="s">
        <v>462</v>
      </c>
      <c r="I369" s="402">
        <v>1319.8500000000001</v>
      </c>
      <c r="J369" s="131"/>
      <c r="L369" s="890">
        <f t="shared" ref="L369:L385" si="40">VLOOKUP(F369,$P$337:$W$354,8,FALSE)</f>
        <v>1505</v>
      </c>
      <c r="M369" s="201" t="str">
        <f t="shared" ref="M369:M385" si="41">VLOOKUP(L369,$E$356:$H$366,3,FALSE)</f>
        <v>16140003</v>
      </c>
      <c r="N369" s="201" t="str">
        <f t="shared" ref="N369:N385" si="42">VLOOKUP(L369,$E$356:$H$366,4,FALSE)</f>
        <v>FA91505/5L</v>
      </c>
      <c r="O369" s="201" t="str">
        <f t="shared" ref="O369:O385" si="43">"Startup Kit "&amp;"- "&amp;E369&amp;" Ink &amp; "&amp;L369&amp;" Solvent"</f>
        <v>Startup Kit - 1010 Ink &amp; 1505 Solvent</v>
      </c>
      <c r="V369" s="890">
        <f t="shared" ref="V369:V385" si="44">VLOOKUP(F369,$P$337:$V$366,7,FALSE)</f>
        <v>0.3</v>
      </c>
      <c r="W369" s="890">
        <f t="shared" ref="W369:W385" si="45">VLOOKUP(L369,$E$356:$V$366,18,FALSE)</f>
        <v>0.3</v>
      </c>
      <c r="X369" s="201" t="str">
        <f t="shared" ref="X369:X385" si="46">G369&amp;" x "&amp;V369</f>
        <v>15140022 x 0.3</v>
      </c>
      <c r="Y369" s="201" t="str">
        <f t="shared" ref="Y369:Y385" si="47">M369&amp;" x "&amp;W369</f>
        <v>16140003 x 0.3</v>
      </c>
      <c r="Z369" s="907" t="str">
        <f t="shared" ref="Z369:Z385" si="48">X369&amp;", "&amp;Y369</f>
        <v>15140022 x 0.3, 16140003 x 0.3</v>
      </c>
      <c r="AE369" s="201" t="str">
        <f t="shared" ref="AE369:AE385" si="49">VLOOKUP(L369,$E$356:$F$366,2,FALSE)</f>
        <v>Solvent 1505 Clr 10 X 500Ml</v>
      </c>
      <c r="AS369"/>
      <c r="AT369"/>
      <c r="AU369"/>
      <c r="AV369"/>
      <c r="AW369"/>
      <c r="AX369"/>
      <c r="AY369"/>
      <c r="AZ369"/>
      <c r="BA369"/>
      <c r="BB369"/>
      <c r="BC369"/>
      <c r="BD369"/>
      <c r="BE369"/>
      <c r="BF369"/>
      <c r="BG369"/>
      <c r="BH369" s="1316"/>
      <c r="BI369"/>
      <c r="BJ369"/>
      <c r="BK369"/>
    </row>
    <row r="370" spans="2:63" ht="12.75" hidden="1" customHeight="1">
      <c r="B370" s="203"/>
      <c r="C370" s="133"/>
      <c r="D370" s="133"/>
      <c r="E370" s="115">
        <v>1014</v>
      </c>
      <c r="F370" s="157" t="s">
        <v>590</v>
      </c>
      <c r="G370" s="376" t="s">
        <v>434</v>
      </c>
      <c r="H370" s="376" t="s">
        <v>463</v>
      </c>
      <c r="I370" s="402">
        <v>334.95</v>
      </c>
      <c r="J370" s="131"/>
      <c r="L370" s="890">
        <f t="shared" si="40"/>
        <v>1505</v>
      </c>
      <c r="M370" s="201" t="str">
        <f t="shared" si="41"/>
        <v>16140003</v>
      </c>
      <c r="N370" s="201" t="str">
        <f t="shared" si="42"/>
        <v>FA91505/5L</v>
      </c>
      <c r="O370" s="201" t="str">
        <f t="shared" si="43"/>
        <v>Startup Kit - 1014 Ink &amp; 1505 Solvent</v>
      </c>
      <c r="V370" s="890">
        <f t="shared" si="44"/>
        <v>1.5</v>
      </c>
      <c r="W370" s="890">
        <f t="shared" si="45"/>
        <v>0.3</v>
      </c>
      <c r="X370" s="201" t="str">
        <f t="shared" si="46"/>
        <v>15140024 x 1.5</v>
      </c>
      <c r="Y370" s="201" t="str">
        <f t="shared" si="47"/>
        <v>16140003 x 0.3</v>
      </c>
      <c r="Z370" s="907" t="str">
        <f t="shared" si="48"/>
        <v>15140024 x 1.5, 16140003 x 0.3</v>
      </c>
      <c r="AE370" s="201" t="str">
        <f t="shared" si="49"/>
        <v>Solvent 1505 Clr 10 X 500Ml</v>
      </c>
      <c r="AS370"/>
      <c r="AT370"/>
      <c r="AU370"/>
      <c r="AV370"/>
      <c r="AW370"/>
      <c r="AX370"/>
      <c r="AY370"/>
      <c r="AZ370"/>
      <c r="BA370"/>
      <c r="BB370"/>
      <c r="BC370"/>
      <c r="BD370"/>
      <c r="BE370"/>
      <c r="BF370"/>
      <c r="BG370"/>
      <c r="BH370" s="1316"/>
      <c r="BI370"/>
      <c r="BJ370"/>
      <c r="BK370"/>
    </row>
    <row r="371" spans="2:63" ht="12.75" hidden="1" customHeight="1">
      <c r="B371" s="203"/>
      <c r="C371" s="133"/>
      <c r="D371" s="133"/>
      <c r="E371" s="115">
        <v>1016</v>
      </c>
      <c r="F371" s="157" t="s">
        <v>591</v>
      </c>
      <c r="G371" s="376" t="s">
        <v>435</v>
      </c>
      <c r="H371" s="376" t="s">
        <v>1055</v>
      </c>
      <c r="I371" s="402">
        <v>1582.3500000000001</v>
      </c>
      <c r="J371" s="131"/>
      <c r="L371" s="890">
        <f t="shared" si="40"/>
        <v>1506</v>
      </c>
      <c r="M371" s="201" t="str">
        <f t="shared" si="41"/>
        <v>16140004</v>
      </c>
      <c r="N371" s="201" t="str">
        <f t="shared" si="42"/>
        <v>FA91506/5L</v>
      </c>
      <c r="O371" s="201" t="str">
        <f t="shared" si="43"/>
        <v>Startup Kit - 1016 Ink &amp; 1506 Solvent</v>
      </c>
      <c r="V371" s="890">
        <f t="shared" si="44"/>
        <v>0.3</v>
      </c>
      <c r="W371" s="890">
        <f t="shared" si="45"/>
        <v>0.3</v>
      </c>
      <c r="X371" s="201" t="str">
        <f t="shared" si="46"/>
        <v>15140025 x 0.3</v>
      </c>
      <c r="Y371" s="201" t="str">
        <f t="shared" si="47"/>
        <v>16140004 x 0.3</v>
      </c>
      <c r="Z371" s="907" t="str">
        <f t="shared" si="48"/>
        <v>15140025 x 0.3, 16140004 x 0.3</v>
      </c>
      <c r="AE371" s="201" t="str">
        <f t="shared" si="49"/>
        <v>Solvent 1506 Clr 10 X 500Ml</v>
      </c>
      <c r="AS371"/>
      <c r="AT371"/>
      <c r="AU371"/>
      <c r="AV371"/>
      <c r="AW371"/>
      <c r="AX371"/>
      <c r="AY371"/>
      <c r="AZ371"/>
      <c r="BA371"/>
      <c r="BB371"/>
      <c r="BC371"/>
      <c r="BD371"/>
      <c r="BE371"/>
      <c r="BF371"/>
      <c r="BG371"/>
      <c r="BH371" s="1316"/>
      <c r="BI371"/>
      <c r="BJ371"/>
      <c r="BK371"/>
    </row>
    <row r="372" spans="2:63" ht="12.75" hidden="1" customHeight="1">
      <c r="B372" s="203"/>
      <c r="C372" s="133"/>
      <c r="D372" s="133"/>
      <c r="E372" s="115">
        <v>1056</v>
      </c>
      <c r="F372" s="157" t="s">
        <v>592</v>
      </c>
      <c r="G372" s="376" t="s">
        <v>436</v>
      </c>
      <c r="H372" s="376" t="s">
        <v>465</v>
      </c>
      <c r="I372" s="402">
        <v>1484.7</v>
      </c>
      <c r="J372" s="131"/>
      <c r="L372" s="890">
        <f t="shared" si="40"/>
        <v>1555</v>
      </c>
      <c r="M372" s="201" t="str">
        <f t="shared" si="41"/>
        <v>16140008</v>
      </c>
      <c r="N372" s="201" t="str">
        <f t="shared" si="42"/>
        <v>FA91555/5L</v>
      </c>
      <c r="O372" s="201" t="str">
        <f t="shared" si="43"/>
        <v>Startup Kit - 1056 Ink &amp; 1555 Solvent</v>
      </c>
      <c r="V372" s="890">
        <f t="shared" si="44"/>
        <v>0.3</v>
      </c>
      <c r="W372" s="890">
        <f t="shared" si="45"/>
        <v>0.3</v>
      </c>
      <c r="X372" s="201" t="str">
        <f t="shared" si="46"/>
        <v>15140033 x 0.3</v>
      </c>
      <c r="Y372" s="201" t="str">
        <f t="shared" si="47"/>
        <v>16140008 x 0.3</v>
      </c>
      <c r="Z372" s="907" t="str">
        <f t="shared" si="48"/>
        <v>15140033 x 0.3, 16140008 x 0.3</v>
      </c>
      <c r="AE372" s="201" t="str">
        <f t="shared" si="49"/>
        <v>Solvent 1555 Clr 10 X 500Ml</v>
      </c>
      <c r="AS372"/>
      <c r="AT372"/>
      <c r="AU372"/>
      <c r="AV372"/>
      <c r="AW372"/>
      <c r="AX372"/>
      <c r="AY372"/>
      <c r="AZ372"/>
      <c r="BA372"/>
      <c r="BB372"/>
      <c r="BC372"/>
      <c r="BD372"/>
      <c r="BE372"/>
      <c r="BF372"/>
      <c r="BG372"/>
      <c r="BH372" s="1316"/>
      <c r="BI372"/>
      <c r="BJ372"/>
      <c r="BK372"/>
    </row>
    <row r="373" spans="2:63" ht="12.75" hidden="1" customHeight="1">
      <c r="B373" s="203"/>
      <c r="C373" s="133"/>
      <c r="D373" s="133"/>
      <c r="E373" s="115">
        <v>1059</v>
      </c>
      <c r="F373" s="157" t="s">
        <v>593</v>
      </c>
      <c r="G373" s="376" t="s">
        <v>437</v>
      </c>
      <c r="H373" s="376" t="s">
        <v>466</v>
      </c>
      <c r="I373" s="402">
        <v>607.95000000000005</v>
      </c>
      <c r="J373" s="131"/>
      <c r="L373" s="890">
        <f t="shared" si="40"/>
        <v>1505</v>
      </c>
      <c r="M373" s="201" t="str">
        <f t="shared" si="41"/>
        <v>16140003</v>
      </c>
      <c r="N373" s="201" t="str">
        <f t="shared" si="42"/>
        <v>FA91505/5L</v>
      </c>
      <c r="O373" s="201" t="str">
        <f t="shared" si="43"/>
        <v>Startup Kit - 1059 Ink &amp; 1505 Solvent</v>
      </c>
      <c r="V373" s="890">
        <f t="shared" si="44"/>
        <v>1.5</v>
      </c>
      <c r="W373" s="890">
        <f t="shared" si="45"/>
        <v>0.3</v>
      </c>
      <c r="X373" s="201" t="str">
        <f t="shared" si="46"/>
        <v>15140034 x 1.5</v>
      </c>
      <c r="Y373" s="201" t="str">
        <f t="shared" si="47"/>
        <v>16140003 x 0.3</v>
      </c>
      <c r="Z373" s="907" t="str">
        <f t="shared" si="48"/>
        <v>15140034 x 1.5, 16140003 x 0.3</v>
      </c>
      <c r="AE373" s="201" t="str">
        <f t="shared" si="49"/>
        <v>Solvent 1505 Clr 10 X 500Ml</v>
      </c>
      <c r="AS373"/>
      <c r="AT373"/>
      <c r="AU373"/>
      <c r="AV373"/>
      <c r="AW373"/>
      <c r="AX373"/>
      <c r="AY373"/>
      <c r="AZ373"/>
      <c r="BA373"/>
      <c r="BB373"/>
      <c r="BC373"/>
      <c r="BD373"/>
      <c r="BE373"/>
      <c r="BF373"/>
      <c r="BG373"/>
      <c r="BH373" s="1316"/>
      <c r="BI373"/>
      <c r="BJ373"/>
      <c r="BK373"/>
    </row>
    <row r="374" spans="2:63" ht="12.75" hidden="1" customHeight="1">
      <c r="B374" s="203"/>
      <c r="C374" s="133"/>
      <c r="D374" s="133"/>
      <c r="E374" s="115">
        <v>1070</v>
      </c>
      <c r="F374" s="157" t="s">
        <v>594</v>
      </c>
      <c r="G374" s="376" t="s">
        <v>438</v>
      </c>
      <c r="H374" s="376" t="s">
        <v>467</v>
      </c>
      <c r="I374" s="402">
        <v>1582.3500000000001</v>
      </c>
      <c r="J374" s="131"/>
      <c r="L374" s="890">
        <f t="shared" si="40"/>
        <v>1560</v>
      </c>
      <c r="M374" s="201" t="str">
        <f t="shared" si="41"/>
        <v>16140009</v>
      </c>
      <c r="N374" s="201" t="str">
        <f t="shared" si="42"/>
        <v>FA91560/5L</v>
      </c>
      <c r="O374" s="201" t="str">
        <f t="shared" si="43"/>
        <v>Startup Kit - 1070 Ink &amp; 1560 Solvent</v>
      </c>
      <c r="V374" s="890">
        <f t="shared" si="44"/>
        <v>0.3</v>
      </c>
      <c r="W374" s="890">
        <f t="shared" si="45"/>
        <v>0.3</v>
      </c>
      <c r="X374" s="201" t="str">
        <f t="shared" si="46"/>
        <v>15140035 x 0.3</v>
      </c>
      <c r="Y374" s="201" t="str">
        <f t="shared" si="47"/>
        <v>16140009 x 0.3</v>
      </c>
      <c r="Z374" s="907" t="str">
        <f t="shared" si="48"/>
        <v>15140035 x 0.3, 16140009 x 0.3</v>
      </c>
      <c r="AE374" s="201" t="str">
        <f t="shared" si="49"/>
        <v>Solvent 1560 Clr 10 X 500Ml</v>
      </c>
      <c r="AS374"/>
      <c r="AT374"/>
      <c r="AU374"/>
      <c r="AV374"/>
      <c r="AW374"/>
      <c r="AX374"/>
      <c r="AY374"/>
      <c r="AZ374"/>
      <c r="BA374"/>
      <c r="BB374"/>
      <c r="BC374"/>
      <c r="BD374"/>
      <c r="BE374"/>
      <c r="BF374"/>
      <c r="BG374"/>
      <c r="BH374" s="1316"/>
      <c r="BI374"/>
      <c r="BJ374"/>
      <c r="BK374"/>
    </row>
    <row r="375" spans="2:63" ht="12.75" hidden="1" customHeight="1">
      <c r="B375" s="203"/>
      <c r="C375" s="133"/>
      <c r="D375" s="133"/>
      <c r="E375" s="115">
        <v>1240</v>
      </c>
      <c r="F375" s="157" t="s">
        <v>595</v>
      </c>
      <c r="G375" s="376" t="s">
        <v>439</v>
      </c>
      <c r="H375" s="376" t="s">
        <v>1056</v>
      </c>
      <c r="I375" s="402">
        <v>1029</v>
      </c>
      <c r="J375" s="131"/>
      <c r="L375" s="890">
        <f t="shared" si="40"/>
        <v>1512</v>
      </c>
      <c r="M375" s="201" t="str">
        <f t="shared" si="41"/>
        <v>16140005</v>
      </c>
      <c r="N375" s="201" t="str">
        <f t="shared" si="42"/>
        <v>FA91512/5L</v>
      </c>
      <c r="O375" s="201" t="str">
        <f t="shared" si="43"/>
        <v>Startup Kit - 1240 Ink &amp; 1512 Solvent</v>
      </c>
      <c r="V375" s="890">
        <f t="shared" si="44"/>
        <v>0.3</v>
      </c>
      <c r="W375" s="890">
        <f t="shared" si="45"/>
        <v>0.3</v>
      </c>
      <c r="X375" s="201" t="str">
        <f t="shared" si="46"/>
        <v>15140036 x 0.3</v>
      </c>
      <c r="Y375" s="201" t="str">
        <f t="shared" si="47"/>
        <v>16140005 x 0.3</v>
      </c>
      <c r="Z375" s="907" t="str">
        <f t="shared" si="48"/>
        <v>15140036 x 0.3, 16140005 x 0.3</v>
      </c>
      <c r="AE375" s="201" t="str">
        <f t="shared" si="49"/>
        <v>Solvent 1512 Clr 10 X 500Ml</v>
      </c>
      <c r="AS375"/>
      <c r="AT375"/>
      <c r="AU375"/>
      <c r="AV375"/>
      <c r="AW375"/>
      <c r="AX375"/>
      <c r="AY375"/>
      <c r="AZ375"/>
      <c r="BA375"/>
      <c r="BB375"/>
      <c r="BC375"/>
      <c r="BD375"/>
      <c r="BE375"/>
      <c r="BF375"/>
      <c r="BG375"/>
      <c r="BH375" s="1316"/>
      <c r="BI375"/>
      <c r="BJ375"/>
      <c r="BK375"/>
    </row>
    <row r="376" spans="2:63" ht="12.75" hidden="1" customHeight="1">
      <c r="B376" s="203"/>
      <c r="C376" s="133"/>
      <c r="D376" s="133"/>
      <c r="E376" s="115">
        <v>1290</v>
      </c>
      <c r="F376" s="157" t="s">
        <v>596</v>
      </c>
      <c r="G376" s="376" t="s">
        <v>440</v>
      </c>
      <c r="H376" s="376" t="s">
        <v>1057</v>
      </c>
      <c r="I376" s="402">
        <v>1518.3</v>
      </c>
      <c r="J376" s="131"/>
      <c r="L376" s="890">
        <f t="shared" si="40"/>
        <v>1540</v>
      </c>
      <c r="M376" s="201" t="str">
        <f t="shared" si="41"/>
        <v>16140007</v>
      </c>
      <c r="N376" s="201" t="str">
        <f t="shared" si="42"/>
        <v>FA91540/5L</v>
      </c>
      <c r="O376" s="201" t="str">
        <f t="shared" si="43"/>
        <v>Startup Kit - 1290 Ink &amp; 1540 Solvent</v>
      </c>
      <c r="V376" s="890">
        <f t="shared" si="44"/>
        <v>0.3</v>
      </c>
      <c r="W376" s="890">
        <f t="shared" si="45"/>
        <v>0.3</v>
      </c>
      <c r="X376" s="201" t="str">
        <f t="shared" si="46"/>
        <v>15140037 x 0.3</v>
      </c>
      <c r="Y376" s="201" t="str">
        <f t="shared" si="47"/>
        <v>16140007 x 0.3</v>
      </c>
      <c r="Z376" s="907" t="str">
        <f t="shared" si="48"/>
        <v>15140037 x 0.3, 16140007 x 0.3</v>
      </c>
      <c r="AE376" s="201" t="str">
        <f t="shared" si="49"/>
        <v>Solvent 1540 Clr 10 X 500Ml</v>
      </c>
      <c r="AS376"/>
      <c r="AT376"/>
      <c r="AU376"/>
      <c r="AV376"/>
      <c r="AW376"/>
      <c r="AX376"/>
      <c r="AY376"/>
      <c r="AZ376"/>
      <c r="BA376"/>
      <c r="BB376"/>
      <c r="BC376"/>
      <c r="BD376"/>
      <c r="BE376"/>
      <c r="BF376"/>
      <c r="BG376"/>
      <c r="BH376" s="1316"/>
      <c r="BI376"/>
      <c r="BJ376"/>
      <c r="BK376"/>
    </row>
    <row r="377" spans="2:63" ht="12.75" hidden="1" customHeight="1">
      <c r="B377" s="203"/>
      <c r="C377" s="133"/>
      <c r="D377" s="133"/>
      <c r="E377" s="115">
        <v>1405</v>
      </c>
      <c r="F377" s="157" t="s">
        <v>597</v>
      </c>
      <c r="G377" s="376" t="s">
        <v>441</v>
      </c>
      <c r="H377" s="376" t="s">
        <v>470</v>
      </c>
      <c r="I377" s="402">
        <v>1024.8</v>
      </c>
      <c r="J377" s="131"/>
      <c r="L377" s="890">
        <f t="shared" si="40"/>
        <v>1705</v>
      </c>
      <c r="M377" s="201" t="str">
        <f t="shared" si="41"/>
        <v>16140011</v>
      </c>
      <c r="N377" s="201" t="str">
        <f t="shared" si="42"/>
        <v>FA91705/5L</v>
      </c>
      <c r="O377" s="201" t="str">
        <f t="shared" si="43"/>
        <v>Startup Kit - 1405 Ink &amp; 1705 Solvent</v>
      </c>
      <c r="V377" s="890">
        <f t="shared" si="44"/>
        <v>0.3</v>
      </c>
      <c r="W377" s="890">
        <f t="shared" si="45"/>
        <v>0.3</v>
      </c>
      <c r="X377" s="201" t="str">
        <f t="shared" si="46"/>
        <v>15140040 x 0.3</v>
      </c>
      <c r="Y377" s="201" t="str">
        <f t="shared" si="47"/>
        <v>16140011 x 0.3</v>
      </c>
      <c r="Z377" s="907" t="str">
        <f t="shared" si="48"/>
        <v>15140040 x 0.3, 16140011 x 0.3</v>
      </c>
      <c r="AE377" s="201" t="str">
        <f t="shared" si="49"/>
        <v>Solvent 1705 Clr 10 X 500Ml</v>
      </c>
      <c r="AS377"/>
      <c r="AT377"/>
      <c r="AU377"/>
      <c r="AV377"/>
      <c r="AW377"/>
      <c r="AX377"/>
      <c r="AY377"/>
      <c r="AZ377"/>
      <c r="BA377"/>
      <c r="BB377"/>
      <c r="BC377"/>
      <c r="BD377"/>
      <c r="BE377"/>
      <c r="BF377"/>
      <c r="BG377"/>
      <c r="BH377" s="1316"/>
      <c r="BI377"/>
      <c r="BJ377"/>
      <c r="BK377"/>
    </row>
    <row r="378" spans="2:63" ht="12.75" hidden="1" customHeight="1">
      <c r="B378" s="203"/>
      <c r="C378" s="133"/>
      <c r="D378" s="133"/>
      <c r="E378" s="115">
        <v>3103</v>
      </c>
      <c r="F378" s="157" t="s">
        <v>598</v>
      </c>
      <c r="G378" s="376" t="s">
        <v>442</v>
      </c>
      <c r="H378" s="376" t="s">
        <v>1058</v>
      </c>
      <c r="I378" s="402">
        <v>1052.1000000000001</v>
      </c>
      <c r="J378" s="131"/>
      <c r="L378" s="890">
        <f t="shared" si="40"/>
        <v>3501</v>
      </c>
      <c r="M378" s="201" t="str">
        <f t="shared" si="41"/>
        <v>16140013</v>
      </c>
      <c r="N378" s="201" t="str">
        <f t="shared" si="42"/>
        <v>FA93501/5L</v>
      </c>
      <c r="O378" s="201" t="str">
        <f t="shared" si="43"/>
        <v>Startup Kit - 3103 Ink &amp; 3501 Solvent</v>
      </c>
      <c r="V378" s="890">
        <f t="shared" si="44"/>
        <v>0.3</v>
      </c>
      <c r="W378" s="890">
        <f t="shared" si="45"/>
        <v>0.3</v>
      </c>
      <c r="X378" s="201" t="str">
        <f t="shared" si="46"/>
        <v>15140042 x 0.3</v>
      </c>
      <c r="Y378" s="201" t="str">
        <f t="shared" si="47"/>
        <v>16140013 x 0.3</v>
      </c>
      <c r="Z378" s="907" t="str">
        <f t="shared" si="48"/>
        <v>15140042 x 0.3, 16140013 x 0.3</v>
      </c>
      <c r="AE378" s="201" t="str">
        <f t="shared" si="49"/>
        <v>Solvent 3501 Clr 10 X 500Ml</v>
      </c>
      <c r="AS378"/>
      <c r="AT378"/>
      <c r="AU378"/>
      <c r="AV378"/>
      <c r="AW378"/>
      <c r="AX378"/>
      <c r="AY378"/>
      <c r="AZ378"/>
      <c r="BA378"/>
      <c r="BB378"/>
      <c r="BC378"/>
      <c r="BD378"/>
      <c r="BE378"/>
      <c r="BF378"/>
      <c r="BG378"/>
      <c r="BH378" s="1316"/>
      <c r="BI378"/>
      <c r="BJ378"/>
      <c r="BK378"/>
    </row>
    <row r="379" spans="2:63" ht="12.75" hidden="1" customHeight="1">
      <c r="B379" s="203"/>
      <c r="C379" s="133"/>
      <c r="D379" s="133"/>
      <c r="E379" s="115">
        <v>3123</v>
      </c>
      <c r="F379" s="157" t="s">
        <v>599</v>
      </c>
      <c r="G379" s="376" t="s">
        <v>443</v>
      </c>
      <c r="H379" s="376" t="s">
        <v>472</v>
      </c>
      <c r="I379" s="402">
        <v>343.35</v>
      </c>
      <c r="J379" s="131"/>
      <c r="L379" s="890">
        <f t="shared" si="40"/>
        <v>3501</v>
      </c>
      <c r="M379" s="201" t="str">
        <f t="shared" si="41"/>
        <v>16140013</v>
      </c>
      <c r="N379" s="201" t="str">
        <f t="shared" si="42"/>
        <v>FA93501/5L</v>
      </c>
      <c r="O379" s="201" t="str">
        <f t="shared" si="43"/>
        <v>Startup Kit - 3123 Ink &amp; 3501 Solvent</v>
      </c>
      <c r="V379" s="890">
        <f t="shared" si="44"/>
        <v>1.5</v>
      </c>
      <c r="W379" s="890">
        <f t="shared" si="45"/>
        <v>0.3</v>
      </c>
      <c r="X379" s="201" t="str">
        <f t="shared" si="46"/>
        <v>15140043 x 1.5</v>
      </c>
      <c r="Y379" s="201" t="str">
        <f t="shared" si="47"/>
        <v>16140013 x 0.3</v>
      </c>
      <c r="Z379" s="907" t="str">
        <f t="shared" si="48"/>
        <v>15140043 x 1.5, 16140013 x 0.3</v>
      </c>
      <c r="AE379" s="201" t="str">
        <f t="shared" si="49"/>
        <v>Solvent 3501 Clr 10 X 500Ml</v>
      </c>
      <c r="AS379"/>
      <c r="AT379"/>
      <c r="AU379"/>
      <c r="AV379"/>
      <c r="AW379"/>
      <c r="AX379"/>
      <c r="AY379"/>
      <c r="AZ379"/>
      <c r="BA379"/>
      <c r="BB379"/>
      <c r="BC379"/>
      <c r="BD379"/>
      <c r="BE379"/>
      <c r="BF379"/>
      <c r="BG379"/>
      <c r="BH379" s="1316"/>
      <c r="BI379"/>
      <c r="BJ379"/>
      <c r="BK379"/>
    </row>
    <row r="380" spans="2:63" ht="12.75" hidden="1" customHeight="1">
      <c r="B380" s="203"/>
      <c r="C380" s="133"/>
      <c r="D380" s="133"/>
      <c r="E380" s="115">
        <v>1043</v>
      </c>
      <c r="F380" s="157" t="s">
        <v>600</v>
      </c>
      <c r="G380" s="376" t="s">
        <v>444</v>
      </c>
      <c r="H380" s="376" t="s">
        <v>473</v>
      </c>
      <c r="I380" s="402">
        <v>727.65</v>
      </c>
      <c r="J380" s="131"/>
      <c r="L380" s="890">
        <f t="shared" si="40"/>
        <v>1505</v>
      </c>
      <c r="M380" s="201" t="str">
        <f t="shared" si="41"/>
        <v>16140003</v>
      </c>
      <c r="N380" s="201" t="str">
        <f t="shared" si="42"/>
        <v>FA91505/5L</v>
      </c>
      <c r="O380" s="201" t="str">
        <f t="shared" si="43"/>
        <v>Startup Kit - 1043 Ink &amp; 1505 Solvent</v>
      </c>
      <c r="V380" s="890">
        <f t="shared" si="44"/>
        <v>1.5</v>
      </c>
      <c r="W380" s="890">
        <f t="shared" si="45"/>
        <v>0.3</v>
      </c>
      <c r="X380" s="201" t="str">
        <f t="shared" si="46"/>
        <v>15140054 x 1.5</v>
      </c>
      <c r="Y380" s="201" t="str">
        <f t="shared" si="47"/>
        <v>16140003 x 0.3</v>
      </c>
      <c r="Z380" s="907" t="str">
        <f t="shared" si="48"/>
        <v>15140054 x 1.5, 16140003 x 0.3</v>
      </c>
      <c r="AE380" s="201" t="str">
        <f t="shared" si="49"/>
        <v>Solvent 1505 Clr 10 X 500Ml</v>
      </c>
      <c r="AS380"/>
      <c r="AT380"/>
      <c r="AU380"/>
      <c r="AV380"/>
      <c r="AW380"/>
      <c r="AX380"/>
      <c r="AY380"/>
      <c r="AZ380"/>
      <c r="BA380"/>
      <c r="BB380"/>
      <c r="BC380"/>
      <c r="BD380"/>
      <c r="BE380"/>
      <c r="BF380"/>
      <c r="BG380"/>
      <c r="BH380" s="1316"/>
      <c r="BI380"/>
      <c r="BJ380"/>
      <c r="BK380"/>
    </row>
    <row r="381" spans="2:63" ht="12.75" hidden="1" customHeight="1">
      <c r="B381" s="203"/>
      <c r="C381" s="133"/>
      <c r="D381" s="133"/>
      <c r="E381" s="115">
        <v>1058</v>
      </c>
      <c r="F381" s="157" t="s">
        <v>601</v>
      </c>
      <c r="G381" s="376" t="s">
        <v>445</v>
      </c>
      <c r="H381" s="376" t="s">
        <v>474</v>
      </c>
      <c r="I381" s="402">
        <v>1460.55</v>
      </c>
      <c r="J381" s="131"/>
      <c r="L381" s="890">
        <f t="shared" si="40"/>
        <v>1558</v>
      </c>
      <c r="M381" s="201" t="str">
        <f t="shared" si="41"/>
        <v>16140051</v>
      </c>
      <c r="N381" s="201" t="str">
        <f t="shared" si="42"/>
        <v>FA91558/5L</v>
      </c>
      <c r="O381" s="201" t="str">
        <f t="shared" si="43"/>
        <v>Startup Kit - 1058 Ink &amp; 1558 Solvent</v>
      </c>
      <c r="V381" s="890">
        <f t="shared" si="44"/>
        <v>0.3</v>
      </c>
      <c r="W381" s="890">
        <f t="shared" si="45"/>
        <v>0.3</v>
      </c>
      <c r="X381" s="201" t="str">
        <f t="shared" si="46"/>
        <v>15140055 x 0.3</v>
      </c>
      <c r="Y381" s="201" t="str">
        <f t="shared" si="47"/>
        <v>16140051 x 0.3</v>
      </c>
      <c r="Z381" s="907" t="str">
        <f t="shared" si="48"/>
        <v>15140055 x 0.3, 16140051 x 0.3</v>
      </c>
      <c r="AE381" s="201" t="str">
        <f t="shared" si="49"/>
        <v>Solvent 1558 Clr 10 X 500Ml</v>
      </c>
      <c r="AS381"/>
      <c r="AT381"/>
      <c r="AU381"/>
      <c r="AV381"/>
      <c r="AW381"/>
      <c r="AX381"/>
      <c r="AY381"/>
      <c r="AZ381"/>
      <c r="BA381"/>
      <c r="BB381"/>
      <c r="BC381"/>
      <c r="BD381"/>
      <c r="BE381"/>
      <c r="BF381"/>
      <c r="BG381"/>
      <c r="BH381" s="1316"/>
      <c r="BI381"/>
      <c r="BJ381"/>
      <c r="BK381"/>
    </row>
    <row r="382" spans="2:63" ht="12.75" hidden="1" customHeight="1">
      <c r="B382" s="203"/>
      <c r="C382" s="133"/>
      <c r="D382" s="133"/>
      <c r="E382" s="115">
        <v>2250</v>
      </c>
      <c r="F382" s="157" t="s">
        <v>602</v>
      </c>
      <c r="G382" s="376" t="s">
        <v>446</v>
      </c>
      <c r="H382" s="376" t="s">
        <v>1059</v>
      </c>
      <c r="I382" s="402">
        <v>1105.6500000000001</v>
      </c>
      <c r="J382" s="131"/>
      <c r="L382" s="890">
        <f t="shared" si="40"/>
        <v>2750</v>
      </c>
      <c r="M382" s="201" t="str">
        <f t="shared" si="41"/>
        <v>16140052</v>
      </c>
      <c r="N382" s="201" t="str">
        <f t="shared" si="42"/>
        <v>FA92750/5L</v>
      </c>
      <c r="O382" s="201" t="str">
        <f t="shared" si="43"/>
        <v>Startup Kit - 2250 Ink &amp; 2750 Solvent</v>
      </c>
      <c r="V382" s="890">
        <f t="shared" si="44"/>
        <v>0.3</v>
      </c>
      <c r="W382" s="890">
        <f t="shared" si="45"/>
        <v>0.3</v>
      </c>
      <c r="X382" s="201" t="str">
        <f t="shared" si="46"/>
        <v>15140057 x 0.3</v>
      </c>
      <c r="Y382" s="201" t="str">
        <f t="shared" si="47"/>
        <v>16140052 x 0.3</v>
      </c>
      <c r="Z382" s="907" t="str">
        <f t="shared" si="48"/>
        <v>15140057 x 0.3, 16140052 x 0.3</v>
      </c>
      <c r="AE382" s="201" t="str">
        <f t="shared" si="49"/>
        <v>Solvent 2750 Clr 10 X 500Ml</v>
      </c>
      <c r="AS382"/>
      <c r="AT382"/>
      <c r="AU382"/>
      <c r="AV382"/>
      <c r="AW382"/>
      <c r="AX382"/>
      <c r="AY382"/>
      <c r="AZ382"/>
      <c r="BA382"/>
      <c r="BB382"/>
      <c r="BC382"/>
      <c r="BD382"/>
      <c r="BE382"/>
      <c r="BF382"/>
      <c r="BG382"/>
      <c r="BH382" s="1316"/>
      <c r="BI382"/>
      <c r="BJ382"/>
      <c r="BK382"/>
    </row>
    <row r="383" spans="2:63" ht="12.75" hidden="1" customHeight="1">
      <c r="B383" s="203"/>
      <c r="C383" s="133"/>
      <c r="D383" s="133"/>
      <c r="E383" s="115">
        <v>1280</v>
      </c>
      <c r="F383" s="157" t="s">
        <v>603</v>
      </c>
      <c r="G383" s="376" t="s">
        <v>447</v>
      </c>
      <c r="H383" s="376" t="s">
        <v>476</v>
      </c>
      <c r="I383" s="402">
        <v>1518.3</v>
      </c>
      <c r="J383" s="131"/>
      <c r="L383" s="890">
        <f t="shared" si="40"/>
        <v>1540</v>
      </c>
      <c r="M383" s="201" t="str">
        <f t="shared" si="41"/>
        <v>16140007</v>
      </c>
      <c r="N383" s="201" t="str">
        <f t="shared" si="42"/>
        <v>FA91540/5L</v>
      </c>
      <c r="O383" s="201" t="str">
        <f t="shared" si="43"/>
        <v>Startup Kit - 1280 Ink &amp; 1540 Solvent</v>
      </c>
      <c r="V383" s="890">
        <f t="shared" si="44"/>
        <v>0.3</v>
      </c>
      <c r="W383" s="890">
        <f t="shared" si="45"/>
        <v>0.3</v>
      </c>
      <c r="X383" s="201" t="str">
        <f t="shared" si="46"/>
        <v>15140058 x 0.3</v>
      </c>
      <c r="Y383" s="201" t="str">
        <f t="shared" si="47"/>
        <v>16140007 x 0.3</v>
      </c>
      <c r="Z383" s="907" t="str">
        <f t="shared" si="48"/>
        <v>15140058 x 0.3, 16140007 x 0.3</v>
      </c>
      <c r="AE383" s="201" t="str">
        <f t="shared" si="49"/>
        <v>Solvent 1540 Clr 10 X 500Ml</v>
      </c>
      <c r="AS383"/>
      <c r="AT383"/>
      <c r="AU383"/>
      <c r="AV383"/>
      <c r="AW383"/>
      <c r="AX383"/>
      <c r="AY383"/>
      <c r="AZ383"/>
      <c r="BA383"/>
      <c r="BB383"/>
      <c r="BC383"/>
      <c r="BD383"/>
      <c r="BE383"/>
      <c r="BF383"/>
      <c r="BG383"/>
      <c r="BH383" s="1316"/>
      <c r="BI383"/>
      <c r="BJ383"/>
      <c r="BK383"/>
    </row>
    <row r="384" spans="2:63" ht="12.75" hidden="1" customHeight="1">
      <c r="B384" s="203"/>
      <c r="C384" s="133"/>
      <c r="D384" s="133"/>
      <c r="E384" s="115">
        <v>1306</v>
      </c>
      <c r="F384" s="157" t="s">
        <v>604</v>
      </c>
      <c r="G384" s="376" t="s">
        <v>448</v>
      </c>
      <c r="H384" s="376" t="s">
        <v>477</v>
      </c>
      <c r="I384" s="402">
        <v>685.65</v>
      </c>
      <c r="J384" s="131"/>
      <c r="L384" s="890">
        <f t="shared" si="40"/>
        <v>1606</v>
      </c>
      <c r="M384" s="201" t="str">
        <f t="shared" si="41"/>
        <v>16140014</v>
      </c>
      <c r="N384" s="201" t="str">
        <f t="shared" si="42"/>
        <v>FA91606/5L</v>
      </c>
      <c r="O384" s="201" t="str">
        <f t="shared" si="43"/>
        <v>Startup Kit - 1306 Ink &amp; 1606 Solvent</v>
      </c>
      <c r="V384" s="890">
        <f t="shared" si="44"/>
        <v>1.5</v>
      </c>
      <c r="W384" s="890">
        <f t="shared" si="45"/>
        <v>0.3</v>
      </c>
      <c r="X384" s="201" t="str">
        <f t="shared" si="46"/>
        <v>15140061 x 1.5</v>
      </c>
      <c r="Y384" s="201" t="str">
        <f t="shared" si="47"/>
        <v>16140014 x 0.3</v>
      </c>
      <c r="Z384" s="907" t="str">
        <f t="shared" si="48"/>
        <v>15140061 x 1.5, 16140014 x 0.3</v>
      </c>
      <c r="AE384" s="201" t="str">
        <f t="shared" si="49"/>
        <v>Solvent 1606 Clr 10 X 500Ml</v>
      </c>
      <c r="AS384"/>
      <c r="AT384"/>
      <c r="AU384"/>
      <c r="AV384"/>
      <c r="AW384"/>
      <c r="AX384"/>
      <c r="AY384"/>
      <c r="AZ384"/>
      <c r="BA384"/>
      <c r="BB384"/>
      <c r="BC384"/>
      <c r="BD384"/>
      <c r="BE384"/>
      <c r="BF384"/>
      <c r="BG384"/>
      <c r="BH384" s="1316"/>
      <c r="BI384"/>
      <c r="BJ384"/>
      <c r="BK384"/>
    </row>
    <row r="385" spans="2:63" ht="12.75" hidden="1" customHeight="1">
      <c r="B385" s="203"/>
      <c r="C385" s="133"/>
      <c r="D385" s="133"/>
      <c r="E385" s="115">
        <v>1311</v>
      </c>
      <c r="F385" s="157" t="s">
        <v>605</v>
      </c>
      <c r="G385" s="376" t="s">
        <v>449</v>
      </c>
      <c r="H385" s="376" t="s">
        <v>478</v>
      </c>
      <c r="I385" s="402">
        <v>680.4</v>
      </c>
      <c r="J385" s="131"/>
      <c r="L385" s="890">
        <f t="shared" si="40"/>
        <v>1606</v>
      </c>
      <c r="M385" s="201" t="str">
        <f t="shared" si="41"/>
        <v>16140014</v>
      </c>
      <c r="N385" s="201" t="str">
        <f t="shared" si="42"/>
        <v>FA91606/5L</v>
      </c>
      <c r="O385" s="201" t="str">
        <f t="shared" si="43"/>
        <v>Startup Kit - 1311 Ink &amp; 1606 Solvent</v>
      </c>
      <c r="V385" s="890">
        <f t="shared" si="44"/>
        <v>1.5</v>
      </c>
      <c r="W385" s="890">
        <f t="shared" si="45"/>
        <v>0.3</v>
      </c>
      <c r="X385" s="201" t="str">
        <f t="shared" si="46"/>
        <v>15140062 x 1.5</v>
      </c>
      <c r="Y385" s="201" t="str">
        <f t="shared" si="47"/>
        <v>16140014 x 0.3</v>
      </c>
      <c r="Z385" s="907" t="str">
        <f t="shared" si="48"/>
        <v>15140062 x 1.5, 16140014 x 0.3</v>
      </c>
      <c r="AE385" s="201" t="str">
        <f t="shared" si="49"/>
        <v>Solvent 1606 Clr 10 X 500Ml</v>
      </c>
      <c r="AS385"/>
      <c r="AT385"/>
      <c r="AU385"/>
      <c r="AV385"/>
      <c r="AW385"/>
      <c r="AX385"/>
      <c r="AY385"/>
      <c r="AZ385"/>
      <c r="BA385"/>
      <c r="BB385"/>
      <c r="BC385"/>
      <c r="BD385"/>
      <c r="BE385"/>
      <c r="BF385"/>
      <c r="BG385"/>
      <c r="BH385" s="1316"/>
      <c r="BI385"/>
      <c r="BJ385"/>
      <c r="BK385"/>
    </row>
    <row r="386" spans="2:63" ht="12.75" hidden="1" customHeight="1">
      <c r="B386" s="203"/>
      <c r="C386" s="133"/>
      <c r="D386" s="133"/>
      <c r="E386" s="115"/>
      <c r="F386" s="157"/>
      <c r="G386" s="207"/>
      <c r="H386" s="207"/>
      <c r="I386" s="402"/>
      <c r="J386" s="131"/>
      <c r="AS386"/>
      <c r="AT386"/>
      <c r="AU386"/>
      <c r="AV386"/>
      <c r="AW386"/>
      <c r="AX386"/>
      <c r="AY386"/>
      <c r="AZ386"/>
      <c r="BA386"/>
      <c r="BB386"/>
      <c r="BC386"/>
      <c r="BD386"/>
      <c r="BE386"/>
      <c r="BF386"/>
      <c r="BG386"/>
      <c r="BH386" s="1082"/>
      <c r="BI386"/>
      <c r="BJ386"/>
      <c r="BK386"/>
    </row>
    <row r="387" spans="2:63" ht="12.75" hidden="1" customHeight="1">
      <c r="B387" s="203"/>
      <c r="C387" s="133"/>
      <c r="D387" s="133"/>
      <c r="E387" s="115"/>
      <c r="F387" s="157"/>
      <c r="G387" s="207"/>
      <c r="H387" s="207"/>
      <c r="I387" s="402"/>
      <c r="J387" s="131"/>
      <c r="AS387"/>
      <c r="AT387"/>
      <c r="AU387"/>
      <c r="AV387"/>
      <c r="AW387"/>
      <c r="AX387"/>
      <c r="AY387"/>
      <c r="AZ387"/>
      <c r="BA387"/>
      <c r="BB387"/>
      <c r="BC387"/>
      <c r="BD387"/>
      <c r="BE387"/>
      <c r="BF387"/>
      <c r="BG387"/>
      <c r="BH387" s="1082"/>
      <c r="BI387"/>
      <c r="BJ387"/>
      <c r="BK387"/>
    </row>
    <row r="388" spans="2:63" ht="12.75" hidden="1" customHeight="1">
      <c r="B388" s="203"/>
      <c r="C388" s="133"/>
      <c r="D388" s="133"/>
      <c r="E388" s="115"/>
      <c r="F388" s="157" t="s">
        <v>559</v>
      </c>
      <c r="G388" s="376">
        <v>19810039</v>
      </c>
      <c r="H388" s="207"/>
      <c r="I388" s="402">
        <v>150.30000000000001</v>
      </c>
      <c r="J388" s="131"/>
      <c r="AS388"/>
      <c r="AT388"/>
      <c r="AU388"/>
      <c r="AV388"/>
      <c r="AW388"/>
      <c r="AX388"/>
      <c r="AY388"/>
      <c r="AZ388"/>
      <c r="BA388"/>
      <c r="BB388"/>
      <c r="BC388"/>
      <c r="BD388"/>
      <c r="BE388"/>
      <c r="BF388"/>
      <c r="BG388"/>
      <c r="BH388" s="1082"/>
      <c r="BI388"/>
      <c r="BJ388"/>
      <c r="BK388"/>
    </row>
    <row r="389" spans="2:63" ht="12.75" hidden="1" customHeight="1">
      <c r="B389" s="203"/>
      <c r="C389" s="133"/>
      <c r="D389" s="133"/>
      <c r="E389" s="115"/>
      <c r="F389" s="108"/>
      <c r="G389" s="206"/>
      <c r="H389" s="28"/>
      <c r="I389" s="334"/>
      <c r="J389" s="131"/>
      <c r="AS389"/>
      <c r="AT389"/>
      <c r="AU389"/>
      <c r="AV389"/>
      <c r="AW389"/>
      <c r="AX389"/>
      <c r="AY389"/>
      <c r="AZ389"/>
      <c r="BA389"/>
      <c r="BB389"/>
      <c r="BC389"/>
      <c r="BD389"/>
      <c r="BE389"/>
      <c r="BF389"/>
      <c r="BG389"/>
      <c r="BH389" s="1082"/>
      <c r="BI389"/>
      <c r="BJ389"/>
      <c r="BK389"/>
    </row>
    <row r="390" spans="2:63" ht="12.75" hidden="1" customHeight="1">
      <c r="B390" s="203"/>
      <c r="C390" s="133"/>
      <c r="D390" s="133"/>
      <c r="E390" s="115"/>
      <c r="F390" s="108"/>
      <c r="G390" s="206"/>
      <c r="H390" s="28"/>
      <c r="I390" s="334"/>
      <c r="J390" s="131"/>
      <c r="AS390"/>
      <c r="AT390"/>
      <c r="AU390"/>
      <c r="AV390"/>
      <c r="AW390"/>
      <c r="AX390"/>
      <c r="AY390"/>
      <c r="AZ390"/>
      <c r="BA390"/>
      <c r="BB390"/>
      <c r="BC390"/>
      <c r="BD390"/>
      <c r="BE390"/>
      <c r="BF390"/>
      <c r="BG390"/>
      <c r="BH390" s="1082"/>
      <c r="BI390"/>
      <c r="BJ390"/>
      <c r="BK390"/>
    </row>
    <row r="391" spans="2:63" ht="12.75" hidden="1" customHeight="1">
      <c r="B391" s="203"/>
      <c r="C391" s="133"/>
      <c r="D391" s="133"/>
      <c r="E391" s="115"/>
      <c r="F391" s="108"/>
      <c r="G391" s="206"/>
      <c r="H391" s="28"/>
      <c r="I391" s="334"/>
      <c r="J391" s="131"/>
      <c r="AS391"/>
      <c r="AT391"/>
      <c r="AU391"/>
      <c r="AV391"/>
      <c r="AW391"/>
      <c r="AX391"/>
      <c r="AY391"/>
      <c r="AZ391"/>
      <c r="BA391"/>
      <c r="BB391"/>
      <c r="BC391"/>
      <c r="BD391"/>
      <c r="BE391"/>
      <c r="BF391"/>
      <c r="BG391"/>
      <c r="BH391" s="1082"/>
      <c r="BI391"/>
      <c r="BJ391"/>
      <c r="BK391"/>
    </row>
    <row r="392" spans="2:63" ht="12.75" hidden="1" customHeight="1">
      <c r="B392" s="203"/>
      <c r="C392" s="132"/>
      <c r="D392" s="132" t="s">
        <v>106</v>
      </c>
      <c r="E392" s="115"/>
      <c r="F392" s="157" t="s">
        <v>499</v>
      </c>
      <c r="G392" s="1046" t="s">
        <v>1033</v>
      </c>
      <c r="H392" s="377" t="s">
        <v>491</v>
      </c>
      <c r="I392" s="420">
        <v>81.900000000000006</v>
      </c>
      <c r="J392" s="131"/>
      <c r="AQ392" s="201">
        <v>74</v>
      </c>
      <c r="AR392" s="908">
        <v>0.05</v>
      </c>
      <c r="AS392" s="112">
        <f t="shared" ref="AS392:AS407" si="50">AQ392*(1+AR392)</f>
        <v>77.7</v>
      </c>
      <c r="AT392"/>
      <c r="AU392"/>
      <c r="AV392"/>
      <c r="AW392"/>
      <c r="AX392"/>
      <c r="AY392"/>
      <c r="AZ392"/>
      <c r="BA392"/>
      <c r="BB392"/>
      <c r="BC392"/>
      <c r="BD392"/>
      <c r="BE392"/>
      <c r="BF392"/>
      <c r="BG392"/>
      <c r="BH392" s="1083"/>
      <c r="BI392"/>
      <c r="BJ392"/>
      <c r="BK392"/>
    </row>
    <row r="393" spans="2:63" ht="12.75" hidden="1" customHeight="1">
      <c r="B393" s="203"/>
      <c r="C393" s="133"/>
      <c r="D393" s="133"/>
      <c r="E393" s="115"/>
      <c r="F393" s="157" t="s">
        <v>500</v>
      </c>
      <c r="G393" s="1046" t="s">
        <v>1034</v>
      </c>
      <c r="H393" s="424" t="s">
        <v>492</v>
      </c>
      <c r="I393" s="420">
        <v>75.600000000000009</v>
      </c>
      <c r="J393" s="131"/>
      <c r="AQ393" s="201">
        <v>69</v>
      </c>
      <c r="AR393" s="908">
        <v>0.05</v>
      </c>
      <c r="AS393" s="112">
        <f t="shared" si="50"/>
        <v>72.45</v>
      </c>
      <c r="AT393"/>
      <c r="AU393"/>
      <c r="AV393"/>
      <c r="AW393"/>
      <c r="AX393"/>
      <c r="AY393"/>
      <c r="AZ393"/>
      <c r="BA393"/>
      <c r="BB393"/>
      <c r="BC393"/>
      <c r="BD393"/>
      <c r="BE393"/>
      <c r="BF393"/>
      <c r="BG393"/>
      <c r="BH393" s="1083"/>
      <c r="BI393"/>
      <c r="BJ393"/>
      <c r="BK393"/>
    </row>
    <row r="394" spans="2:63" ht="12.75" hidden="1" customHeight="1">
      <c r="B394" s="203"/>
      <c r="C394" s="133"/>
      <c r="D394" s="133"/>
      <c r="E394" s="115"/>
      <c r="F394" s="157" t="s">
        <v>501</v>
      </c>
      <c r="G394" s="1046" t="s">
        <v>1035</v>
      </c>
      <c r="H394" s="377" t="s">
        <v>493</v>
      </c>
      <c r="I394" s="420">
        <v>107.10000000000001</v>
      </c>
      <c r="J394" s="131"/>
      <c r="AQ394" s="201">
        <v>97</v>
      </c>
      <c r="AR394" s="908">
        <v>0.05</v>
      </c>
      <c r="AS394" s="112">
        <f t="shared" si="50"/>
        <v>101.85000000000001</v>
      </c>
      <c r="AT394"/>
      <c r="AU394"/>
      <c r="AV394"/>
      <c r="AW394"/>
      <c r="AX394"/>
      <c r="AY394"/>
      <c r="AZ394"/>
      <c r="BA394"/>
      <c r="BB394"/>
      <c r="BC394"/>
      <c r="BD394"/>
      <c r="BE394"/>
      <c r="BF394"/>
      <c r="BG394"/>
      <c r="BH394" s="1083"/>
      <c r="BI394"/>
      <c r="BJ394"/>
      <c r="BK394"/>
    </row>
    <row r="395" spans="2:63" ht="12.75" hidden="1" customHeight="1">
      <c r="B395" s="203"/>
      <c r="C395" s="133"/>
      <c r="D395" s="133"/>
      <c r="E395" s="115"/>
      <c r="F395" s="157" t="s">
        <v>502</v>
      </c>
      <c r="G395" s="1046" t="s">
        <v>1036</v>
      </c>
      <c r="H395" s="377" t="s">
        <v>494</v>
      </c>
      <c r="I395" s="420">
        <v>140.70000000000002</v>
      </c>
      <c r="J395" s="131"/>
      <c r="AQ395" s="201">
        <v>128</v>
      </c>
      <c r="AR395" s="908">
        <v>0.05</v>
      </c>
      <c r="AS395" s="112">
        <f t="shared" si="50"/>
        <v>134.4</v>
      </c>
      <c r="AT395"/>
      <c r="AU395"/>
      <c r="AV395"/>
      <c r="AW395"/>
      <c r="AX395"/>
      <c r="AY395"/>
      <c r="AZ395"/>
      <c r="BA395"/>
      <c r="BB395"/>
      <c r="BC395"/>
      <c r="BD395"/>
      <c r="BE395"/>
      <c r="BF395"/>
      <c r="BG395"/>
      <c r="BH395" s="1083"/>
      <c r="BI395"/>
      <c r="BJ395"/>
      <c r="BK395"/>
    </row>
    <row r="396" spans="2:63" ht="12.75" hidden="1" customHeight="1">
      <c r="B396" s="203"/>
      <c r="C396" s="133"/>
      <c r="D396" s="133"/>
      <c r="E396" s="115"/>
      <c r="F396" s="196" t="s">
        <v>1140</v>
      </c>
      <c r="G396" s="377">
        <v>13090026</v>
      </c>
      <c r="H396" s="377" t="s">
        <v>1141</v>
      </c>
      <c r="I396" s="420">
        <v>262.5</v>
      </c>
      <c r="J396" s="131"/>
      <c r="AR396" s="908"/>
      <c r="AT396"/>
      <c r="AU396"/>
      <c r="AV396"/>
      <c r="AW396"/>
      <c r="AX396"/>
      <c r="AY396"/>
      <c r="AZ396"/>
      <c r="BA396"/>
      <c r="BB396"/>
      <c r="BC396"/>
      <c r="BD396"/>
      <c r="BE396"/>
      <c r="BF396"/>
      <c r="BG396"/>
      <c r="BH396" s="1083"/>
      <c r="BI396"/>
      <c r="BJ396"/>
      <c r="BK396"/>
    </row>
    <row r="397" spans="2:63" ht="12.75" hidden="1" customHeight="1">
      <c r="B397" s="203"/>
      <c r="C397" s="133"/>
      <c r="D397" s="133"/>
      <c r="E397" s="115"/>
      <c r="F397" s="157" t="s">
        <v>503</v>
      </c>
      <c r="G397" s="1046" t="s">
        <v>668</v>
      </c>
      <c r="H397" s="377" t="s">
        <v>495</v>
      </c>
      <c r="I397" s="420">
        <v>95.55</v>
      </c>
      <c r="J397" s="131"/>
      <c r="AQ397" s="201">
        <v>87</v>
      </c>
      <c r="AR397" s="908">
        <v>0.05</v>
      </c>
      <c r="AS397" s="112">
        <f t="shared" si="50"/>
        <v>91.350000000000009</v>
      </c>
      <c r="AT397"/>
      <c r="AU397"/>
      <c r="AV397"/>
      <c r="AW397"/>
      <c r="AX397"/>
      <c r="AY397"/>
      <c r="AZ397"/>
      <c r="BA397"/>
      <c r="BB397"/>
      <c r="BC397"/>
      <c r="BD397"/>
      <c r="BE397"/>
      <c r="BF397"/>
      <c r="BG397"/>
      <c r="BH397" s="1083"/>
      <c r="BI397"/>
      <c r="BJ397"/>
      <c r="BK397"/>
    </row>
    <row r="398" spans="2:63" ht="12.75" hidden="1" customHeight="1">
      <c r="B398" s="203"/>
      <c r="C398" s="115"/>
      <c r="D398" s="115"/>
      <c r="E398" s="115"/>
      <c r="F398" s="157" t="s">
        <v>367</v>
      </c>
      <c r="G398" s="377">
        <v>13080029</v>
      </c>
      <c r="H398" s="377" t="s">
        <v>529</v>
      </c>
      <c r="I398" s="420">
        <v>69.3</v>
      </c>
      <c r="J398" s="131"/>
      <c r="AQ398" s="201">
        <v>63</v>
      </c>
      <c r="AR398" s="908">
        <v>0.05</v>
      </c>
      <c r="AS398" s="112">
        <f t="shared" si="50"/>
        <v>66.150000000000006</v>
      </c>
      <c r="AT398"/>
      <c r="AU398"/>
      <c r="AV398"/>
      <c r="AW398"/>
      <c r="AX398"/>
      <c r="AY398"/>
      <c r="AZ398"/>
      <c r="BA398"/>
      <c r="BB398"/>
      <c r="BC398"/>
      <c r="BD398"/>
      <c r="BE398"/>
      <c r="BF398"/>
      <c r="BG398"/>
      <c r="BH398" s="1083"/>
      <c r="BI398"/>
      <c r="BJ398"/>
      <c r="BK398"/>
    </row>
    <row r="399" spans="2:63" ht="12.75" hidden="1" customHeight="1">
      <c r="B399" s="203"/>
      <c r="C399" s="115"/>
      <c r="D399" s="115"/>
      <c r="E399" s="115"/>
      <c r="F399" s="157" t="s">
        <v>504</v>
      </c>
      <c r="G399" s="377" t="s">
        <v>530</v>
      </c>
      <c r="H399" s="377" t="s">
        <v>496</v>
      </c>
      <c r="I399" s="420">
        <v>364.35</v>
      </c>
      <c r="J399" s="131"/>
      <c r="AQ399" s="201">
        <v>330</v>
      </c>
      <c r="AR399" s="908">
        <v>0.05</v>
      </c>
      <c r="AS399" s="112">
        <f t="shared" si="50"/>
        <v>346.5</v>
      </c>
      <c r="AT399"/>
      <c r="AU399"/>
      <c r="AV399"/>
      <c r="AW399"/>
      <c r="AX399"/>
      <c r="AY399"/>
      <c r="AZ399"/>
      <c r="BA399"/>
      <c r="BB399"/>
      <c r="BC399"/>
      <c r="BD399"/>
      <c r="BE399"/>
      <c r="BF399"/>
      <c r="BG399"/>
      <c r="BH399" s="1083"/>
      <c r="BI399"/>
      <c r="BJ399"/>
      <c r="BK399"/>
    </row>
    <row r="400" spans="2:63" ht="12.75" hidden="1" customHeight="1">
      <c r="B400" s="203"/>
      <c r="C400" s="115"/>
      <c r="D400" s="115"/>
      <c r="E400" s="115"/>
      <c r="F400" s="157" t="s">
        <v>505</v>
      </c>
      <c r="G400" s="377" t="s">
        <v>531</v>
      </c>
      <c r="H400" s="377" t="s">
        <v>497</v>
      </c>
      <c r="I400" s="420">
        <v>266.7</v>
      </c>
      <c r="J400" s="131"/>
      <c r="AQ400" s="201">
        <v>242</v>
      </c>
      <c r="AR400" s="908">
        <v>0.05</v>
      </c>
      <c r="AS400" s="112">
        <f t="shared" si="50"/>
        <v>254.10000000000002</v>
      </c>
      <c r="AT400"/>
      <c r="AU400"/>
      <c r="AV400"/>
      <c r="AW400"/>
      <c r="AX400"/>
      <c r="AY400"/>
      <c r="AZ400"/>
      <c r="BA400"/>
      <c r="BB400"/>
      <c r="BC400"/>
      <c r="BD400"/>
      <c r="BE400"/>
      <c r="BF400"/>
      <c r="BG400"/>
      <c r="BH400" s="1083"/>
      <c r="BI400"/>
      <c r="BJ400"/>
      <c r="BK400"/>
    </row>
    <row r="401" spans="2:63" ht="12.75" hidden="1" customHeight="1">
      <c r="B401" s="203"/>
      <c r="C401" s="115"/>
      <c r="D401" s="115"/>
      <c r="E401" s="115"/>
      <c r="F401" s="157" t="s">
        <v>506</v>
      </c>
      <c r="G401" s="377" t="s">
        <v>532</v>
      </c>
      <c r="H401" s="377" t="s">
        <v>498</v>
      </c>
      <c r="I401" s="420">
        <v>207.9</v>
      </c>
      <c r="J401" s="131"/>
      <c r="AQ401" s="201">
        <v>189</v>
      </c>
      <c r="AR401" s="908">
        <v>0.05</v>
      </c>
      <c r="AS401" s="112">
        <f t="shared" si="50"/>
        <v>198.45000000000002</v>
      </c>
      <c r="AT401"/>
      <c r="AU401"/>
      <c r="AV401"/>
      <c r="AW401"/>
      <c r="AX401"/>
      <c r="AY401"/>
      <c r="AZ401"/>
      <c r="BA401"/>
      <c r="BB401"/>
      <c r="BC401"/>
      <c r="BD401"/>
      <c r="BE401"/>
      <c r="BF401"/>
      <c r="BG401"/>
      <c r="BH401" s="1083"/>
      <c r="BI401"/>
      <c r="BJ401"/>
      <c r="BK401"/>
    </row>
    <row r="402" spans="2:63" ht="12.75" hidden="1" customHeight="1">
      <c r="B402" s="203"/>
      <c r="C402" s="115"/>
      <c r="D402" s="115"/>
      <c r="E402" s="115"/>
      <c r="F402" s="157" t="s">
        <v>366</v>
      </c>
      <c r="G402" s="377" t="s">
        <v>533</v>
      </c>
      <c r="H402" s="377" t="s">
        <v>534</v>
      </c>
      <c r="I402" s="420">
        <v>52.5</v>
      </c>
      <c r="J402" s="131"/>
      <c r="AQ402" s="201">
        <v>48</v>
      </c>
      <c r="AR402" s="908">
        <v>0.05</v>
      </c>
      <c r="AS402" s="112">
        <f t="shared" si="50"/>
        <v>50.400000000000006</v>
      </c>
      <c r="AT402"/>
      <c r="AU402"/>
      <c r="AV402"/>
      <c r="AW402"/>
      <c r="AX402"/>
      <c r="AY402"/>
      <c r="AZ402"/>
      <c r="BA402"/>
      <c r="BB402"/>
      <c r="BC402"/>
      <c r="BD402"/>
      <c r="BE402"/>
      <c r="BF402"/>
      <c r="BG402"/>
      <c r="BH402" s="1083"/>
      <c r="BI402"/>
      <c r="BJ402"/>
      <c r="BK402"/>
    </row>
    <row r="403" spans="2:63" ht="12.75" hidden="1" customHeight="1">
      <c r="B403" s="203"/>
      <c r="C403" s="115"/>
      <c r="D403" s="115"/>
      <c r="E403" s="115"/>
      <c r="F403" s="157" t="s">
        <v>365</v>
      </c>
      <c r="G403" s="377" t="s">
        <v>535</v>
      </c>
      <c r="H403" s="377" t="s">
        <v>534</v>
      </c>
      <c r="I403" s="420">
        <v>16.8</v>
      </c>
      <c r="J403" s="131"/>
      <c r="AQ403" s="201">
        <v>15</v>
      </c>
      <c r="AR403" s="908">
        <v>0.05</v>
      </c>
      <c r="AS403" s="112">
        <f t="shared" si="50"/>
        <v>15.75</v>
      </c>
      <c r="AT403"/>
      <c r="AU403"/>
      <c r="AV403"/>
      <c r="AW403"/>
      <c r="AX403"/>
      <c r="AY403"/>
      <c r="AZ403"/>
      <c r="BA403"/>
      <c r="BB403"/>
      <c r="BC403"/>
      <c r="BD403"/>
      <c r="BE403"/>
      <c r="BF403"/>
      <c r="BG403"/>
      <c r="BH403" s="1083"/>
      <c r="BI403"/>
      <c r="BJ403"/>
      <c r="BK403"/>
    </row>
    <row r="404" spans="2:63" ht="12.75" hidden="1" customHeight="1">
      <c r="B404" s="203"/>
      <c r="C404" s="115"/>
      <c r="D404" s="115"/>
      <c r="E404" s="115"/>
      <c r="F404" s="157" t="s">
        <v>364</v>
      </c>
      <c r="G404" s="377">
        <v>13110001</v>
      </c>
      <c r="H404" s="377">
        <v>16304</v>
      </c>
      <c r="I404" s="420">
        <v>1137.1500000000001</v>
      </c>
      <c r="J404" s="131"/>
      <c r="AQ404" s="201">
        <v>1031</v>
      </c>
      <c r="AR404" s="908">
        <v>0.05</v>
      </c>
      <c r="AS404" s="112">
        <f t="shared" si="50"/>
        <v>1082.55</v>
      </c>
      <c r="AT404"/>
      <c r="AU404"/>
      <c r="AV404"/>
      <c r="AW404"/>
      <c r="AX404"/>
      <c r="AY404"/>
      <c r="AZ404"/>
      <c r="BA404"/>
      <c r="BB404"/>
      <c r="BC404"/>
      <c r="BD404"/>
      <c r="BE404"/>
      <c r="BF404"/>
      <c r="BG404"/>
      <c r="BH404" s="1083"/>
      <c r="BI404"/>
      <c r="BJ404"/>
      <c r="BK404"/>
    </row>
    <row r="405" spans="2:63" ht="12.75" hidden="1" customHeight="1">
      <c r="B405" s="203"/>
      <c r="C405" s="115"/>
      <c r="D405" s="115"/>
      <c r="E405" s="115"/>
      <c r="F405" s="157" t="s">
        <v>490</v>
      </c>
      <c r="G405" s="377"/>
      <c r="H405" s="377" t="s">
        <v>574</v>
      </c>
      <c r="I405" s="420">
        <v>1438.5</v>
      </c>
      <c r="J405" s="131"/>
      <c r="AQ405" s="201">
        <v>1370</v>
      </c>
      <c r="AR405" s="908"/>
      <c r="AS405" s="112">
        <f t="shared" si="50"/>
        <v>1370</v>
      </c>
      <c r="AT405"/>
      <c r="AU405"/>
      <c r="AV405"/>
      <c r="AW405"/>
      <c r="AX405"/>
      <c r="AY405"/>
      <c r="AZ405"/>
      <c r="BA405"/>
      <c r="BB405"/>
      <c r="BC405"/>
      <c r="BD405"/>
      <c r="BE405"/>
      <c r="BF405"/>
      <c r="BG405"/>
      <c r="BH405" s="1083"/>
      <c r="BI405"/>
      <c r="BJ405"/>
      <c r="BK405"/>
    </row>
    <row r="406" spans="2:63" ht="12.75" hidden="1" customHeight="1">
      <c r="B406" s="203"/>
      <c r="C406" s="115"/>
      <c r="D406" s="115"/>
      <c r="E406" s="115"/>
      <c r="F406" s="157" t="s">
        <v>1028</v>
      </c>
      <c r="G406" s="377" t="s">
        <v>1025</v>
      </c>
      <c r="H406" s="377"/>
      <c r="I406" s="420">
        <v>2619.75</v>
      </c>
      <c r="J406" s="131"/>
      <c r="AQ406" s="201">
        <v>2495</v>
      </c>
      <c r="AR406" s="908"/>
      <c r="AS406" s="112">
        <f t="shared" si="50"/>
        <v>2495</v>
      </c>
      <c r="AT406"/>
      <c r="AU406"/>
      <c r="AV406"/>
      <c r="AW406"/>
      <c r="AX406"/>
      <c r="AY406"/>
      <c r="AZ406"/>
      <c r="BA406"/>
      <c r="BB406"/>
      <c r="BC406"/>
      <c r="BD406"/>
      <c r="BE406"/>
      <c r="BF406"/>
      <c r="BG406"/>
      <c r="BH406" s="1083"/>
      <c r="BI406"/>
      <c r="BJ406"/>
      <c r="BK406"/>
    </row>
    <row r="407" spans="2:63" ht="12.75" hidden="1" customHeight="1">
      <c r="B407" s="203"/>
      <c r="C407" s="115"/>
      <c r="D407" s="115"/>
      <c r="E407" s="115"/>
      <c r="F407" s="157" t="s">
        <v>1027</v>
      </c>
      <c r="G407" s="887" t="s">
        <v>1026</v>
      </c>
      <c r="H407" s="377"/>
      <c r="I407" s="420">
        <v>3092.25</v>
      </c>
      <c r="J407" s="131"/>
      <c r="AQ407" s="201">
        <v>2945</v>
      </c>
      <c r="AR407" s="908"/>
      <c r="AS407" s="112">
        <f t="shared" si="50"/>
        <v>2945</v>
      </c>
      <c r="AT407"/>
      <c r="AU407"/>
      <c r="AV407"/>
      <c r="AW407"/>
      <c r="AX407"/>
      <c r="AY407"/>
      <c r="AZ407"/>
      <c r="BA407"/>
      <c r="BB407"/>
      <c r="BC407"/>
      <c r="BD407"/>
      <c r="BE407"/>
      <c r="BF407"/>
      <c r="BG407"/>
      <c r="BH407" s="1083"/>
      <c r="BI407"/>
      <c r="BJ407"/>
      <c r="BK407"/>
    </row>
    <row r="408" spans="2:63" ht="12.75" hidden="1" customHeight="1">
      <c r="B408" s="203"/>
      <c r="C408" s="115"/>
      <c r="D408" s="115"/>
      <c r="E408" s="115"/>
      <c r="F408" s="109"/>
      <c r="G408" s="28"/>
      <c r="H408" s="109"/>
      <c r="I408" s="335"/>
      <c r="J408" s="131"/>
      <c r="AS408"/>
      <c r="AT408"/>
      <c r="AU408"/>
      <c r="AV408"/>
      <c r="AW408"/>
      <c r="AX408"/>
      <c r="AY408"/>
      <c r="AZ408"/>
      <c r="BA408"/>
      <c r="BB408"/>
      <c r="BC408"/>
      <c r="BD408"/>
      <c r="BE408"/>
      <c r="BF408"/>
      <c r="BG408"/>
      <c r="BH408" s="1082"/>
      <c r="BI408"/>
      <c r="BJ408"/>
      <c r="BK408"/>
    </row>
    <row r="409" spans="2:63" ht="12.75" hidden="1" customHeight="1">
      <c r="B409" s="203"/>
      <c r="C409" s="115"/>
      <c r="D409" s="115"/>
      <c r="E409" s="115"/>
      <c r="F409" s="109"/>
      <c r="G409" s="28"/>
      <c r="H409" s="109"/>
      <c r="I409" s="335"/>
      <c r="J409" s="131"/>
      <c r="AS409"/>
      <c r="AT409"/>
      <c r="AU409"/>
      <c r="AV409"/>
      <c r="AW409"/>
      <c r="AX409"/>
      <c r="AY409"/>
      <c r="AZ409"/>
      <c r="BA409"/>
      <c r="BB409"/>
      <c r="BC409"/>
      <c r="BD409"/>
      <c r="BE409"/>
      <c r="BF409"/>
      <c r="BG409"/>
      <c r="BH409" s="1082"/>
      <c r="BI409"/>
      <c r="BJ409"/>
      <c r="BK409"/>
    </row>
    <row r="410" spans="2:63" ht="12.75" hidden="1" customHeight="1">
      <c r="B410" s="203"/>
      <c r="C410" s="115"/>
      <c r="D410" s="115"/>
      <c r="E410" s="115"/>
      <c r="F410" s="109"/>
      <c r="G410" s="28"/>
      <c r="H410" s="109"/>
      <c r="I410" s="335"/>
      <c r="J410" s="131"/>
      <c r="AS410"/>
      <c r="AT410"/>
      <c r="AU410"/>
      <c r="AV410"/>
      <c r="AW410"/>
      <c r="AX410"/>
      <c r="AY410"/>
      <c r="AZ410"/>
      <c r="BA410"/>
      <c r="BB410"/>
      <c r="BC410"/>
      <c r="BD410"/>
      <c r="BE410"/>
      <c r="BF410"/>
      <c r="BG410"/>
      <c r="BH410" s="1082"/>
      <c r="BI410"/>
      <c r="BJ410"/>
      <c r="BK410"/>
    </row>
    <row r="411" spans="2:63" ht="12" hidden="1" customHeight="1">
      <c r="B411" s="203"/>
      <c r="C411" s="132"/>
      <c r="D411" s="132" t="s">
        <v>27</v>
      </c>
      <c r="E411" s="115"/>
      <c r="F411" s="109"/>
      <c r="G411" s="28"/>
      <c r="H411" s="109"/>
      <c r="I411" s="335"/>
      <c r="J411" s="131"/>
      <c r="AS411"/>
      <c r="AT411"/>
      <c r="AU411"/>
      <c r="AV411"/>
      <c r="AW411"/>
      <c r="AX411"/>
      <c r="AY411"/>
      <c r="AZ411"/>
      <c r="BA411"/>
      <c r="BB411"/>
      <c r="BC411"/>
      <c r="BD411"/>
      <c r="BE411"/>
      <c r="BF411"/>
      <c r="BG411"/>
      <c r="BH411" s="1082"/>
      <c r="BI411"/>
      <c r="BJ411"/>
      <c r="BK411"/>
    </row>
    <row r="412" spans="2:63" ht="12" hidden="1" customHeight="1">
      <c r="B412" s="203"/>
      <c r="C412" s="132"/>
      <c r="D412" s="132"/>
      <c r="E412" s="115"/>
      <c r="F412" s="157" t="s">
        <v>87</v>
      </c>
      <c r="G412" s="376">
        <v>11050023</v>
      </c>
      <c r="H412" s="376" t="s">
        <v>88</v>
      </c>
      <c r="I412" s="402">
        <v>417</v>
      </c>
      <c r="J412" s="131"/>
      <c r="AQ412" s="201">
        <v>397</v>
      </c>
      <c r="AR412" s="908">
        <v>0.05</v>
      </c>
      <c r="AS412" s="112">
        <f t="shared" ref="AS412:AS420" si="51">AQ412*(1+AR412)</f>
        <v>416.85</v>
      </c>
      <c r="AT412"/>
      <c r="AU412"/>
      <c r="AV412"/>
      <c r="AW412"/>
      <c r="AX412"/>
      <c r="AY412"/>
      <c r="AZ412"/>
      <c r="BA412"/>
      <c r="BB412"/>
      <c r="BC412"/>
      <c r="BD412"/>
      <c r="BE412"/>
      <c r="BF412"/>
      <c r="BG412"/>
      <c r="BH412" s="1083">
        <f t="shared" ref="BH412:BH420" si="52">I412*1.05</f>
        <v>437.85</v>
      </c>
      <c r="BI412"/>
      <c r="BJ412"/>
      <c r="BK412"/>
    </row>
    <row r="413" spans="2:63" ht="12.75" hidden="1" customHeight="1">
      <c r="B413" s="203"/>
      <c r="C413" s="133"/>
      <c r="D413" s="133"/>
      <c r="E413" s="115"/>
      <c r="F413" s="157" t="s">
        <v>98</v>
      </c>
      <c r="G413" s="376">
        <v>11990007</v>
      </c>
      <c r="H413" s="376">
        <v>5318678</v>
      </c>
      <c r="I413" s="420">
        <v>100</v>
      </c>
      <c r="J413" s="131"/>
      <c r="AQ413" s="201">
        <v>95</v>
      </c>
      <c r="AR413" s="908">
        <v>0.05</v>
      </c>
      <c r="AS413" s="112">
        <f t="shared" si="51"/>
        <v>99.75</v>
      </c>
      <c r="AT413"/>
      <c r="AU413"/>
      <c r="AV413"/>
      <c r="AW413"/>
      <c r="AX413"/>
      <c r="AY413"/>
      <c r="AZ413"/>
      <c r="BA413"/>
      <c r="BB413"/>
      <c r="BC413"/>
      <c r="BD413"/>
      <c r="BE413"/>
      <c r="BF413"/>
      <c r="BG413"/>
      <c r="BH413" s="1083">
        <f t="shared" si="52"/>
        <v>105</v>
      </c>
      <c r="BI413"/>
      <c r="BJ413"/>
      <c r="BK413"/>
    </row>
    <row r="414" spans="2:63" ht="12.75" hidden="1" customHeight="1">
      <c r="B414" s="203"/>
      <c r="C414" s="133"/>
      <c r="D414" s="133"/>
      <c r="E414" s="115"/>
      <c r="F414" s="157" t="s">
        <v>89</v>
      </c>
      <c r="G414" s="376" t="s">
        <v>91</v>
      </c>
      <c r="H414" s="376" t="s">
        <v>92</v>
      </c>
      <c r="I414" s="420">
        <v>74</v>
      </c>
      <c r="J414" s="131"/>
      <c r="AQ414" s="201">
        <v>70</v>
      </c>
      <c r="AR414" s="908">
        <v>0.05</v>
      </c>
      <c r="AS414" s="112">
        <f t="shared" si="51"/>
        <v>73.5</v>
      </c>
      <c r="AT414"/>
      <c r="AU414"/>
      <c r="AV414"/>
      <c r="AW414"/>
      <c r="AX414"/>
      <c r="AY414"/>
      <c r="AZ414"/>
      <c r="BA414"/>
      <c r="BB414"/>
      <c r="BC414"/>
      <c r="BD414"/>
      <c r="BE414"/>
      <c r="BF414"/>
      <c r="BG414"/>
      <c r="BH414" s="1083">
        <f t="shared" si="52"/>
        <v>77.7</v>
      </c>
      <c r="BI414"/>
      <c r="BJ414"/>
      <c r="BK414"/>
    </row>
    <row r="415" spans="2:63" s="113" customFormat="1" ht="12.75" hidden="1" customHeight="1">
      <c r="B415" s="203"/>
      <c r="C415" s="133"/>
      <c r="D415" s="133"/>
      <c r="E415" s="115"/>
      <c r="F415" s="157" t="s">
        <v>90</v>
      </c>
      <c r="G415" s="377" t="s">
        <v>94</v>
      </c>
      <c r="H415" s="377" t="s">
        <v>93</v>
      </c>
      <c r="I415" s="420">
        <v>210</v>
      </c>
      <c r="J415" s="131"/>
      <c r="K415" s="201"/>
      <c r="L415" s="201"/>
      <c r="M415" s="201"/>
      <c r="N415" s="256"/>
      <c r="O415" s="256"/>
      <c r="P415" s="256"/>
      <c r="Q415" s="256"/>
      <c r="R415" s="256"/>
      <c r="S415" s="256"/>
      <c r="T415" s="256"/>
      <c r="U415" s="256"/>
      <c r="V415" s="256"/>
      <c r="W415" s="256"/>
      <c r="X415" s="256"/>
      <c r="Y415" s="256"/>
      <c r="Z415" s="256"/>
      <c r="AA415" s="256"/>
      <c r="AB415" s="256"/>
      <c r="AC415" s="256"/>
      <c r="AD415" s="256"/>
      <c r="AE415" s="256"/>
      <c r="AF415" s="256"/>
      <c r="AG415" s="256"/>
      <c r="AH415" s="256"/>
      <c r="AI415" s="256"/>
      <c r="AJ415" s="256"/>
      <c r="AK415" s="256"/>
      <c r="AL415" s="256"/>
      <c r="AM415" s="256"/>
      <c r="AN415" s="256"/>
      <c r="AO415" s="256"/>
      <c r="AP415" s="256"/>
      <c r="AQ415" s="256">
        <v>200</v>
      </c>
      <c r="AR415" s="908">
        <v>0.05</v>
      </c>
      <c r="AS415" s="112">
        <f t="shared" si="51"/>
        <v>210</v>
      </c>
      <c r="AT415" s="1"/>
      <c r="AU415" s="1"/>
      <c r="AV415" s="1"/>
      <c r="AW415" s="1"/>
      <c r="AX415" s="1"/>
      <c r="AY415" s="1"/>
      <c r="AZ415" s="1"/>
      <c r="BA415" s="1"/>
      <c r="BB415" s="1"/>
      <c r="BC415" s="1"/>
      <c r="BD415" s="1"/>
      <c r="BE415" s="1"/>
      <c r="BF415" s="1"/>
      <c r="BG415" s="1"/>
      <c r="BH415" s="1083">
        <f t="shared" si="52"/>
        <v>220.5</v>
      </c>
      <c r="BI415" s="1"/>
      <c r="BJ415" s="1"/>
      <c r="BK415" s="1"/>
    </row>
    <row r="416" spans="2:63" s="113" customFormat="1" ht="12.75" hidden="1" customHeight="1">
      <c r="B416" s="203"/>
      <c r="C416" s="133"/>
      <c r="D416" s="133"/>
      <c r="E416" s="115"/>
      <c r="F416" s="154"/>
      <c r="G416" s="377"/>
      <c r="H416" s="425"/>
      <c r="I416" s="402"/>
      <c r="J416" s="131"/>
      <c r="K416" s="201"/>
      <c r="L416" s="201"/>
      <c r="M416" s="201"/>
      <c r="N416" s="256"/>
      <c r="O416" s="256"/>
      <c r="P416" s="256"/>
      <c r="Q416" s="256"/>
      <c r="R416" s="256"/>
      <c r="S416" s="256"/>
      <c r="T416" s="256"/>
      <c r="U416" s="256"/>
      <c r="V416" s="256"/>
      <c r="W416" s="256"/>
      <c r="X416" s="256"/>
      <c r="Y416" s="256"/>
      <c r="Z416" s="256"/>
      <c r="AA416" s="256"/>
      <c r="AB416" s="256"/>
      <c r="AC416" s="256"/>
      <c r="AD416" s="256"/>
      <c r="AE416" s="256"/>
      <c r="AF416" s="256"/>
      <c r="AG416" s="256"/>
      <c r="AH416" s="256"/>
      <c r="AI416" s="256"/>
      <c r="AJ416" s="256"/>
      <c r="AK416" s="256"/>
      <c r="AL416" s="256"/>
      <c r="AM416" s="256"/>
      <c r="AN416" s="256"/>
      <c r="AO416" s="256"/>
      <c r="AP416" s="256"/>
      <c r="AQ416" s="256"/>
      <c r="AR416" s="908">
        <v>0.05</v>
      </c>
      <c r="AS416" s="112">
        <f t="shared" si="51"/>
        <v>0</v>
      </c>
      <c r="AT416" s="1"/>
      <c r="AU416" s="1"/>
      <c r="AV416" s="1"/>
      <c r="AW416" s="1"/>
      <c r="AX416" s="1"/>
      <c r="AY416" s="1"/>
      <c r="AZ416" s="1"/>
      <c r="BA416" s="1"/>
      <c r="BB416" s="1"/>
      <c r="BC416" s="1"/>
      <c r="BD416" s="1"/>
      <c r="BE416" s="1"/>
      <c r="BF416" s="1"/>
      <c r="BG416" s="1"/>
      <c r="BH416" s="1083">
        <f t="shared" si="52"/>
        <v>0</v>
      </c>
      <c r="BI416" s="1"/>
      <c r="BJ416" s="1"/>
      <c r="BK416" s="1"/>
    </row>
    <row r="417" spans="2:63" s="113" customFormat="1" ht="12.75" hidden="1" customHeight="1">
      <c r="B417" s="203"/>
      <c r="C417" s="133"/>
      <c r="D417" s="133"/>
      <c r="E417" s="115"/>
      <c r="F417" s="153"/>
      <c r="G417" s="426"/>
      <c r="H417" s="427"/>
      <c r="I417" s="421"/>
      <c r="J417" s="131"/>
      <c r="K417" s="201"/>
      <c r="L417" s="201"/>
      <c r="M417" s="201"/>
      <c r="N417" s="256"/>
      <c r="O417" s="256"/>
      <c r="P417" s="256"/>
      <c r="Q417" s="256"/>
      <c r="R417" s="256"/>
      <c r="S417" s="256"/>
      <c r="T417" s="256"/>
      <c r="U417" s="256"/>
      <c r="V417" s="256"/>
      <c r="W417" s="256"/>
      <c r="X417" s="256"/>
      <c r="Y417" s="256"/>
      <c r="Z417" s="256"/>
      <c r="AA417" s="256"/>
      <c r="AB417" s="256"/>
      <c r="AC417" s="256"/>
      <c r="AD417" s="256"/>
      <c r="AE417" s="256"/>
      <c r="AF417" s="256"/>
      <c r="AG417" s="256"/>
      <c r="AH417" s="256"/>
      <c r="AI417" s="256"/>
      <c r="AJ417" s="256"/>
      <c r="AK417" s="256"/>
      <c r="AL417" s="256"/>
      <c r="AM417" s="256"/>
      <c r="AN417" s="256"/>
      <c r="AO417" s="256"/>
      <c r="AP417" s="256"/>
      <c r="AQ417" s="256"/>
      <c r="AR417" s="908">
        <v>0.05</v>
      </c>
      <c r="AS417" s="112">
        <f t="shared" si="51"/>
        <v>0</v>
      </c>
      <c r="AT417" s="1"/>
      <c r="AU417" s="1"/>
      <c r="AV417" s="1"/>
      <c r="AW417" s="1"/>
      <c r="AX417" s="1"/>
      <c r="AY417" s="1"/>
      <c r="AZ417" s="1"/>
      <c r="BA417" s="1"/>
      <c r="BB417" s="1"/>
      <c r="BC417" s="1"/>
      <c r="BD417" s="1"/>
      <c r="BE417" s="1"/>
      <c r="BF417" s="1"/>
      <c r="BG417" s="1"/>
      <c r="BH417" s="1083">
        <f t="shared" si="52"/>
        <v>0</v>
      </c>
      <c r="BI417" s="1"/>
      <c r="BJ417" s="1"/>
      <c r="BK417" s="1"/>
    </row>
    <row r="418" spans="2:63" s="113" customFormat="1" ht="12.75" hidden="1" customHeight="1">
      <c r="B418" s="127"/>
      <c r="C418" s="133"/>
      <c r="D418" s="133"/>
      <c r="E418" s="115"/>
      <c r="F418" s="157" t="s">
        <v>100</v>
      </c>
      <c r="G418" s="376">
        <v>13120007</v>
      </c>
      <c r="H418" s="376" t="s">
        <v>99</v>
      </c>
      <c r="I418" s="402">
        <v>683</v>
      </c>
      <c r="J418" s="131"/>
      <c r="K418" s="201"/>
      <c r="L418" s="201"/>
      <c r="M418" s="201"/>
      <c r="N418" s="256"/>
      <c r="O418" s="256"/>
      <c r="P418" s="256"/>
      <c r="Q418" s="256"/>
      <c r="R418" s="256"/>
      <c r="S418" s="256"/>
      <c r="T418" s="256"/>
      <c r="U418" s="256"/>
      <c r="V418" s="256"/>
      <c r="W418" s="256"/>
      <c r="X418" s="256"/>
      <c r="Y418" s="256"/>
      <c r="Z418" s="256"/>
      <c r="AA418" s="256"/>
      <c r="AB418" s="256"/>
      <c r="AC418" s="256"/>
      <c r="AD418" s="256"/>
      <c r="AE418" s="256"/>
      <c r="AF418" s="256"/>
      <c r="AG418" s="256"/>
      <c r="AH418" s="256"/>
      <c r="AI418" s="256"/>
      <c r="AJ418" s="256"/>
      <c r="AK418" s="256"/>
      <c r="AL418" s="256"/>
      <c r="AM418" s="256"/>
      <c r="AN418" s="256"/>
      <c r="AO418" s="256"/>
      <c r="AP418" s="256"/>
      <c r="AQ418" s="256">
        <v>650</v>
      </c>
      <c r="AR418" s="908">
        <v>0.05</v>
      </c>
      <c r="AS418" s="112">
        <f t="shared" si="51"/>
        <v>682.5</v>
      </c>
      <c r="AT418" s="1"/>
      <c r="AU418" s="1"/>
      <c r="AV418" s="1"/>
      <c r="AW418" s="1"/>
      <c r="AX418" s="1"/>
      <c r="AY418" s="1"/>
      <c r="AZ418" s="1"/>
      <c r="BA418" s="1"/>
      <c r="BB418" s="1"/>
      <c r="BC418" s="1"/>
      <c r="BD418" s="1"/>
      <c r="BE418" s="1"/>
      <c r="BF418" s="1"/>
      <c r="BG418" s="1"/>
      <c r="BH418" s="1083">
        <f t="shared" si="52"/>
        <v>717.15</v>
      </c>
      <c r="BI418" s="1"/>
      <c r="BJ418" s="1"/>
      <c r="BK418" s="1"/>
    </row>
    <row r="419" spans="2:63" s="113" customFormat="1" ht="12.75" hidden="1" customHeight="1">
      <c r="B419" s="127"/>
      <c r="C419" s="133"/>
      <c r="D419" s="133"/>
      <c r="E419" s="115"/>
      <c r="F419" s="157" t="s">
        <v>396</v>
      </c>
      <c r="G419" s="376">
        <v>13120016</v>
      </c>
      <c r="H419" s="376" t="s">
        <v>544</v>
      </c>
      <c r="I419" s="402">
        <v>268</v>
      </c>
      <c r="J419" s="131"/>
      <c r="K419" s="201"/>
      <c r="L419" s="201"/>
      <c r="M419" s="201"/>
      <c r="N419" s="256"/>
      <c r="O419" s="256"/>
      <c r="P419" s="256"/>
      <c r="Q419" s="256"/>
      <c r="R419" s="256"/>
      <c r="S419" s="256"/>
      <c r="T419" s="256"/>
      <c r="U419" s="256"/>
      <c r="V419" s="256"/>
      <c r="W419" s="256"/>
      <c r="X419" s="256"/>
      <c r="Y419" s="256"/>
      <c r="Z419" s="256"/>
      <c r="AA419" s="256"/>
      <c r="AB419" s="256"/>
      <c r="AC419" s="256"/>
      <c r="AD419" s="256"/>
      <c r="AE419" s="256"/>
      <c r="AF419" s="256"/>
      <c r="AG419" s="256"/>
      <c r="AH419" s="256"/>
      <c r="AI419" s="256"/>
      <c r="AJ419" s="256"/>
      <c r="AK419" s="256"/>
      <c r="AL419" s="256"/>
      <c r="AM419" s="256"/>
      <c r="AN419" s="256"/>
      <c r="AO419" s="256"/>
      <c r="AP419" s="256"/>
      <c r="AQ419" s="256">
        <v>255</v>
      </c>
      <c r="AR419" s="908">
        <v>0.05</v>
      </c>
      <c r="AS419" s="112">
        <f t="shared" si="51"/>
        <v>267.75</v>
      </c>
      <c r="AT419" s="1"/>
      <c r="AU419" s="1"/>
      <c r="AV419" s="1"/>
      <c r="AW419" s="1"/>
      <c r="AX419" s="1"/>
      <c r="AY419" s="1"/>
      <c r="AZ419" s="1"/>
      <c r="BA419" s="1"/>
      <c r="BB419" s="1"/>
      <c r="BC419" s="1"/>
      <c r="BD419" s="1"/>
      <c r="BE419" s="1"/>
      <c r="BF419" s="1"/>
      <c r="BG419" s="1"/>
      <c r="BH419" s="1083">
        <f t="shared" si="52"/>
        <v>281.40000000000003</v>
      </c>
      <c r="BI419" s="1"/>
      <c r="BJ419" s="1"/>
      <c r="BK419" s="1"/>
    </row>
    <row r="420" spans="2:63" s="113" customFormat="1" ht="12.75" hidden="1" customHeight="1">
      <c r="B420" s="127"/>
      <c r="C420" s="133"/>
      <c r="D420" s="133"/>
      <c r="E420" s="115"/>
      <c r="F420" s="157"/>
      <c r="G420" s="376"/>
      <c r="H420" s="376"/>
      <c r="I420" s="402"/>
      <c r="J420" s="131"/>
      <c r="K420" s="201"/>
      <c r="L420" s="201"/>
      <c r="M420" s="201"/>
      <c r="N420" s="256"/>
      <c r="O420" s="256"/>
      <c r="P420" s="256"/>
      <c r="Q420" s="256"/>
      <c r="R420" s="256"/>
      <c r="S420" s="256"/>
      <c r="T420" s="256"/>
      <c r="U420" s="256"/>
      <c r="V420" s="256"/>
      <c r="W420" s="256"/>
      <c r="X420" s="256"/>
      <c r="Y420" s="256"/>
      <c r="Z420" s="256"/>
      <c r="AA420" s="256"/>
      <c r="AB420" s="256"/>
      <c r="AC420" s="256"/>
      <c r="AD420" s="256"/>
      <c r="AE420" s="256"/>
      <c r="AF420" s="256"/>
      <c r="AG420" s="256"/>
      <c r="AH420" s="256"/>
      <c r="AI420" s="256"/>
      <c r="AJ420" s="256"/>
      <c r="AK420" s="256"/>
      <c r="AL420" s="256"/>
      <c r="AM420" s="256"/>
      <c r="AN420" s="256"/>
      <c r="AO420" s="256"/>
      <c r="AP420" s="256"/>
      <c r="AQ420" s="256"/>
      <c r="AR420" s="908">
        <v>0.05</v>
      </c>
      <c r="AS420" s="112">
        <f t="shared" si="51"/>
        <v>0</v>
      </c>
      <c r="AT420" s="1"/>
      <c r="AU420" s="1"/>
      <c r="AV420" s="1"/>
      <c r="AW420" s="1"/>
      <c r="AX420" s="1"/>
      <c r="AY420" s="1"/>
      <c r="AZ420" s="1"/>
      <c r="BA420" s="1"/>
      <c r="BB420" s="1"/>
      <c r="BC420" s="1"/>
      <c r="BD420" s="1"/>
      <c r="BE420" s="1"/>
      <c r="BF420" s="1"/>
      <c r="BG420" s="1"/>
      <c r="BH420" s="1083">
        <f t="shared" si="52"/>
        <v>0</v>
      </c>
      <c r="BI420" s="1"/>
      <c r="BJ420" s="1"/>
      <c r="BK420" s="1"/>
    </row>
    <row r="421" spans="2:63" s="113" customFormat="1" ht="12.75" hidden="1" customHeight="1">
      <c r="B421" s="127"/>
      <c r="C421" s="133"/>
      <c r="D421" s="133"/>
      <c r="E421" s="115"/>
      <c r="F421" s="153"/>
      <c r="G421" s="426"/>
      <c r="H421" s="427"/>
      <c r="I421" s="334"/>
      <c r="J421" s="131"/>
      <c r="K421" s="201"/>
      <c r="L421" s="201"/>
      <c r="M421" s="201"/>
      <c r="N421" s="256"/>
      <c r="O421" s="256"/>
      <c r="P421" s="256"/>
      <c r="Q421" s="256"/>
      <c r="R421" s="256"/>
      <c r="S421" s="256"/>
      <c r="T421" s="256"/>
      <c r="U421" s="256"/>
      <c r="V421" s="256"/>
      <c r="W421" s="256"/>
      <c r="X421" s="256"/>
      <c r="Y421" s="256"/>
      <c r="Z421" s="256"/>
      <c r="AA421" s="256"/>
      <c r="AB421" s="256"/>
      <c r="AC421" s="256"/>
      <c r="AD421" s="256"/>
      <c r="AE421" s="256"/>
      <c r="AF421" s="256"/>
      <c r="AG421" s="256"/>
      <c r="AH421" s="256"/>
      <c r="AI421" s="256"/>
      <c r="AJ421" s="256"/>
      <c r="AK421" s="256"/>
      <c r="AL421" s="256"/>
      <c r="AM421" s="256"/>
      <c r="AN421" s="256"/>
      <c r="AO421" s="256"/>
      <c r="AP421" s="256"/>
      <c r="AQ421" s="256"/>
      <c r="AR421" s="256"/>
      <c r="AS421" s="1"/>
      <c r="AT421" s="1"/>
      <c r="AU421" s="1"/>
      <c r="AV421" s="1"/>
      <c r="AW421" s="1"/>
      <c r="AX421" s="1"/>
      <c r="AY421" s="1"/>
      <c r="AZ421" s="1"/>
      <c r="BA421" s="1"/>
      <c r="BB421" s="1"/>
      <c r="BC421" s="1"/>
      <c r="BD421" s="1"/>
      <c r="BE421" s="1"/>
      <c r="BF421" s="1"/>
      <c r="BG421" s="1"/>
      <c r="BH421" s="992"/>
      <c r="BI421" s="1"/>
      <c r="BJ421" s="1"/>
      <c r="BK421" s="1"/>
    </row>
    <row r="422" spans="2:63" s="113" customFormat="1" ht="12.75" hidden="1" customHeight="1">
      <c r="B422" s="127"/>
      <c r="C422" s="133"/>
      <c r="D422" s="133"/>
      <c r="E422" s="115"/>
      <c r="F422" s="153"/>
      <c r="G422" s="426"/>
      <c r="H422" s="427"/>
      <c r="I422" s="334"/>
      <c r="J422" s="131"/>
      <c r="K422" s="201"/>
      <c r="L422" s="201"/>
      <c r="M422" s="201"/>
      <c r="N422" s="256"/>
      <c r="O422" s="256"/>
      <c r="P422" s="256"/>
      <c r="Q422" s="256"/>
      <c r="R422" s="256"/>
      <c r="S422" s="256"/>
      <c r="T422" s="256"/>
      <c r="U422" s="256"/>
      <c r="V422" s="256"/>
      <c r="W422" s="256"/>
      <c r="X422" s="256"/>
      <c r="Y422" s="256"/>
      <c r="Z422" s="256"/>
      <c r="AA422" s="256"/>
      <c r="AB422" s="256"/>
      <c r="AC422" s="256"/>
      <c r="AD422" s="256"/>
      <c r="AE422" s="256"/>
      <c r="AF422" s="256"/>
      <c r="AG422" s="256"/>
      <c r="AH422" s="256"/>
      <c r="AI422" s="256"/>
      <c r="AJ422" s="256"/>
      <c r="AK422" s="256"/>
      <c r="AL422" s="256"/>
      <c r="AM422" s="256"/>
      <c r="AN422" s="256"/>
      <c r="AO422" s="256"/>
      <c r="AP422" s="256"/>
      <c r="AQ422" s="256"/>
      <c r="AR422" s="256"/>
      <c r="AS422" s="1"/>
      <c r="AT422" s="1"/>
      <c r="AU422" s="1"/>
      <c r="AV422" s="1"/>
      <c r="AW422" s="1"/>
      <c r="AX422" s="1"/>
      <c r="AY422" s="1"/>
      <c r="AZ422" s="1"/>
      <c r="BA422" s="1"/>
      <c r="BB422" s="1"/>
      <c r="BC422" s="1"/>
      <c r="BD422" s="1"/>
      <c r="BE422" s="1"/>
      <c r="BF422" s="1"/>
      <c r="BG422" s="1"/>
      <c r="BH422" s="992"/>
      <c r="BI422" s="1"/>
      <c r="BJ422" s="1"/>
      <c r="BK422" s="1"/>
    </row>
    <row r="423" spans="2:63" ht="12.75" hidden="1" customHeight="1">
      <c r="B423" s="127"/>
      <c r="C423" s="115"/>
      <c r="D423" s="115"/>
      <c r="E423" s="115"/>
      <c r="F423" s="109"/>
      <c r="G423" s="426"/>
      <c r="H423" s="427"/>
      <c r="I423" s="335"/>
      <c r="J423" s="131"/>
      <c r="L423" s="1647" t="s">
        <v>536</v>
      </c>
      <c r="M423" s="1647"/>
      <c r="N423" s="1647"/>
      <c r="O423" s="1647" t="s">
        <v>537</v>
      </c>
      <c r="P423" s="1647"/>
      <c r="Q423" s="1647"/>
      <c r="AS423"/>
      <c r="AT423"/>
      <c r="AU423"/>
      <c r="AV423"/>
      <c r="AW423"/>
      <c r="AX423"/>
      <c r="AY423"/>
      <c r="AZ423"/>
      <c r="BA423"/>
      <c r="BB423"/>
      <c r="BC423"/>
      <c r="BD423"/>
      <c r="BE423"/>
      <c r="BF423"/>
      <c r="BG423"/>
      <c r="BH423" s="1082"/>
      <c r="BI423"/>
      <c r="BJ423"/>
      <c r="BK423"/>
    </row>
    <row r="424" spans="2:63" s="113" customFormat="1" ht="12.75" hidden="1" customHeight="1">
      <c r="B424" s="127"/>
      <c r="C424" s="132"/>
      <c r="D424" s="132" t="s">
        <v>28</v>
      </c>
      <c r="E424" s="115"/>
      <c r="F424" s="109" t="s">
        <v>68</v>
      </c>
      <c r="G424" s="426"/>
      <c r="H424" s="427"/>
      <c r="I424" s="335"/>
      <c r="J424" s="131"/>
      <c r="K424" s="201"/>
      <c r="L424" s="381" t="s">
        <v>70</v>
      </c>
      <c r="M424" s="381" t="s">
        <v>71</v>
      </c>
      <c r="N424" s="381" t="s">
        <v>72</v>
      </c>
      <c r="O424" s="381" t="s">
        <v>70</v>
      </c>
      <c r="P424" s="381" t="s">
        <v>71</v>
      </c>
      <c r="Q424" s="381" t="s">
        <v>72</v>
      </c>
      <c r="R424" s="381"/>
      <c r="S424" s="256"/>
      <c r="T424" s="256"/>
      <c r="U424" s="256"/>
      <c r="V424" s="256"/>
      <c r="W424" s="256"/>
      <c r="X424" s="256"/>
      <c r="Y424" s="256"/>
      <c r="Z424" s="256"/>
      <c r="AA424" s="256"/>
      <c r="AB424" s="256"/>
      <c r="AC424" s="256"/>
      <c r="AD424" s="256"/>
      <c r="AE424" s="256"/>
      <c r="AF424" s="256"/>
      <c r="AG424" s="256"/>
      <c r="AH424" s="256"/>
      <c r="AI424" s="256"/>
      <c r="AJ424" s="256"/>
      <c r="AK424" s="256"/>
      <c r="AL424" s="256"/>
      <c r="AM424" s="256"/>
      <c r="AN424" s="256"/>
      <c r="AO424" s="256"/>
      <c r="AP424" s="256"/>
      <c r="AQ424" s="256"/>
      <c r="AR424" s="256"/>
      <c r="AS424" s="1"/>
      <c r="AT424" s="1"/>
      <c r="AU424" s="1"/>
      <c r="AV424" s="1"/>
      <c r="AW424" s="1"/>
      <c r="AX424" s="1"/>
      <c r="AY424" s="1"/>
      <c r="AZ424" s="1"/>
      <c r="BA424" s="1"/>
      <c r="BB424" s="1"/>
      <c r="BC424" s="1"/>
      <c r="BD424" s="1"/>
      <c r="BE424" s="1"/>
      <c r="BF424" s="1"/>
      <c r="BG424" s="1"/>
      <c r="BH424" s="992"/>
      <c r="BI424" s="1"/>
      <c r="BJ424" s="1"/>
      <c r="BK424" s="1"/>
    </row>
    <row r="425" spans="2:63" s="113" customFormat="1" ht="56.25" hidden="1">
      <c r="B425" s="127"/>
      <c r="C425" s="133"/>
      <c r="D425" s="133">
        <v>1</v>
      </c>
      <c r="E425" s="115"/>
      <c r="F425" s="794" t="s">
        <v>399</v>
      </c>
      <c r="G425" s="962" t="s">
        <v>1227</v>
      </c>
      <c r="H425" s="962" t="s">
        <v>1229</v>
      </c>
      <c r="I425" s="1089">
        <v>210</v>
      </c>
      <c r="J425" s="131"/>
      <c r="K425" s="201"/>
      <c r="L425" s="381">
        <v>11020007</v>
      </c>
      <c r="M425" s="381">
        <v>0</v>
      </c>
      <c r="N425" s="381">
        <v>0</v>
      </c>
      <c r="O425" s="381" t="s">
        <v>1009</v>
      </c>
      <c r="P425" s="381">
        <v>0</v>
      </c>
      <c r="Q425" s="381">
        <v>0</v>
      </c>
      <c r="R425" s="256"/>
      <c r="S425" s="256"/>
      <c r="T425" s="256"/>
      <c r="U425" s="256"/>
      <c r="V425" s="256"/>
      <c r="W425" s="256"/>
      <c r="X425" s="256"/>
      <c r="Y425" s="256"/>
      <c r="Z425" s="256"/>
      <c r="AA425" s="256"/>
      <c r="AB425" s="256"/>
      <c r="AC425" s="256"/>
      <c r="AD425" s="256"/>
      <c r="AE425" s="256"/>
      <c r="AF425" s="256"/>
      <c r="AG425" s="256"/>
      <c r="AH425" s="256"/>
      <c r="AI425" s="256"/>
      <c r="AJ425" s="256"/>
      <c r="AK425" s="256"/>
      <c r="AL425" s="256"/>
      <c r="AM425" s="256"/>
      <c r="AN425" s="256"/>
      <c r="AO425" s="256"/>
      <c r="AP425" s="256"/>
      <c r="AQ425" s="256">
        <v>183</v>
      </c>
      <c r="AR425" s="908">
        <v>0.05</v>
      </c>
      <c r="AS425" s="112">
        <f t="shared" ref="AS425:AS428" si="53">AQ425*(1+AR425)</f>
        <v>192.15</v>
      </c>
      <c r="AT425" s="1"/>
      <c r="AU425" s="1"/>
      <c r="AV425" s="1"/>
      <c r="AW425" s="1"/>
      <c r="AX425" s="1"/>
      <c r="AY425" s="1"/>
      <c r="AZ425" s="1"/>
      <c r="BA425" s="1"/>
      <c r="BB425" s="1"/>
      <c r="BC425" s="1"/>
      <c r="BD425" s="1"/>
      <c r="BE425" s="1"/>
      <c r="BF425" s="1"/>
      <c r="BG425" s="1"/>
      <c r="BH425" s="1083">
        <f t="shared" ref="BH425:BH428" si="54">I425*1.05</f>
        <v>220.5</v>
      </c>
      <c r="BI425" s="1"/>
      <c r="BJ425" s="1"/>
      <c r="BK425" s="1"/>
    </row>
    <row r="426" spans="2:63" s="113" customFormat="1" ht="33.75" hidden="1">
      <c r="B426" s="127"/>
      <c r="C426" s="133"/>
      <c r="D426" s="133">
        <v>2</v>
      </c>
      <c r="E426" s="115"/>
      <c r="F426" s="794" t="s">
        <v>400</v>
      </c>
      <c r="G426" s="962" t="s">
        <v>1228</v>
      </c>
      <c r="H426" s="962" t="s">
        <v>1230</v>
      </c>
      <c r="I426" s="1089">
        <v>241.5</v>
      </c>
      <c r="J426" s="131"/>
      <c r="K426" s="201"/>
      <c r="L426" s="381">
        <v>11020007</v>
      </c>
      <c r="M426" s="381">
        <v>11060096</v>
      </c>
      <c r="N426" s="381">
        <v>0</v>
      </c>
      <c r="O426" s="381" t="s">
        <v>1009</v>
      </c>
      <c r="P426" s="381" t="s">
        <v>540</v>
      </c>
      <c r="Q426" s="381">
        <v>0</v>
      </c>
      <c r="R426" s="256"/>
      <c r="S426" s="256"/>
      <c r="T426" s="256"/>
      <c r="U426" s="256"/>
      <c r="V426" s="256"/>
      <c r="W426" s="256"/>
      <c r="X426" s="256"/>
      <c r="Y426" s="256"/>
      <c r="Z426" s="256"/>
      <c r="AA426" s="256"/>
      <c r="AB426" s="256"/>
      <c r="AC426" s="256"/>
      <c r="AD426" s="256"/>
      <c r="AE426" s="256"/>
      <c r="AF426" s="256"/>
      <c r="AG426" s="256"/>
      <c r="AH426" s="256"/>
      <c r="AI426" s="256"/>
      <c r="AJ426" s="256"/>
      <c r="AK426" s="256"/>
      <c r="AL426" s="256"/>
      <c r="AM426" s="256"/>
      <c r="AN426" s="256"/>
      <c r="AO426" s="256"/>
      <c r="AP426" s="256"/>
      <c r="AQ426" s="256">
        <v>199</v>
      </c>
      <c r="AR426" s="908">
        <v>0.05</v>
      </c>
      <c r="AS426" s="112">
        <f t="shared" si="53"/>
        <v>208.95000000000002</v>
      </c>
      <c r="AT426" s="1"/>
      <c r="AU426" s="1"/>
      <c r="AV426" s="1"/>
      <c r="AW426" s="1"/>
      <c r="AX426" s="1"/>
      <c r="AY426" s="1"/>
      <c r="AZ426" s="1"/>
      <c r="BA426" s="1"/>
      <c r="BB426" s="1"/>
      <c r="BC426" s="1"/>
      <c r="BD426" s="1"/>
      <c r="BE426" s="1"/>
      <c r="BF426" s="1"/>
      <c r="BG426" s="1"/>
      <c r="BH426" s="1083">
        <f t="shared" si="54"/>
        <v>253.57500000000002</v>
      </c>
      <c r="BI426" s="1"/>
      <c r="BJ426" s="1"/>
      <c r="BK426" s="1"/>
    </row>
    <row r="427" spans="2:63" s="113" customFormat="1" ht="22.5" hidden="1" customHeight="1">
      <c r="B427" s="127"/>
      <c r="C427" s="133"/>
      <c r="D427" s="133"/>
      <c r="E427" s="115"/>
      <c r="F427" s="794" t="s">
        <v>401</v>
      </c>
      <c r="G427" s="793" t="s">
        <v>775</v>
      </c>
      <c r="H427" s="793" t="s">
        <v>774</v>
      </c>
      <c r="I427" s="402">
        <v>294</v>
      </c>
      <c r="J427" s="131"/>
      <c r="K427" s="201"/>
      <c r="L427" s="381">
        <v>11020007</v>
      </c>
      <c r="M427" s="381">
        <v>11060045</v>
      </c>
      <c r="N427" s="381">
        <v>0</v>
      </c>
      <c r="O427" s="381" t="s">
        <v>1009</v>
      </c>
      <c r="P427" s="381">
        <v>5308074</v>
      </c>
      <c r="Q427" s="381">
        <v>0</v>
      </c>
      <c r="R427" s="256"/>
      <c r="S427" s="256"/>
      <c r="T427" s="256"/>
      <c r="U427" s="256"/>
      <c r="V427" s="256"/>
      <c r="W427" s="256"/>
      <c r="X427" s="256"/>
      <c r="Y427" s="256"/>
      <c r="Z427" s="256"/>
      <c r="AA427" s="256"/>
      <c r="AB427" s="256"/>
      <c r="AC427" s="256"/>
      <c r="AD427" s="256"/>
      <c r="AE427" s="256"/>
      <c r="AF427" s="256"/>
      <c r="AG427" s="256"/>
      <c r="AH427" s="256"/>
      <c r="AI427" s="256"/>
      <c r="AJ427" s="256"/>
      <c r="AK427" s="256"/>
      <c r="AL427" s="256"/>
      <c r="AM427" s="256"/>
      <c r="AN427" s="256"/>
      <c r="AO427" s="256"/>
      <c r="AP427" s="256"/>
      <c r="AQ427" s="256">
        <v>267</v>
      </c>
      <c r="AR427" s="908">
        <v>0.05</v>
      </c>
      <c r="AS427" s="112">
        <f t="shared" si="53"/>
        <v>280.35000000000002</v>
      </c>
      <c r="AT427" s="1"/>
      <c r="AU427" s="1"/>
      <c r="AV427" s="1"/>
      <c r="AW427" s="1"/>
      <c r="AX427" s="1"/>
      <c r="AY427" s="1"/>
      <c r="AZ427" s="1"/>
      <c r="BA427" s="1"/>
      <c r="BB427" s="1"/>
      <c r="BC427" s="1"/>
      <c r="BD427" s="1"/>
      <c r="BE427" s="1"/>
      <c r="BF427" s="1"/>
      <c r="BG427" s="1"/>
      <c r="BH427" s="1083">
        <f t="shared" si="54"/>
        <v>308.7</v>
      </c>
      <c r="BI427" s="1"/>
      <c r="BJ427" s="1"/>
      <c r="BK427" s="1"/>
    </row>
    <row r="428" spans="2:63" s="113" customFormat="1" ht="12.75" hidden="1" customHeight="1">
      <c r="B428" s="127"/>
      <c r="C428" s="133"/>
      <c r="D428" s="133">
        <v>3</v>
      </c>
      <c r="E428" s="115"/>
      <c r="F428" s="157" t="s">
        <v>402</v>
      </c>
      <c r="G428" s="377">
        <v>11060010</v>
      </c>
      <c r="H428" s="377">
        <v>6013254</v>
      </c>
      <c r="I428" s="402">
        <v>172.20000000000002</v>
      </c>
      <c r="J428" s="131"/>
      <c r="K428" s="201"/>
      <c r="L428" s="381">
        <v>11060039</v>
      </c>
      <c r="M428" s="381" t="s">
        <v>541</v>
      </c>
      <c r="N428" s="381">
        <v>0</v>
      </c>
      <c r="O428" s="381">
        <v>7030536</v>
      </c>
      <c r="P428" s="381" t="s">
        <v>542</v>
      </c>
      <c r="Q428" s="381">
        <v>0</v>
      </c>
      <c r="R428" s="256"/>
      <c r="S428" s="256"/>
      <c r="T428" s="256"/>
      <c r="U428" s="256"/>
      <c r="V428" s="256"/>
      <c r="W428" s="256"/>
      <c r="X428" s="256"/>
      <c r="Y428" s="256"/>
      <c r="Z428" s="256"/>
      <c r="AA428" s="256"/>
      <c r="AB428" s="256"/>
      <c r="AC428" s="256"/>
      <c r="AD428" s="256"/>
      <c r="AE428" s="256"/>
      <c r="AF428" s="256"/>
      <c r="AG428" s="256"/>
      <c r="AH428" s="256"/>
      <c r="AI428" s="256"/>
      <c r="AJ428" s="256"/>
      <c r="AK428" s="256"/>
      <c r="AL428" s="256"/>
      <c r="AM428" s="256"/>
      <c r="AN428" s="256"/>
      <c r="AO428" s="256"/>
      <c r="AP428" s="256"/>
      <c r="AQ428" s="256">
        <v>156</v>
      </c>
      <c r="AR428" s="908">
        <v>0.05</v>
      </c>
      <c r="AS428" s="112">
        <f t="shared" si="53"/>
        <v>163.80000000000001</v>
      </c>
      <c r="AT428" s="1"/>
      <c r="AU428" s="1"/>
      <c r="AV428" s="1"/>
      <c r="AW428" s="1"/>
      <c r="AX428" s="1"/>
      <c r="AY428" s="1"/>
      <c r="AZ428" s="1"/>
      <c r="BA428" s="1"/>
      <c r="BB428" s="1"/>
      <c r="BC428" s="1"/>
      <c r="BD428" s="1"/>
      <c r="BE428" s="1"/>
      <c r="BF428" s="1"/>
      <c r="BG428" s="1"/>
      <c r="BH428" s="1083">
        <f t="shared" si="54"/>
        <v>180.81000000000003</v>
      </c>
      <c r="BI428" s="1"/>
      <c r="BJ428" s="1"/>
      <c r="BK428" s="1"/>
    </row>
    <row r="429" spans="2:63" s="113" customFormat="1" ht="12.75" hidden="1" customHeight="1">
      <c r="B429" s="127"/>
      <c r="C429" s="133"/>
      <c r="D429" s="133">
        <v>4</v>
      </c>
      <c r="E429" s="115"/>
      <c r="F429" s="157"/>
      <c r="G429" s="377"/>
      <c r="H429" s="377"/>
      <c r="I429" s="402"/>
      <c r="J429" s="131"/>
      <c r="K429" s="201"/>
      <c r="L429" s="201"/>
      <c r="M429" s="201"/>
      <c r="N429" s="256"/>
      <c r="O429" s="256"/>
      <c r="P429" s="256"/>
      <c r="Q429" s="256"/>
      <c r="R429" s="256"/>
      <c r="S429" s="256"/>
      <c r="T429" s="256"/>
      <c r="U429" s="256"/>
      <c r="V429" s="256"/>
      <c r="W429" s="256"/>
      <c r="X429" s="256"/>
      <c r="Y429" s="256"/>
      <c r="Z429" s="256"/>
      <c r="AA429" s="256"/>
      <c r="AB429" s="256"/>
      <c r="AC429" s="256"/>
      <c r="AD429" s="256"/>
      <c r="AE429" s="256"/>
      <c r="AF429" s="256"/>
      <c r="AG429" s="256"/>
      <c r="AH429" s="256"/>
      <c r="AI429" s="256"/>
      <c r="AJ429" s="256"/>
      <c r="AK429" s="256"/>
      <c r="AL429" s="256"/>
      <c r="AM429" s="256"/>
      <c r="AN429" s="256"/>
      <c r="AO429" s="256"/>
      <c r="AP429" s="256"/>
      <c r="AQ429" s="256"/>
      <c r="AR429" s="256"/>
      <c r="AS429" s="1"/>
      <c r="AT429" s="1"/>
      <c r="AU429" s="1"/>
      <c r="AV429" s="1"/>
      <c r="AW429" s="1"/>
      <c r="AX429" s="1"/>
      <c r="AY429" s="1"/>
      <c r="AZ429" s="1"/>
      <c r="BA429" s="1"/>
      <c r="BB429" s="1"/>
      <c r="BC429" s="1"/>
      <c r="BD429" s="1"/>
      <c r="BE429" s="1"/>
      <c r="BF429" s="1"/>
      <c r="BG429" s="1"/>
      <c r="BH429" s="992"/>
      <c r="BI429" s="1"/>
      <c r="BJ429" s="1"/>
      <c r="BK429" s="1"/>
    </row>
    <row r="430" spans="2:63" s="113" customFormat="1" ht="12.75" hidden="1" customHeight="1">
      <c r="B430" s="127"/>
      <c r="C430" s="133"/>
      <c r="D430" s="133">
        <v>5</v>
      </c>
      <c r="E430" s="115"/>
      <c r="F430" s="157"/>
      <c r="G430" s="377"/>
      <c r="H430" s="377"/>
      <c r="I430" s="402"/>
      <c r="J430" s="131"/>
      <c r="K430" s="201"/>
      <c r="L430" s="201"/>
      <c r="M430" s="201"/>
      <c r="N430" s="256"/>
      <c r="O430" s="256"/>
      <c r="P430" s="256"/>
      <c r="Q430" s="256"/>
      <c r="R430" s="256"/>
      <c r="S430" s="256"/>
      <c r="T430" s="256"/>
      <c r="U430" s="256"/>
      <c r="V430" s="256"/>
      <c r="W430" s="256"/>
      <c r="X430" s="256"/>
      <c r="Y430" s="256"/>
      <c r="Z430" s="256"/>
      <c r="AA430" s="256"/>
      <c r="AB430" s="256"/>
      <c r="AC430" s="256"/>
      <c r="AD430" s="256"/>
      <c r="AE430" s="256"/>
      <c r="AF430" s="256"/>
      <c r="AG430" s="256"/>
      <c r="AH430" s="256"/>
      <c r="AI430" s="256"/>
      <c r="AJ430" s="256"/>
      <c r="AK430" s="256"/>
      <c r="AL430" s="256"/>
      <c r="AM430" s="256"/>
      <c r="AN430" s="256"/>
      <c r="AO430" s="256"/>
      <c r="AP430" s="256"/>
      <c r="AQ430" s="256"/>
      <c r="AR430" s="256"/>
      <c r="AS430" s="1"/>
      <c r="AT430" s="1"/>
      <c r="AU430" s="1"/>
      <c r="AV430" s="1"/>
      <c r="AW430" s="1"/>
      <c r="AX430" s="1"/>
      <c r="AY430" s="1"/>
      <c r="AZ430" s="1"/>
      <c r="BA430" s="1"/>
      <c r="BB430" s="1"/>
      <c r="BC430" s="1"/>
      <c r="BD430" s="1"/>
      <c r="BE430" s="1"/>
      <c r="BF430" s="1"/>
      <c r="BG430" s="1"/>
      <c r="BH430" s="992"/>
      <c r="BI430" s="1"/>
      <c r="BJ430" s="1"/>
      <c r="BK430" s="1"/>
    </row>
    <row r="431" spans="2:63" s="113" customFormat="1" ht="12.75" hidden="1" customHeight="1">
      <c r="B431" s="127"/>
      <c r="C431" s="133"/>
      <c r="D431" s="133">
        <v>6</v>
      </c>
      <c r="E431" s="115"/>
      <c r="F431" s="157"/>
      <c r="G431" s="377"/>
      <c r="H431" s="377"/>
      <c r="I431" s="402"/>
      <c r="J431" s="131"/>
      <c r="K431" s="201"/>
      <c r="L431" s="201"/>
      <c r="M431" s="201"/>
      <c r="N431" s="256"/>
      <c r="O431" s="256"/>
      <c r="P431" s="256"/>
      <c r="Q431" s="256"/>
      <c r="R431" s="256"/>
      <c r="S431" s="256"/>
      <c r="T431" s="256"/>
      <c r="U431" s="256"/>
      <c r="V431" s="256"/>
      <c r="W431" s="256"/>
      <c r="X431" s="256"/>
      <c r="Y431" s="256"/>
      <c r="Z431" s="256"/>
      <c r="AA431" s="256"/>
      <c r="AB431" s="256"/>
      <c r="AC431" s="256"/>
      <c r="AD431" s="256"/>
      <c r="AE431" s="256"/>
      <c r="AF431" s="256"/>
      <c r="AG431" s="256"/>
      <c r="AH431" s="256"/>
      <c r="AI431" s="256"/>
      <c r="AJ431" s="256"/>
      <c r="AK431" s="256"/>
      <c r="AL431" s="256"/>
      <c r="AM431" s="256"/>
      <c r="AN431" s="256"/>
      <c r="AO431" s="256"/>
      <c r="AP431" s="256"/>
      <c r="AQ431" s="256"/>
      <c r="AR431" s="256"/>
      <c r="AS431" s="1"/>
      <c r="AT431" s="1"/>
      <c r="AU431" s="1"/>
      <c r="AV431" s="1"/>
      <c r="AW431" s="1"/>
      <c r="AX431" s="1"/>
      <c r="AY431" s="1"/>
      <c r="AZ431" s="1"/>
      <c r="BA431" s="1"/>
      <c r="BB431" s="1"/>
      <c r="BC431" s="1"/>
      <c r="BD431" s="1"/>
      <c r="BE431" s="1"/>
      <c r="BF431" s="1"/>
      <c r="BG431" s="1"/>
      <c r="BH431" s="992"/>
      <c r="BI431" s="1"/>
      <c r="BJ431" s="1"/>
      <c r="BK431" s="1"/>
    </row>
    <row r="432" spans="2:63" s="113" customFormat="1" ht="12" hidden="1" customHeight="1">
      <c r="B432" s="127"/>
      <c r="C432" s="133"/>
      <c r="D432" s="133">
        <v>7</v>
      </c>
      <c r="E432" s="115"/>
      <c r="F432" s="154"/>
      <c r="G432" s="377"/>
      <c r="H432" s="377"/>
      <c r="I432" s="402"/>
      <c r="J432" s="131"/>
      <c r="K432" s="201"/>
      <c r="L432" s="201"/>
      <c r="M432" s="201"/>
      <c r="N432" s="256"/>
      <c r="O432" s="256"/>
      <c r="P432" s="256"/>
      <c r="Q432" s="256"/>
      <c r="R432" s="256"/>
      <c r="S432" s="256"/>
      <c r="T432" s="256"/>
      <c r="U432" s="256"/>
      <c r="V432" s="256"/>
      <c r="W432" s="256"/>
      <c r="X432" s="256"/>
      <c r="Y432" s="256"/>
      <c r="Z432" s="256"/>
      <c r="AA432" s="256"/>
      <c r="AB432" s="256"/>
      <c r="AC432" s="256"/>
      <c r="AD432" s="256"/>
      <c r="AE432" s="256"/>
      <c r="AF432" s="256"/>
      <c r="AG432" s="256"/>
      <c r="AH432" s="256"/>
      <c r="AI432" s="256"/>
      <c r="AJ432" s="256"/>
      <c r="AK432" s="256"/>
      <c r="AL432" s="256"/>
      <c r="AM432" s="256"/>
      <c r="AN432" s="256"/>
      <c r="AO432" s="256"/>
      <c r="AP432" s="256"/>
      <c r="AQ432" s="256"/>
      <c r="AR432" s="256"/>
      <c r="AS432" s="1"/>
      <c r="AT432" s="1"/>
      <c r="AU432" s="1"/>
      <c r="AV432" s="1"/>
      <c r="AW432" s="1"/>
      <c r="AX432" s="1"/>
      <c r="AY432" s="1"/>
      <c r="AZ432" s="1"/>
      <c r="BA432" s="1"/>
      <c r="BB432" s="1"/>
      <c r="BC432" s="1"/>
      <c r="BD432" s="1"/>
      <c r="BE432" s="1"/>
      <c r="BF432" s="1"/>
      <c r="BG432" s="1"/>
      <c r="BH432" s="992"/>
      <c r="BI432" s="1"/>
      <c r="BJ432" s="1"/>
      <c r="BK432" s="1"/>
    </row>
    <row r="433" spans="2:63" ht="12.75" hidden="1" customHeight="1">
      <c r="B433" s="127"/>
      <c r="C433" s="115"/>
      <c r="D433" s="115"/>
      <c r="E433" s="115"/>
      <c r="F433" s="109"/>
      <c r="G433" s="28"/>
      <c r="H433" s="109"/>
      <c r="I433" s="335"/>
      <c r="J433" s="131"/>
      <c r="AS433"/>
      <c r="AT433"/>
      <c r="AU433"/>
      <c r="AV433"/>
      <c r="AW433"/>
      <c r="AX433"/>
      <c r="AY433"/>
      <c r="AZ433"/>
      <c r="BA433"/>
      <c r="BB433"/>
      <c r="BC433"/>
      <c r="BD433"/>
      <c r="BE433"/>
      <c r="BF433"/>
      <c r="BG433"/>
      <c r="BH433" s="1082"/>
      <c r="BI433"/>
      <c r="BJ433"/>
      <c r="BK433"/>
    </row>
    <row r="434" spans="2:63" s="113" customFormat="1" ht="12.75" hidden="1" customHeight="1">
      <c r="B434" s="127"/>
      <c r="C434" s="132"/>
      <c r="D434" s="132" t="s">
        <v>29</v>
      </c>
      <c r="E434" s="115"/>
      <c r="F434" s="382" t="s">
        <v>543</v>
      </c>
      <c r="G434" s="28"/>
      <c r="H434" s="109"/>
      <c r="I434" s="335"/>
      <c r="J434" s="131"/>
      <c r="K434" s="201"/>
      <c r="L434" s="201"/>
      <c r="M434" s="201"/>
      <c r="N434" s="256"/>
      <c r="O434" s="256"/>
      <c r="P434" s="256"/>
      <c r="Q434" s="256"/>
      <c r="R434" s="256"/>
      <c r="S434" s="256"/>
      <c r="T434" s="256"/>
      <c r="U434" s="256"/>
      <c r="V434" s="256"/>
      <c r="W434" s="256"/>
      <c r="X434" s="256"/>
      <c r="Y434" s="256"/>
      <c r="Z434" s="256"/>
      <c r="AA434" s="256"/>
      <c r="AB434" s="256"/>
      <c r="AC434" s="256"/>
      <c r="AD434" s="256"/>
      <c r="AE434" s="256"/>
      <c r="AF434" s="256"/>
      <c r="AG434" s="256"/>
      <c r="AH434" s="256"/>
      <c r="AI434" s="256"/>
      <c r="AJ434" s="256"/>
      <c r="AK434" s="256"/>
      <c r="AL434" s="256"/>
      <c r="AM434" s="256"/>
      <c r="AN434" s="256"/>
      <c r="AO434" s="256"/>
      <c r="AP434" s="256"/>
      <c r="AQ434" s="256"/>
      <c r="AR434" s="256"/>
      <c r="AS434" s="1"/>
      <c r="AT434" s="1"/>
      <c r="AU434" s="1"/>
      <c r="AV434" s="1"/>
      <c r="AW434" s="1"/>
      <c r="AX434" s="1"/>
      <c r="AY434" s="1"/>
      <c r="AZ434" s="1"/>
      <c r="BA434" s="1"/>
      <c r="BB434" s="1"/>
      <c r="BC434" s="1"/>
      <c r="BD434" s="1"/>
      <c r="BE434" s="1"/>
      <c r="BF434" s="1"/>
      <c r="BG434" s="1"/>
      <c r="BH434" s="1083">
        <f t="shared" ref="BH434:BH446" si="55">I434*1.05</f>
        <v>0</v>
      </c>
      <c r="BI434" s="1"/>
      <c r="BJ434" s="1"/>
      <c r="BK434" s="1"/>
    </row>
    <row r="435" spans="2:63" s="113" customFormat="1" ht="12.75" hidden="1" customHeight="1">
      <c r="B435" s="127"/>
      <c r="C435" s="204"/>
      <c r="D435" s="204" t="str">
        <f t="shared" ref="D435:D446" si="56">E435&amp;F435</f>
        <v>Reflective Sensor -WL8G-N2131 (inc bracket &amp; refector)PE Cable - 3m</v>
      </c>
      <c r="E435" s="428" t="str">
        <f>F425</f>
        <v>Reflective Sensor -WL8G-N2131 (inc bracket &amp; refector)</v>
      </c>
      <c r="F435" s="100" t="s">
        <v>70</v>
      </c>
      <c r="G435" s="377">
        <v>11060096</v>
      </c>
      <c r="H435" s="377" t="s">
        <v>540</v>
      </c>
      <c r="I435" s="402">
        <v>22</v>
      </c>
      <c r="J435" s="131"/>
      <c r="K435" s="201"/>
      <c r="L435" s="201"/>
      <c r="M435" s="201"/>
      <c r="N435" s="256"/>
      <c r="O435" s="256"/>
      <c r="P435" s="256"/>
      <c r="Q435" s="256"/>
      <c r="R435" s="256"/>
      <c r="S435" s="256"/>
      <c r="T435" s="256"/>
      <c r="U435" s="256"/>
      <c r="V435" s="256"/>
      <c r="W435" s="256"/>
      <c r="X435" s="256"/>
      <c r="Y435" s="256"/>
      <c r="Z435" s="256"/>
      <c r="AA435" s="256"/>
      <c r="AB435" s="256"/>
      <c r="AC435" s="256"/>
      <c r="AD435" s="256"/>
      <c r="AE435" s="256"/>
      <c r="AF435" s="256"/>
      <c r="AG435" s="256"/>
      <c r="AH435" s="256"/>
      <c r="AI435" s="256"/>
      <c r="AJ435" s="256"/>
      <c r="AK435" s="256"/>
      <c r="AL435" s="256"/>
      <c r="AM435" s="256"/>
      <c r="AN435" s="256"/>
      <c r="AO435" s="256"/>
      <c r="AP435" s="256"/>
      <c r="AQ435" s="256">
        <v>15</v>
      </c>
      <c r="AR435" s="908">
        <v>0.05</v>
      </c>
      <c r="AS435" s="112">
        <f t="shared" ref="AS435:AS446" si="57">AQ435*(1+AR435)</f>
        <v>15.75</v>
      </c>
      <c r="AT435" s="1"/>
      <c r="AU435" s="1"/>
      <c r="AV435" s="1"/>
      <c r="AW435" s="1"/>
      <c r="AX435" s="1"/>
      <c r="AY435" s="1"/>
      <c r="AZ435" s="1"/>
      <c r="BA435" s="1"/>
      <c r="BB435" s="1"/>
      <c r="BC435" s="1"/>
      <c r="BD435" s="1"/>
      <c r="BE435" s="1"/>
      <c r="BF435" s="1"/>
      <c r="BG435" s="1"/>
      <c r="BH435" s="1083">
        <f t="shared" si="55"/>
        <v>23.1</v>
      </c>
      <c r="BI435" s="1"/>
      <c r="BJ435" s="1"/>
      <c r="BK435" s="1"/>
    </row>
    <row r="436" spans="2:63" s="113" customFormat="1" ht="12.75" hidden="1" customHeight="1">
      <c r="B436" s="127"/>
      <c r="C436" s="204"/>
      <c r="D436" s="204" t="str">
        <f t="shared" si="56"/>
        <v>Reflective Sensor -WL8G-N2131 (inc bracket &amp; refector)PE Cable - 5m</v>
      </c>
      <c r="E436" s="428" t="str">
        <f>E435</f>
        <v>Reflective Sensor -WL8G-N2131 (inc bracket &amp; refector)</v>
      </c>
      <c r="F436" s="100" t="s">
        <v>71</v>
      </c>
      <c r="G436" s="377">
        <v>11020007</v>
      </c>
      <c r="H436" s="377" t="s">
        <v>1009</v>
      </c>
      <c r="I436" s="402">
        <v>19</v>
      </c>
      <c r="J436" s="131"/>
      <c r="K436" s="201"/>
      <c r="L436" s="201"/>
      <c r="M436" s="201"/>
      <c r="N436" s="256"/>
      <c r="O436" s="256"/>
      <c r="P436" s="256"/>
      <c r="Q436" s="256"/>
      <c r="R436" s="256"/>
      <c r="S436" s="256"/>
      <c r="T436" s="256"/>
      <c r="U436" s="256"/>
      <c r="V436" s="256"/>
      <c r="W436" s="256"/>
      <c r="X436" s="256"/>
      <c r="Y436" s="256"/>
      <c r="Z436" s="256"/>
      <c r="AA436" s="256"/>
      <c r="AB436" s="256"/>
      <c r="AC436" s="256"/>
      <c r="AD436" s="256"/>
      <c r="AE436" s="256"/>
      <c r="AF436" s="256"/>
      <c r="AG436" s="256"/>
      <c r="AH436" s="256"/>
      <c r="AI436" s="256"/>
      <c r="AJ436" s="256"/>
      <c r="AK436" s="256"/>
      <c r="AL436" s="256"/>
      <c r="AM436" s="256"/>
      <c r="AN436" s="256"/>
      <c r="AO436" s="256"/>
      <c r="AP436" s="256"/>
      <c r="AQ436" s="256" t="s">
        <v>69</v>
      </c>
      <c r="AR436" s="908">
        <v>0.05</v>
      </c>
      <c r="AS436" s="112" t="e">
        <f t="shared" si="57"/>
        <v>#VALUE!</v>
      </c>
      <c r="AT436" s="1"/>
      <c r="AU436" s="1"/>
      <c r="AV436" s="1"/>
      <c r="AW436" s="1"/>
      <c r="AX436" s="1"/>
      <c r="AY436" s="1"/>
      <c r="AZ436" s="1"/>
      <c r="BA436" s="1"/>
      <c r="BB436" s="1"/>
      <c r="BC436" s="1"/>
      <c r="BD436" s="1"/>
      <c r="BE436" s="1"/>
      <c r="BF436" s="1"/>
      <c r="BG436" s="1"/>
      <c r="BH436" s="1083">
        <f t="shared" si="55"/>
        <v>19.95</v>
      </c>
      <c r="BI436" s="1"/>
      <c r="BJ436" s="1"/>
      <c r="BK436" s="1"/>
    </row>
    <row r="437" spans="2:63" s="113" customFormat="1" ht="12.75" hidden="1" customHeight="1">
      <c r="B437" s="127"/>
      <c r="C437" s="204"/>
      <c r="D437" s="204" t="str">
        <f t="shared" si="56"/>
        <v>Reflective Sensor -WL8G-N2131 (inc bracket &amp; refector)PE Cable - Custom</v>
      </c>
      <c r="E437" s="428" t="str">
        <f>E435</f>
        <v>Reflective Sensor -WL8G-N2131 (inc bracket &amp; refector)</v>
      </c>
      <c r="F437" s="100" t="s">
        <v>72</v>
      </c>
      <c r="G437" s="377" t="s">
        <v>576</v>
      </c>
      <c r="H437" s="377" t="s">
        <v>576</v>
      </c>
      <c r="I437" s="402" t="s">
        <v>69</v>
      </c>
      <c r="J437" s="131"/>
      <c r="K437" s="201"/>
      <c r="L437" s="201"/>
      <c r="M437" s="201"/>
      <c r="N437" s="256"/>
      <c r="O437" s="256"/>
      <c r="P437" s="256"/>
      <c r="Q437" s="256"/>
      <c r="R437" s="256"/>
      <c r="S437" s="256"/>
      <c r="T437" s="256"/>
      <c r="U437" s="256"/>
      <c r="V437" s="256"/>
      <c r="W437" s="256"/>
      <c r="X437" s="256"/>
      <c r="Y437" s="256"/>
      <c r="Z437" s="256"/>
      <c r="AA437" s="256"/>
      <c r="AB437" s="256"/>
      <c r="AC437" s="256"/>
      <c r="AD437" s="256"/>
      <c r="AE437" s="256"/>
      <c r="AF437" s="256"/>
      <c r="AG437" s="256"/>
      <c r="AH437" s="256"/>
      <c r="AI437" s="256"/>
      <c r="AJ437" s="256"/>
      <c r="AK437" s="256"/>
      <c r="AL437" s="256"/>
      <c r="AM437" s="256"/>
      <c r="AN437" s="256"/>
      <c r="AO437" s="256"/>
      <c r="AP437" s="256"/>
      <c r="AQ437" s="256" t="s">
        <v>69</v>
      </c>
      <c r="AR437" s="908">
        <v>0.05</v>
      </c>
      <c r="AS437" s="112" t="e">
        <f t="shared" si="57"/>
        <v>#VALUE!</v>
      </c>
      <c r="AT437" s="1"/>
      <c r="AU437" s="1"/>
      <c r="AV437" s="1"/>
      <c r="AW437" s="1"/>
      <c r="AX437" s="1"/>
      <c r="AY437" s="1"/>
      <c r="AZ437" s="1"/>
      <c r="BA437" s="1"/>
      <c r="BB437" s="1"/>
      <c r="BC437" s="1"/>
      <c r="BD437" s="1"/>
      <c r="BE437" s="1"/>
      <c r="BF437" s="1"/>
      <c r="BG437" s="1"/>
      <c r="BH437" s="1083" t="e">
        <f t="shared" si="55"/>
        <v>#VALUE!</v>
      </c>
      <c r="BI437" s="1"/>
      <c r="BJ437" s="1"/>
      <c r="BK437" s="1"/>
    </row>
    <row r="438" spans="2:63" s="113" customFormat="1" ht="12.75" hidden="1" customHeight="1">
      <c r="B438" s="127"/>
      <c r="C438" s="204"/>
      <c r="D438" s="204" t="str">
        <f t="shared" si="56"/>
        <v>Proximity Sensor - WTB8-N2131 (incl bracket)PE Cable - 3m</v>
      </c>
      <c r="E438" s="428" t="str">
        <f>F426</f>
        <v>Proximity Sensor - WTB8-N2131 (incl bracket)</v>
      </c>
      <c r="F438" s="100" t="s">
        <v>70</v>
      </c>
      <c r="G438" s="377">
        <v>11060096</v>
      </c>
      <c r="H438" s="377" t="s">
        <v>540</v>
      </c>
      <c r="I438" s="402">
        <v>22</v>
      </c>
      <c r="J438" s="131"/>
      <c r="K438" s="201"/>
      <c r="L438" s="201"/>
      <c r="M438" s="201"/>
      <c r="N438" s="256"/>
      <c r="O438" s="256"/>
      <c r="P438" s="256"/>
      <c r="Q438" s="256"/>
      <c r="R438" s="256"/>
      <c r="S438" s="256"/>
      <c r="T438" s="256"/>
      <c r="U438" s="256"/>
      <c r="V438" s="256"/>
      <c r="W438" s="256"/>
      <c r="X438" s="256"/>
      <c r="Y438" s="256"/>
      <c r="Z438" s="256"/>
      <c r="AA438" s="256"/>
      <c r="AB438" s="256"/>
      <c r="AC438" s="256"/>
      <c r="AD438" s="256"/>
      <c r="AE438" s="256"/>
      <c r="AF438" s="256"/>
      <c r="AG438" s="256"/>
      <c r="AH438" s="256"/>
      <c r="AI438" s="256"/>
      <c r="AJ438" s="256"/>
      <c r="AK438" s="256"/>
      <c r="AL438" s="256"/>
      <c r="AM438" s="256"/>
      <c r="AN438" s="256"/>
      <c r="AO438" s="256"/>
      <c r="AP438" s="256"/>
      <c r="AQ438" s="256">
        <v>15</v>
      </c>
      <c r="AR438" s="908">
        <v>0.05</v>
      </c>
      <c r="AS438" s="112">
        <f t="shared" si="57"/>
        <v>15.75</v>
      </c>
      <c r="AT438" s="1"/>
      <c r="AU438" s="1"/>
      <c r="AV438" s="1"/>
      <c r="AW438" s="1"/>
      <c r="AX438" s="1"/>
      <c r="AY438" s="1"/>
      <c r="AZ438" s="1"/>
      <c r="BA438" s="1"/>
      <c r="BB438" s="1"/>
      <c r="BC438" s="1"/>
      <c r="BD438" s="1"/>
      <c r="BE438" s="1"/>
      <c r="BF438" s="1"/>
      <c r="BG438" s="1"/>
      <c r="BH438" s="1083">
        <f t="shared" si="55"/>
        <v>23.1</v>
      </c>
      <c r="BI438" s="1"/>
      <c r="BJ438" s="1"/>
      <c r="BK438" s="1"/>
    </row>
    <row r="439" spans="2:63" s="113" customFormat="1" ht="12.75" hidden="1" customHeight="1">
      <c r="B439" s="127"/>
      <c r="C439" s="204"/>
      <c r="D439" s="204" t="str">
        <f t="shared" si="56"/>
        <v>Proximity Sensor - WTB8-N2131 (incl bracket)PE Cable - 5m</v>
      </c>
      <c r="E439" s="428" t="str">
        <f>E438</f>
        <v>Proximity Sensor - WTB8-N2131 (incl bracket)</v>
      </c>
      <c r="F439" s="100" t="s">
        <v>71</v>
      </c>
      <c r="G439" s="377">
        <v>11020007</v>
      </c>
      <c r="H439" s="377" t="s">
        <v>1009</v>
      </c>
      <c r="I439" s="402">
        <v>19</v>
      </c>
      <c r="J439" s="131"/>
      <c r="K439" s="201"/>
      <c r="L439" s="201"/>
      <c r="M439" s="201"/>
      <c r="N439" s="256"/>
      <c r="O439" s="256"/>
      <c r="P439" s="256"/>
      <c r="Q439" s="256"/>
      <c r="R439" s="256"/>
      <c r="S439" s="256"/>
      <c r="T439" s="256"/>
      <c r="U439" s="256"/>
      <c r="V439" s="256"/>
      <c r="W439" s="256"/>
      <c r="X439" s="256"/>
      <c r="Y439" s="256"/>
      <c r="Z439" s="256"/>
      <c r="AA439" s="256"/>
      <c r="AB439" s="256"/>
      <c r="AC439" s="256"/>
      <c r="AD439" s="256"/>
      <c r="AE439" s="256"/>
      <c r="AF439" s="256"/>
      <c r="AG439" s="256"/>
      <c r="AH439" s="256"/>
      <c r="AI439" s="256"/>
      <c r="AJ439" s="256"/>
      <c r="AK439" s="256"/>
      <c r="AL439" s="256"/>
      <c r="AM439" s="256"/>
      <c r="AN439" s="256"/>
      <c r="AO439" s="256"/>
      <c r="AP439" s="256"/>
      <c r="AQ439" s="256">
        <v>21</v>
      </c>
      <c r="AR439" s="908">
        <v>0.05</v>
      </c>
      <c r="AS439" s="112">
        <f t="shared" si="57"/>
        <v>22.05</v>
      </c>
      <c r="AT439" s="1"/>
      <c r="AU439" s="1"/>
      <c r="AV439" s="1"/>
      <c r="AW439" s="1"/>
      <c r="AX439" s="1"/>
      <c r="AY439" s="1"/>
      <c r="AZ439" s="1"/>
      <c r="BA439" s="1"/>
      <c r="BB439" s="1"/>
      <c r="BC439" s="1"/>
      <c r="BD439" s="1"/>
      <c r="BE439" s="1"/>
      <c r="BF439" s="1"/>
      <c r="BG439" s="1"/>
      <c r="BH439" s="1083">
        <f t="shared" si="55"/>
        <v>19.95</v>
      </c>
      <c r="BI439" s="1"/>
      <c r="BJ439" s="1"/>
      <c r="BK439" s="1"/>
    </row>
    <row r="440" spans="2:63" s="113" customFormat="1" ht="12.75" hidden="1" customHeight="1">
      <c r="B440" s="127"/>
      <c r="C440" s="204"/>
      <c r="D440" s="204" t="str">
        <f t="shared" si="56"/>
        <v>Proximity Sensor - WTB8-N2131 (incl bracket)PE Cable - Custom</v>
      </c>
      <c r="E440" s="428" t="str">
        <f>E439</f>
        <v>Proximity Sensor - WTB8-N2131 (incl bracket)</v>
      </c>
      <c r="F440" s="100" t="s">
        <v>72</v>
      </c>
      <c r="G440" s="377" t="s">
        <v>577</v>
      </c>
      <c r="H440" s="377" t="s">
        <v>577</v>
      </c>
      <c r="I440" s="402" t="s">
        <v>69</v>
      </c>
      <c r="J440" s="131"/>
      <c r="K440" s="201"/>
      <c r="L440" s="201"/>
      <c r="M440" s="201"/>
      <c r="N440" s="256"/>
      <c r="O440" s="256"/>
      <c r="P440" s="256"/>
      <c r="Q440" s="256"/>
      <c r="R440" s="256"/>
      <c r="S440" s="256"/>
      <c r="T440" s="256"/>
      <c r="U440" s="256"/>
      <c r="V440" s="256"/>
      <c r="W440" s="256"/>
      <c r="X440" s="256"/>
      <c r="Y440" s="256"/>
      <c r="Z440" s="256"/>
      <c r="AA440" s="256"/>
      <c r="AB440" s="256"/>
      <c r="AC440" s="256"/>
      <c r="AD440" s="256"/>
      <c r="AE440" s="256"/>
      <c r="AF440" s="256"/>
      <c r="AG440" s="256"/>
      <c r="AH440" s="256"/>
      <c r="AI440" s="256"/>
      <c r="AJ440" s="256"/>
      <c r="AK440" s="256"/>
      <c r="AL440" s="256"/>
      <c r="AM440" s="256"/>
      <c r="AN440" s="256"/>
      <c r="AO440" s="256"/>
      <c r="AP440" s="256"/>
      <c r="AQ440" s="256" t="s">
        <v>69</v>
      </c>
      <c r="AR440" s="908">
        <v>0.05</v>
      </c>
      <c r="AS440" s="112" t="e">
        <f t="shared" si="57"/>
        <v>#VALUE!</v>
      </c>
      <c r="AT440" s="1"/>
      <c r="AU440" s="1"/>
      <c r="AV440" s="1"/>
      <c r="AW440" s="1"/>
      <c r="AX440" s="1"/>
      <c r="AY440" s="1"/>
      <c r="AZ440" s="1"/>
      <c r="BA440" s="1"/>
      <c r="BB440" s="1"/>
      <c r="BC440" s="1"/>
      <c r="BD440" s="1"/>
      <c r="BE440" s="1"/>
      <c r="BF440" s="1"/>
      <c r="BG440" s="1"/>
      <c r="BH440" s="1083" t="e">
        <f t="shared" si="55"/>
        <v>#VALUE!</v>
      </c>
      <c r="BI440" s="1"/>
      <c r="BJ440" s="1"/>
      <c r="BK440" s="1"/>
    </row>
    <row r="441" spans="2:63" s="113" customFormat="1" ht="12.75" hidden="1" customHeight="1">
      <c r="B441" s="127"/>
      <c r="C441" s="204"/>
      <c r="D441" s="204" t="str">
        <f t="shared" si="56"/>
        <v>Fibre Optic Amplifier - WLL170-2N330PE Cable - 3m</v>
      </c>
      <c r="E441" s="428" t="str">
        <f>F427</f>
        <v>Fibre Optic Amplifier - WLL170-2N330</v>
      </c>
      <c r="F441" s="100" t="s">
        <v>70</v>
      </c>
      <c r="G441" s="377">
        <v>11060096</v>
      </c>
      <c r="H441" s="377" t="s">
        <v>776</v>
      </c>
      <c r="I441" s="402">
        <v>22</v>
      </c>
      <c r="J441" s="131"/>
      <c r="K441" s="201"/>
      <c r="L441" s="201"/>
      <c r="M441" s="201"/>
      <c r="N441" s="256"/>
      <c r="O441" s="256"/>
      <c r="P441" s="256"/>
      <c r="Q441" s="256"/>
      <c r="R441" s="256"/>
      <c r="S441" s="256"/>
      <c r="T441" s="256"/>
      <c r="U441" s="256"/>
      <c r="V441" s="256"/>
      <c r="W441" s="256"/>
      <c r="X441" s="256"/>
      <c r="Y441" s="256"/>
      <c r="Z441" s="256"/>
      <c r="AA441" s="256"/>
      <c r="AB441" s="256"/>
      <c r="AC441" s="256"/>
      <c r="AD441" s="256"/>
      <c r="AE441" s="256"/>
      <c r="AF441" s="256"/>
      <c r="AG441" s="256"/>
      <c r="AH441" s="256"/>
      <c r="AI441" s="256"/>
      <c r="AJ441" s="256"/>
      <c r="AK441" s="256"/>
      <c r="AL441" s="256"/>
      <c r="AM441" s="256"/>
      <c r="AN441" s="256"/>
      <c r="AO441" s="256"/>
      <c r="AP441" s="256"/>
      <c r="AQ441" s="256">
        <v>15</v>
      </c>
      <c r="AR441" s="908">
        <v>0.05</v>
      </c>
      <c r="AS441" s="112">
        <f t="shared" si="57"/>
        <v>15.75</v>
      </c>
      <c r="AT441" s="1"/>
      <c r="AU441" s="1"/>
      <c r="AV441" s="1"/>
      <c r="AW441" s="1"/>
      <c r="AX441" s="1"/>
      <c r="AY441" s="1"/>
      <c r="AZ441" s="1"/>
      <c r="BA441" s="1"/>
      <c r="BB441" s="1"/>
      <c r="BC441" s="1"/>
      <c r="BD441" s="1"/>
      <c r="BE441" s="1"/>
      <c r="BF441" s="1"/>
      <c r="BG441" s="1"/>
      <c r="BH441" s="1083">
        <f t="shared" si="55"/>
        <v>23.1</v>
      </c>
      <c r="BI441" s="1"/>
      <c r="BJ441" s="1"/>
      <c r="BK441" s="1"/>
    </row>
    <row r="442" spans="2:63" s="113" customFormat="1" ht="12.75" hidden="1" customHeight="1">
      <c r="B442" s="127"/>
      <c r="C442" s="204"/>
      <c r="D442" s="204" t="str">
        <f t="shared" si="56"/>
        <v>Fibre Optic Amplifier - WLL170-2N330PE Cable - 5m</v>
      </c>
      <c r="E442" s="428" t="str">
        <f>E441</f>
        <v>Fibre Optic Amplifier - WLL170-2N330</v>
      </c>
      <c r="F442" s="100" t="s">
        <v>71</v>
      </c>
      <c r="G442" s="377">
        <v>11020007</v>
      </c>
      <c r="H442" s="377" t="s">
        <v>1009</v>
      </c>
      <c r="I442" s="402">
        <v>19</v>
      </c>
      <c r="J442" s="131"/>
      <c r="K442" s="201"/>
      <c r="L442" s="201"/>
      <c r="M442" s="201"/>
      <c r="N442" s="256"/>
      <c r="O442" s="256"/>
      <c r="P442" s="256"/>
      <c r="Q442" s="256"/>
      <c r="R442" s="256"/>
      <c r="S442" s="256"/>
      <c r="T442" s="256"/>
      <c r="U442" s="256"/>
      <c r="V442" s="256"/>
      <c r="W442" s="256"/>
      <c r="X442" s="256"/>
      <c r="Y442" s="256"/>
      <c r="Z442" s="256"/>
      <c r="AA442" s="256"/>
      <c r="AB442" s="256"/>
      <c r="AC442" s="256"/>
      <c r="AD442" s="256"/>
      <c r="AE442" s="256"/>
      <c r="AF442" s="256"/>
      <c r="AG442" s="256"/>
      <c r="AH442" s="256"/>
      <c r="AI442" s="256"/>
      <c r="AJ442" s="256"/>
      <c r="AK442" s="256"/>
      <c r="AL442" s="256"/>
      <c r="AM442" s="256"/>
      <c r="AN442" s="256"/>
      <c r="AO442" s="256"/>
      <c r="AP442" s="256"/>
      <c r="AQ442" s="256">
        <v>15</v>
      </c>
      <c r="AR442" s="908">
        <v>0.05</v>
      </c>
      <c r="AS442" s="112">
        <f t="shared" si="57"/>
        <v>15.75</v>
      </c>
      <c r="AT442" s="1"/>
      <c r="AU442" s="1"/>
      <c r="AV442" s="1"/>
      <c r="AW442" s="1"/>
      <c r="AX442" s="1"/>
      <c r="AY442" s="1"/>
      <c r="AZ442" s="1"/>
      <c r="BA442" s="1"/>
      <c r="BB442" s="1"/>
      <c r="BC442" s="1"/>
      <c r="BD442" s="1"/>
      <c r="BE442" s="1"/>
      <c r="BF442" s="1"/>
      <c r="BG442" s="1"/>
      <c r="BH442" s="1083">
        <f t="shared" si="55"/>
        <v>19.95</v>
      </c>
      <c r="BI442" s="1"/>
      <c r="BJ442" s="1"/>
      <c r="BK442" s="1"/>
    </row>
    <row r="443" spans="2:63" s="113" customFormat="1" ht="12.75" hidden="1" customHeight="1">
      <c r="B443" s="127"/>
      <c r="C443" s="204"/>
      <c r="D443" s="204" t="str">
        <f t="shared" si="56"/>
        <v>Fibre Optic Amplifier - WLL170-2N330PE Cable - Custom</v>
      </c>
      <c r="E443" s="428" t="str">
        <f>E442</f>
        <v>Fibre Optic Amplifier - WLL170-2N330</v>
      </c>
      <c r="F443" s="100" t="s">
        <v>72</v>
      </c>
      <c r="G443" s="377" t="s">
        <v>578</v>
      </c>
      <c r="H443" s="377" t="s">
        <v>578</v>
      </c>
      <c r="I443" s="402" t="s">
        <v>69</v>
      </c>
      <c r="J443" s="131"/>
      <c r="K443" s="201"/>
      <c r="L443" s="201"/>
      <c r="M443" s="201"/>
      <c r="N443" s="256"/>
      <c r="O443" s="256"/>
      <c r="P443" s="256"/>
      <c r="Q443" s="256"/>
      <c r="R443" s="256"/>
      <c r="S443" s="256"/>
      <c r="T443" s="256"/>
      <c r="U443" s="256"/>
      <c r="V443" s="256"/>
      <c r="W443" s="256"/>
      <c r="X443" s="256"/>
      <c r="Y443" s="256"/>
      <c r="Z443" s="256"/>
      <c r="AA443" s="256"/>
      <c r="AB443" s="256"/>
      <c r="AC443" s="256"/>
      <c r="AD443" s="256"/>
      <c r="AE443" s="256"/>
      <c r="AF443" s="256"/>
      <c r="AG443" s="256"/>
      <c r="AH443" s="256"/>
      <c r="AI443" s="256"/>
      <c r="AJ443" s="256"/>
      <c r="AK443" s="256"/>
      <c r="AL443" s="256"/>
      <c r="AM443" s="256"/>
      <c r="AN443" s="256"/>
      <c r="AO443" s="256"/>
      <c r="AP443" s="256"/>
      <c r="AQ443" s="256" t="s">
        <v>69</v>
      </c>
      <c r="AR443" s="908">
        <v>0.05</v>
      </c>
      <c r="AS443" s="112" t="e">
        <f t="shared" si="57"/>
        <v>#VALUE!</v>
      </c>
      <c r="AT443" s="1"/>
      <c r="AU443" s="1"/>
      <c r="AV443" s="1"/>
      <c r="AW443" s="1"/>
      <c r="AX443" s="1"/>
      <c r="AY443" s="1"/>
      <c r="AZ443" s="1"/>
      <c r="BA443" s="1"/>
      <c r="BB443" s="1"/>
      <c r="BC443" s="1"/>
      <c r="BD443" s="1"/>
      <c r="BE443" s="1"/>
      <c r="BF443" s="1"/>
      <c r="BG443" s="1"/>
      <c r="BH443" s="1083" t="e">
        <f t="shared" si="55"/>
        <v>#VALUE!</v>
      </c>
      <c r="BI443" s="1"/>
      <c r="BJ443" s="1"/>
      <c r="BK443" s="1"/>
    </row>
    <row r="444" spans="2:63" s="113" customFormat="1" ht="12.75" hidden="1" customHeight="1">
      <c r="B444" s="127"/>
      <c r="C444" s="204"/>
      <c r="D444" s="204" t="str">
        <f t="shared" si="56"/>
        <v>P/E Proximity Energetic - VTE18-4N4240 (Barrel 18mm)PE Cable - 3m</v>
      </c>
      <c r="E444" s="428" t="str">
        <f>F428</f>
        <v>P/E Proximity Energetic - VTE18-4N4240 (Barrel 18mm)</v>
      </c>
      <c r="F444" s="100" t="s">
        <v>70</v>
      </c>
      <c r="G444" s="377">
        <v>11060039</v>
      </c>
      <c r="H444" s="377" t="s">
        <v>1075</v>
      </c>
      <c r="I444" s="402">
        <v>25</v>
      </c>
      <c r="J444" s="131"/>
      <c r="K444" s="201"/>
      <c r="L444" s="201"/>
      <c r="M444" s="201"/>
      <c r="N444" s="256"/>
      <c r="O444" s="256"/>
      <c r="P444" s="256"/>
      <c r="Q444" s="256"/>
      <c r="R444" s="256"/>
      <c r="S444" s="256"/>
      <c r="T444" s="256"/>
      <c r="U444" s="256"/>
      <c r="V444" s="256"/>
      <c r="W444" s="256"/>
      <c r="X444" s="256"/>
      <c r="Y444" s="256"/>
      <c r="Z444" s="256"/>
      <c r="AA444" s="256"/>
      <c r="AB444" s="256"/>
      <c r="AC444" s="256"/>
      <c r="AD444" s="256"/>
      <c r="AE444" s="256"/>
      <c r="AF444" s="256"/>
      <c r="AG444" s="256"/>
      <c r="AH444" s="256"/>
      <c r="AI444" s="256"/>
      <c r="AJ444" s="256"/>
      <c r="AK444" s="256"/>
      <c r="AL444" s="256"/>
      <c r="AM444" s="256"/>
      <c r="AN444" s="256"/>
      <c r="AO444" s="256"/>
      <c r="AP444" s="256"/>
      <c r="AQ444" s="256">
        <v>20</v>
      </c>
      <c r="AR444" s="908">
        <v>0.05</v>
      </c>
      <c r="AS444" s="112">
        <f t="shared" si="57"/>
        <v>21</v>
      </c>
      <c r="AT444" s="1"/>
      <c r="AU444" s="1"/>
      <c r="AV444" s="1"/>
      <c r="AW444" s="1"/>
      <c r="AX444" s="1"/>
      <c r="AY444" s="1"/>
      <c r="AZ444" s="1"/>
      <c r="BA444" s="1"/>
      <c r="BB444" s="1"/>
      <c r="BC444" s="1"/>
      <c r="BD444" s="1"/>
      <c r="BE444" s="1"/>
      <c r="BF444" s="1"/>
      <c r="BG444" s="1"/>
      <c r="BH444" s="1083">
        <f t="shared" si="55"/>
        <v>26.25</v>
      </c>
      <c r="BI444" s="1"/>
      <c r="BJ444" s="1"/>
      <c r="BK444" s="1"/>
    </row>
    <row r="445" spans="2:63" s="113" customFormat="1" ht="12.75" hidden="1" customHeight="1">
      <c r="B445" s="127"/>
      <c r="C445" s="204"/>
      <c r="D445" s="204" t="str">
        <f t="shared" si="56"/>
        <v>P/E Proximity Energetic - VTE18-4N4240 (Barrel 18mm)PE Cable - 5m</v>
      </c>
      <c r="E445" s="428" t="str">
        <f t="shared" ref="E445:E446" si="58">E444</f>
        <v>P/E Proximity Energetic - VTE18-4N4240 (Barrel 18mm)</v>
      </c>
      <c r="F445" s="100" t="s">
        <v>71</v>
      </c>
      <c r="G445" s="377" t="s">
        <v>541</v>
      </c>
      <c r="H445" s="377" t="s">
        <v>542</v>
      </c>
      <c r="I445" s="402">
        <v>30</v>
      </c>
      <c r="J445" s="131"/>
      <c r="K445" s="201"/>
      <c r="L445" s="201"/>
      <c r="M445" s="201"/>
      <c r="N445" s="256"/>
      <c r="O445" s="256"/>
      <c r="P445" s="256"/>
      <c r="Q445" s="256"/>
      <c r="R445" s="256"/>
      <c r="S445" s="256"/>
      <c r="T445" s="256"/>
      <c r="U445" s="256"/>
      <c r="V445" s="256"/>
      <c r="W445" s="256"/>
      <c r="X445" s="256"/>
      <c r="Y445" s="256"/>
      <c r="Z445" s="256"/>
      <c r="AA445" s="256"/>
      <c r="AB445" s="256"/>
      <c r="AC445" s="256"/>
      <c r="AD445" s="256"/>
      <c r="AE445" s="256"/>
      <c r="AF445" s="256"/>
      <c r="AG445" s="256"/>
      <c r="AH445" s="256"/>
      <c r="AI445" s="256"/>
      <c r="AJ445" s="256"/>
      <c r="AK445" s="256"/>
      <c r="AL445" s="256"/>
      <c r="AM445" s="256"/>
      <c r="AN445" s="256"/>
      <c r="AO445" s="256"/>
      <c r="AP445" s="256"/>
      <c r="AQ445" s="256">
        <v>27</v>
      </c>
      <c r="AR445" s="908">
        <v>0.05</v>
      </c>
      <c r="AS445" s="112">
        <f t="shared" si="57"/>
        <v>28.35</v>
      </c>
      <c r="AT445" s="1"/>
      <c r="AU445" s="1"/>
      <c r="AV445" s="1"/>
      <c r="AW445" s="1"/>
      <c r="AX445" s="1"/>
      <c r="AY445" s="1"/>
      <c r="AZ445" s="1"/>
      <c r="BA445" s="1"/>
      <c r="BB445" s="1"/>
      <c r="BC445" s="1"/>
      <c r="BD445" s="1"/>
      <c r="BE445" s="1"/>
      <c r="BF445" s="1"/>
      <c r="BG445" s="1"/>
      <c r="BH445" s="1083">
        <f t="shared" si="55"/>
        <v>31.5</v>
      </c>
      <c r="BI445" s="1"/>
      <c r="BJ445" s="1"/>
      <c r="BK445" s="1"/>
    </row>
    <row r="446" spans="2:63" s="113" customFormat="1" ht="12.75" hidden="1" customHeight="1">
      <c r="B446" s="127"/>
      <c r="C446" s="204"/>
      <c r="D446" s="204" t="str">
        <f t="shared" si="56"/>
        <v>P/E Proximity Energetic - VTE18-4N4240 (Barrel 18mm)PE Cable - Custom</v>
      </c>
      <c r="E446" s="428" t="str">
        <f t="shared" si="58"/>
        <v>P/E Proximity Energetic - VTE18-4N4240 (Barrel 18mm)</v>
      </c>
      <c r="F446" s="100" t="s">
        <v>72</v>
      </c>
      <c r="G446" s="377" t="s">
        <v>579</v>
      </c>
      <c r="H446" s="377" t="s">
        <v>579</v>
      </c>
      <c r="I446" s="402" t="s">
        <v>69</v>
      </c>
      <c r="J446" s="131"/>
      <c r="K446" s="201"/>
      <c r="L446" s="201"/>
      <c r="M446" s="201"/>
      <c r="N446" s="256"/>
      <c r="O446" s="256"/>
      <c r="P446" s="256"/>
      <c r="Q446" s="256"/>
      <c r="R446" s="256"/>
      <c r="S446" s="256"/>
      <c r="T446" s="256"/>
      <c r="U446" s="256"/>
      <c r="V446" s="256"/>
      <c r="W446" s="256"/>
      <c r="X446" s="256"/>
      <c r="Y446" s="256"/>
      <c r="Z446" s="256"/>
      <c r="AA446" s="256"/>
      <c r="AB446" s="256"/>
      <c r="AC446" s="256"/>
      <c r="AD446" s="256"/>
      <c r="AE446" s="256"/>
      <c r="AF446" s="256"/>
      <c r="AG446" s="256"/>
      <c r="AH446" s="256"/>
      <c r="AI446" s="256"/>
      <c r="AJ446" s="256"/>
      <c r="AK446" s="256"/>
      <c r="AL446" s="256"/>
      <c r="AM446" s="256"/>
      <c r="AN446" s="256"/>
      <c r="AO446" s="256"/>
      <c r="AP446" s="256"/>
      <c r="AQ446" s="256" t="s">
        <v>69</v>
      </c>
      <c r="AR446" s="908">
        <v>0.05</v>
      </c>
      <c r="AS446" s="112" t="e">
        <f t="shared" si="57"/>
        <v>#VALUE!</v>
      </c>
      <c r="AT446" s="1"/>
      <c r="AU446" s="1"/>
      <c r="AV446" s="1"/>
      <c r="AW446" s="1"/>
      <c r="AX446" s="1"/>
      <c r="AY446" s="1"/>
      <c r="AZ446" s="1"/>
      <c r="BA446" s="1"/>
      <c r="BB446" s="1"/>
      <c r="BC446" s="1"/>
      <c r="BD446" s="1"/>
      <c r="BE446" s="1"/>
      <c r="BF446" s="1"/>
      <c r="BG446" s="1"/>
      <c r="BH446" s="1083" t="e">
        <f t="shared" si="55"/>
        <v>#VALUE!</v>
      </c>
      <c r="BI446" s="1"/>
      <c r="BJ446" s="1"/>
      <c r="BK446" s="1"/>
    </row>
    <row r="447" spans="2:63" s="113" customFormat="1" ht="12.75" hidden="1" customHeight="1">
      <c r="B447" s="127"/>
      <c r="C447" s="133"/>
      <c r="D447" s="133"/>
      <c r="E447" s="133"/>
      <c r="F447" s="133"/>
      <c r="G447" s="133"/>
      <c r="H447" s="133"/>
      <c r="I447" s="337"/>
      <c r="J447" s="131"/>
      <c r="K447" s="201"/>
      <c r="L447" s="201"/>
      <c r="M447" s="201"/>
      <c r="N447" s="256"/>
      <c r="O447" s="256"/>
      <c r="P447" s="256"/>
      <c r="Q447" s="256"/>
      <c r="R447" s="256"/>
      <c r="S447" s="256"/>
      <c r="T447" s="256"/>
      <c r="U447" s="256"/>
      <c r="V447" s="256"/>
      <c r="W447" s="256"/>
      <c r="X447" s="256"/>
      <c r="Y447" s="256"/>
      <c r="Z447" s="256"/>
      <c r="AA447" s="256"/>
      <c r="AB447" s="256"/>
      <c r="AC447" s="256"/>
      <c r="AD447" s="256"/>
      <c r="AE447" s="256"/>
      <c r="AF447" s="256"/>
      <c r="AG447" s="256"/>
      <c r="AH447" s="256"/>
      <c r="AI447" s="256"/>
      <c r="AJ447" s="256"/>
      <c r="AK447" s="256"/>
      <c r="AL447" s="256"/>
      <c r="AM447" s="256"/>
      <c r="AN447" s="256"/>
      <c r="AO447" s="256"/>
      <c r="AP447" s="256"/>
      <c r="AQ447" s="256"/>
      <c r="AR447" s="256"/>
      <c r="AS447" s="1"/>
      <c r="AT447" s="1"/>
      <c r="AU447" s="1"/>
      <c r="AV447" s="1"/>
      <c r="AW447" s="1"/>
      <c r="AX447" s="1"/>
      <c r="AY447" s="1"/>
      <c r="AZ447" s="1"/>
      <c r="BA447" s="1"/>
      <c r="BB447" s="1"/>
      <c r="BC447" s="1"/>
      <c r="BD447" s="1"/>
      <c r="BE447" s="1"/>
      <c r="BF447" s="1"/>
      <c r="BG447" s="1"/>
      <c r="BH447" s="1"/>
      <c r="BI447" s="1"/>
      <c r="BJ447" s="1"/>
      <c r="BK447" s="1"/>
    </row>
    <row r="448" spans="2:63" s="113" customFormat="1" ht="12.75" hidden="1" customHeight="1">
      <c r="B448" s="127"/>
      <c r="C448" s="133"/>
      <c r="D448" s="133"/>
      <c r="E448" s="133"/>
      <c r="F448" s="133"/>
      <c r="G448" s="133"/>
      <c r="H448" s="133"/>
      <c r="I448" s="337"/>
      <c r="J448" s="131"/>
      <c r="K448" s="201"/>
      <c r="L448" s="201"/>
      <c r="M448" s="201"/>
      <c r="N448" s="256"/>
      <c r="O448" s="256"/>
      <c r="P448" s="256"/>
      <c r="Q448" s="256"/>
      <c r="R448" s="256"/>
      <c r="S448" s="256"/>
      <c r="T448" s="256"/>
      <c r="U448" s="256"/>
      <c r="V448" s="256"/>
      <c r="W448" s="256"/>
      <c r="X448" s="256"/>
      <c r="Y448" s="256"/>
      <c r="Z448" s="256"/>
      <c r="AA448" s="256"/>
      <c r="AB448" s="256"/>
      <c r="AC448" s="256"/>
      <c r="AD448" s="256"/>
      <c r="AE448" s="256"/>
      <c r="AF448" s="256"/>
      <c r="AG448" s="256"/>
      <c r="AH448" s="256"/>
      <c r="AI448" s="256"/>
      <c r="AJ448" s="256"/>
      <c r="AK448" s="256"/>
      <c r="AL448" s="256"/>
      <c r="AM448" s="256"/>
      <c r="AN448" s="256"/>
      <c r="AO448" s="256"/>
      <c r="AP448" s="256"/>
      <c r="AQ448" s="256"/>
      <c r="AR448" s="256"/>
      <c r="AS448" s="1"/>
      <c r="AT448" s="1"/>
      <c r="AU448" s="1"/>
      <c r="AV448" s="1"/>
      <c r="AW448" s="1"/>
      <c r="AX448" s="1"/>
      <c r="AY448" s="1"/>
      <c r="AZ448" s="1"/>
      <c r="BA448" s="1"/>
      <c r="BB448" s="1"/>
      <c r="BC448" s="1"/>
      <c r="BD448" s="1"/>
      <c r="BE448" s="1"/>
      <c r="BF448" s="1"/>
      <c r="BG448" s="1"/>
      <c r="BH448" s="1"/>
      <c r="BI448" s="1"/>
      <c r="BJ448" s="1"/>
      <c r="BK448" s="1"/>
    </row>
    <row r="449" spans="2:63" s="113" customFormat="1" ht="12.75" hidden="1" customHeight="1">
      <c r="B449" s="127"/>
      <c r="C449" s="133"/>
      <c r="D449" s="133"/>
      <c r="E449" s="133"/>
      <c r="F449" s="133"/>
      <c r="G449" s="133"/>
      <c r="H449" s="133"/>
      <c r="I449" s="337"/>
      <c r="J449" s="131"/>
      <c r="K449" s="201"/>
      <c r="L449" s="201"/>
      <c r="M449" s="201"/>
      <c r="N449" s="256"/>
      <c r="O449" s="256"/>
      <c r="P449" s="256"/>
      <c r="Q449" s="256"/>
      <c r="R449" s="256"/>
      <c r="S449" s="256"/>
      <c r="T449" s="256"/>
      <c r="U449" s="256"/>
      <c r="V449" s="256"/>
      <c r="W449" s="256"/>
      <c r="X449" s="256"/>
      <c r="Y449" s="256"/>
      <c r="Z449" s="256"/>
      <c r="AA449" s="256"/>
      <c r="AB449" s="256"/>
      <c r="AC449" s="256"/>
      <c r="AD449" s="256"/>
      <c r="AE449" s="256"/>
      <c r="AF449" s="256"/>
      <c r="AG449" s="256"/>
      <c r="AH449" s="256"/>
      <c r="AI449" s="256"/>
      <c r="AJ449" s="256"/>
      <c r="AK449" s="256"/>
      <c r="AL449" s="256"/>
      <c r="AM449" s="256"/>
      <c r="AN449" s="256"/>
      <c r="AO449" s="256"/>
      <c r="AP449" s="256"/>
      <c r="AQ449" s="256"/>
      <c r="AR449" s="256"/>
      <c r="AS449" s="1"/>
      <c r="AT449" s="1"/>
      <c r="AU449" s="1"/>
      <c r="AV449" s="1"/>
      <c r="AW449" s="1"/>
      <c r="AX449" s="1"/>
      <c r="AY449" s="1"/>
      <c r="AZ449" s="1"/>
      <c r="BA449" s="1"/>
      <c r="BB449" s="1"/>
      <c r="BC449" s="1"/>
      <c r="BD449" s="1"/>
      <c r="BE449" s="1"/>
      <c r="BF449" s="1"/>
      <c r="BG449" s="1"/>
      <c r="BH449" s="1"/>
      <c r="BI449" s="1"/>
      <c r="BJ449" s="1"/>
      <c r="BK449" s="1"/>
    </row>
    <row r="450" spans="2:63" s="113" customFormat="1" ht="12.75" hidden="1" customHeight="1">
      <c r="B450" s="127"/>
      <c r="C450" s="133"/>
      <c r="D450" s="133"/>
      <c r="E450" s="133"/>
      <c r="F450" s="133"/>
      <c r="G450" s="133"/>
      <c r="H450" s="133"/>
      <c r="I450" s="337"/>
      <c r="J450" s="131"/>
      <c r="K450" s="201"/>
      <c r="L450" s="201"/>
      <c r="M450" s="201"/>
      <c r="N450" s="256"/>
      <c r="O450" s="256"/>
      <c r="P450" s="256"/>
      <c r="Q450" s="256"/>
      <c r="R450" s="256"/>
      <c r="S450" s="256"/>
      <c r="T450" s="256"/>
      <c r="U450" s="256"/>
      <c r="V450" s="256"/>
      <c r="W450" s="256"/>
      <c r="X450" s="256"/>
      <c r="Y450" s="256"/>
      <c r="Z450" s="256"/>
      <c r="AA450" s="256"/>
      <c r="AB450" s="256"/>
      <c r="AC450" s="256"/>
      <c r="AD450" s="256"/>
      <c r="AE450" s="256"/>
      <c r="AF450" s="256"/>
      <c r="AG450" s="256"/>
      <c r="AH450" s="256"/>
      <c r="AI450" s="256"/>
      <c r="AJ450" s="256"/>
      <c r="AK450" s="256"/>
      <c r="AL450" s="256"/>
      <c r="AM450" s="256"/>
      <c r="AN450" s="256"/>
      <c r="AO450" s="256"/>
      <c r="AP450" s="256"/>
      <c r="AQ450" s="256"/>
      <c r="AR450" s="256"/>
      <c r="AS450" s="1"/>
      <c r="AT450" s="1"/>
      <c r="AU450" s="1"/>
      <c r="AV450" s="1"/>
      <c r="AW450" s="1"/>
      <c r="AX450" s="1"/>
      <c r="AY450" s="1"/>
      <c r="AZ450" s="1"/>
      <c r="BA450" s="1"/>
      <c r="BB450" s="1"/>
      <c r="BC450" s="1"/>
      <c r="BD450" s="1"/>
      <c r="BE450" s="1"/>
      <c r="BF450" s="1"/>
      <c r="BG450" s="1"/>
      <c r="BH450" s="1"/>
      <c r="BI450" s="1"/>
      <c r="BJ450" s="1"/>
      <c r="BK450" s="1"/>
    </row>
    <row r="451" spans="2:63" s="113" customFormat="1" ht="12.75" hidden="1" customHeight="1">
      <c r="B451" s="127"/>
      <c r="C451" s="133"/>
      <c r="D451" s="133"/>
      <c r="E451" s="133"/>
      <c r="F451" s="133"/>
      <c r="G451" s="133"/>
      <c r="H451" s="133"/>
      <c r="I451" s="337"/>
      <c r="J451" s="131"/>
      <c r="K451" s="201"/>
      <c r="L451" s="201"/>
      <c r="M451" s="201"/>
      <c r="N451" s="256"/>
      <c r="O451" s="256"/>
      <c r="P451" s="256"/>
      <c r="Q451" s="256"/>
      <c r="R451" s="256"/>
      <c r="S451" s="256"/>
      <c r="T451" s="256"/>
      <c r="U451" s="256"/>
      <c r="V451" s="256"/>
      <c r="W451" s="256"/>
      <c r="X451" s="256"/>
      <c r="Y451" s="256"/>
      <c r="Z451" s="256"/>
      <c r="AA451" s="256"/>
      <c r="AB451" s="256"/>
      <c r="AC451" s="256"/>
      <c r="AD451" s="256"/>
      <c r="AE451" s="256"/>
      <c r="AF451" s="256"/>
      <c r="AG451" s="256"/>
      <c r="AH451" s="256"/>
      <c r="AI451" s="256"/>
      <c r="AJ451" s="256"/>
      <c r="AK451" s="256"/>
      <c r="AL451" s="256"/>
      <c r="AM451" s="256"/>
      <c r="AN451" s="256"/>
      <c r="AO451" s="256"/>
      <c r="AP451" s="256"/>
      <c r="AQ451" s="256"/>
      <c r="AR451" s="256"/>
      <c r="AS451" s="1"/>
      <c r="AT451" s="1"/>
      <c r="AU451" s="1"/>
      <c r="AV451" s="1"/>
      <c r="AW451" s="1"/>
      <c r="AX451" s="1"/>
      <c r="AY451" s="1"/>
      <c r="AZ451" s="1"/>
      <c r="BA451" s="1"/>
      <c r="BB451" s="1"/>
      <c r="BC451" s="1"/>
      <c r="BD451" s="1"/>
      <c r="BE451" s="1"/>
      <c r="BF451" s="1"/>
      <c r="BG451" s="1"/>
      <c r="BH451" s="1"/>
      <c r="BI451" s="1"/>
      <c r="BJ451" s="1"/>
      <c r="BK451" s="1"/>
    </row>
    <row r="452" spans="2:63" s="113" customFormat="1" ht="12.75" hidden="1" customHeight="1">
      <c r="B452" s="127"/>
      <c r="C452" s="133"/>
      <c r="D452" s="133"/>
      <c r="E452" s="133"/>
      <c r="F452" s="133"/>
      <c r="G452" s="133"/>
      <c r="H452" s="133"/>
      <c r="I452" s="337"/>
      <c r="J452" s="131"/>
      <c r="K452" s="201"/>
      <c r="L452" s="201"/>
      <c r="M452" s="201"/>
      <c r="N452" s="256"/>
      <c r="O452" s="256"/>
      <c r="P452" s="256"/>
      <c r="Q452" s="256"/>
      <c r="R452" s="256"/>
      <c r="S452" s="256"/>
      <c r="T452" s="256"/>
      <c r="U452" s="256"/>
      <c r="V452" s="256"/>
      <c r="W452" s="256"/>
      <c r="X452" s="256"/>
      <c r="Y452" s="256"/>
      <c r="Z452" s="256"/>
      <c r="AA452" s="256"/>
      <c r="AB452" s="256"/>
      <c r="AC452" s="256"/>
      <c r="AD452" s="256"/>
      <c r="AE452" s="256"/>
      <c r="AF452" s="256"/>
      <c r="AG452" s="256"/>
      <c r="AH452" s="256"/>
      <c r="AI452" s="256"/>
      <c r="AJ452" s="256"/>
      <c r="AK452" s="256"/>
      <c r="AL452" s="256"/>
      <c r="AM452" s="256"/>
      <c r="AN452" s="256"/>
      <c r="AO452" s="256"/>
      <c r="AP452" s="256"/>
      <c r="AQ452" s="256"/>
      <c r="AR452" s="256"/>
      <c r="AS452" s="1"/>
      <c r="AT452" s="1"/>
      <c r="AU452" s="1"/>
      <c r="AV452" s="1"/>
      <c r="AW452" s="1"/>
      <c r="AX452" s="1"/>
      <c r="AY452" s="1"/>
      <c r="AZ452" s="1"/>
      <c r="BA452" s="1"/>
      <c r="BB452" s="1"/>
      <c r="BC452" s="1"/>
      <c r="BD452" s="1"/>
      <c r="BE452" s="1"/>
      <c r="BF452" s="1"/>
      <c r="BG452" s="1"/>
      <c r="BH452" s="1"/>
      <c r="BI452" s="1"/>
      <c r="BJ452" s="1"/>
      <c r="BK452" s="1"/>
    </row>
    <row r="453" spans="2:63" s="113" customFormat="1" ht="12.75" hidden="1" customHeight="1">
      <c r="B453" s="127"/>
      <c r="C453" s="133"/>
      <c r="D453" s="133"/>
      <c r="E453" s="133"/>
      <c r="F453" s="133"/>
      <c r="G453" s="133"/>
      <c r="H453" s="133"/>
      <c r="I453" s="337"/>
      <c r="J453" s="131"/>
      <c r="K453" s="201"/>
      <c r="L453" s="201"/>
      <c r="M453" s="201"/>
      <c r="N453" s="256"/>
      <c r="O453" s="256"/>
      <c r="P453" s="256"/>
      <c r="Q453" s="256"/>
      <c r="R453" s="256"/>
      <c r="S453" s="256"/>
      <c r="T453" s="256"/>
      <c r="U453" s="256"/>
      <c r="V453" s="256"/>
      <c r="W453" s="256"/>
      <c r="X453" s="256"/>
      <c r="Y453" s="256"/>
      <c r="Z453" s="256"/>
      <c r="AA453" s="256"/>
      <c r="AB453" s="256"/>
      <c r="AC453" s="256"/>
      <c r="AD453" s="256"/>
      <c r="AE453" s="256"/>
      <c r="AF453" s="256"/>
      <c r="AG453" s="256"/>
      <c r="AH453" s="256"/>
      <c r="AI453" s="256"/>
      <c r="AJ453" s="256"/>
      <c r="AK453" s="256"/>
      <c r="AL453" s="256"/>
      <c r="AM453" s="256"/>
      <c r="AN453" s="256"/>
      <c r="AO453" s="256"/>
      <c r="AP453" s="256"/>
      <c r="AQ453" s="256"/>
      <c r="AR453" s="256"/>
      <c r="AS453" s="1"/>
      <c r="AT453" s="1"/>
      <c r="AU453" s="1"/>
      <c r="AV453" s="1"/>
      <c r="AW453" s="1"/>
      <c r="AX453" s="1"/>
      <c r="AY453" s="1"/>
      <c r="AZ453" s="1"/>
      <c r="BA453" s="1"/>
      <c r="BB453" s="1"/>
      <c r="BC453" s="1"/>
      <c r="BD453" s="1"/>
      <c r="BE453" s="1"/>
      <c r="BF453" s="1"/>
      <c r="BG453" s="1"/>
      <c r="BH453" s="1"/>
      <c r="BI453" s="1"/>
      <c r="BJ453" s="1"/>
      <c r="BK453" s="1"/>
    </row>
    <row r="454" spans="2:63" s="113" customFormat="1" ht="12.75" hidden="1" customHeight="1">
      <c r="B454" s="127"/>
      <c r="C454" s="133"/>
      <c r="D454" s="133"/>
      <c r="E454" s="133"/>
      <c r="F454" s="133"/>
      <c r="G454" s="133"/>
      <c r="H454" s="133"/>
      <c r="I454" s="337"/>
      <c r="J454" s="131"/>
      <c r="K454" s="201"/>
      <c r="L454" s="201"/>
      <c r="M454" s="201"/>
      <c r="N454" s="256"/>
      <c r="O454" s="256"/>
      <c r="P454" s="256"/>
      <c r="Q454" s="256"/>
      <c r="R454" s="256"/>
      <c r="S454" s="256"/>
      <c r="T454" s="256"/>
      <c r="U454" s="256"/>
      <c r="V454" s="256"/>
      <c r="W454" s="256"/>
      <c r="X454" s="256"/>
      <c r="Y454" s="256"/>
      <c r="Z454" s="256"/>
      <c r="AA454" s="256"/>
      <c r="AB454" s="256"/>
      <c r="AC454" s="256"/>
      <c r="AD454" s="256"/>
      <c r="AE454" s="256"/>
      <c r="AF454" s="256"/>
      <c r="AG454" s="256"/>
      <c r="AH454" s="256"/>
      <c r="AI454" s="256"/>
      <c r="AJ454" s="256"/>
      <c r="AK454" s="256"/>
      <c r="AL454" s="256"/>
      <c r="AM454" s="256"/>
      <c r="AN454" s="256"/>
      <c r="AO454" s="256"/>
      <c r="AP454" s="256"/>
      <c r="AQ454" s="256"/>
      <c r="AR454" s="256"/>
      <c r="AS454" s="1"/>
      <c r="AT454" s="1"/>
      <c r="AU454" s="1"/>
      <c r="AV454" s="1"/>
      <c r="AW454" s="1"/>
      <c r="AX454" s="1"/>
      <c r="AY454" s="1"/>
      <c r="AZ454" s="1"/>
      <c r="BA454" s="1"/>
      <c r="BB454" s="1"/>
      <c r="BC454" s="1"/>
      <c r="BD454" s="1"/>
      <c r="BE454" s="1"/>
      <c r="BF454" s="1"/>
      <c r="BG454" s="1"/>
      <c r="BH454" s="1"/>
      <c r="BI454" s="1"/>
      <c r="BJ454" s="1"/>
      <c r="BK454" s="1"/>
    </row>
    <row r="455" spans="2:63" s="113" customFormat="1" ht="12.75" hidden="1" customHeight="1">
      <c r="B455" s="127"/>
      <c r="C455" s="133"/>
      <c r="D455" s="133"/>
      <c r="E455" s="133"/>
      <c r="F455" s="133"/>
      <c r="G455" s="133"/>
      <c r="H455" s="133"/>
      <c r="I455" s="337"/>
      <c r="J455" s="131"/>
      <c r="K455" s="201"/>
      <c r="L455" s="201"/>
      <c r="M455" s="201"/>
      <c r="N455" s="256"/>
      <c r="O455" s="256"/>
      <c r="P455" s="256"/>
      <c r="Q455" s="256"/>
      <c r="R455" s="256"/>
      <c r="S455" s="256"/>
      <c r="T455" s="256"/>
      <c r="U455" s="256"/>
      <c r="V455" s="256"/>
      <c r="W455" s="256"/>
      <c r="X455" s="256"/>
      <c r="Y455" s="256"/>
      <c r="Z455" s="256"/>
      <c r="AA455" s="256"/>
      <c r="AB455" s="256"/>
      <c r="AC455" s="256"/>
      <c r="AD455" s="256"/>
      <c r="AE455" s="256"/>
      <c r="AF455" s="256"/>
      <c r="AG455" s="256"/>
      <c r="AH455" s="256"/>
      <c r="AI455" s="256"/>
      <c r="AJ455" s="256"/>
      <c r="AK455" s="256"/>
      <c r="AL455" s="256"/>
      <c r="AM455" s="256"/>
      <c r="AN455" s="256"/>
      <c r="AO455" s="256"/>
      <c r="AP455" s="256"/>
      <c r="AQ455" s="256"/>
      <c r="AR455" s="256"/>
      <c r="AS455" s="1"/>
      <c r="AT455" s="1"/>
      <c r="AU455" s="1"/>
      <c r="AV455" s="1"/>
      <c r="AW455" s="1"/>
      <c r="AX455" s="1"/>
      <c r="AY455" s="1"/>
      <c r="AZ455" s="1"/>
      <c r="BA455" s="1"/>
      <c r="BB455" s="1"/>
      <c r="BC455" s="1"/>
      <c r="BD455" s="1"/>
      <c r="BE455" s="1"/>
      <c r="BF455" s="1"/>
      <c r="BG455" s="1"/>
      <c r="BH455" s="1"/>
      <c r="BI455" s="1"/>
      <c r="BJ455" s="1"/>
      <c r="BK455" s="1"/>
    </row>
    <row r="456" spans="2:63" s="113" customFormat="1" ht="12.75" hidden="1" customHeight="1">
      <c r="B456" s="127"/>
      <c r="C456" s="133"/>
      <c r="D456" s="133"/>
      <c r="E456" s="115"/>
      <c r="F456" s="109"/>
      <c r="G456" s="28"/>
      <c r="H456" s="109"/>
      <c r="I456" s="335"/>
      <c r="J456" s="131"/>
      <c r="K456" s="201"/>
      <c r="L456" s="201"/>
      <c r="M456" s="201"/>
      <c r="N456" s="256"/>
      <c r="O456" s="256"/>
      <c r="P456" s="256"/>
      <c r="Q456" s="256"/>
      <c r="R456" s="256"/>
      <c r="S456" s="256"/>
      <c r="T456" s="256"/>
      <c r="U456" s="256"/>
      <c r="V456" s="256"/>
      <c r="W456" s="256"/>
      <c r="X456" s="256"/>
      <c r="Y456" s="256"/>
      <c r="Z456" s="256"/>
      <c r="AA456" s="256"/>
      <c r="AB456" s="256"/>
      <c r="AC456" s="256"/>
      <c r="AD456" s="256"/>
      <c r="AE456" s="256"/>
      <c r="AF456" s="256"/>
      <c r="AG456" s="256"/>
      <c r="AH456" s="256"/>
      <c r="AI456" s="256"/>
      <c r="AJ456" s="256"/>
      <c r="AK456" s="256"/>
      <c r="AL456" s="256"/>
      <c r="AM456" s="256"/>
      <c r="AN456" s="256"/>
      <c r="AO456" s="256"/>
      <c r="AP456" s="256"/>
      <c r="AQ456" s="256"/>
      <c r="AR456" s="256"/>
      <c r="AS456" s="1"/>
      <c r="AT456" s="1"/>
      <c r="AU456" s="1"/>
      <c r="AV456" s="1"/>
      <c r="AW456" s="1"/>
      <c r="AX456" s="1"/>
      <c r="AY456" s="1"/>
      <c r="AZ456" s="1"/>
      <c r="BA456" s="1"/>
      <c r="BB456" s="1"/>
      <c r="BC456" s="1"/>
      <c r="BD456" s="1"/>
      <c r="BE456" s="1"/>
      <c r="BF456" s="1"/>
      <c r="BG456" s="1"/>
      <c r="BH456" s="1"/>
      <c r="BI456" s="1"/>
      <c r="BJ456" s="1"/>
      <c r="BK456" s="1"/>
    </row>
    <row r="457" spans="2:63" s="113" customFormat="1" ht="12.75" hidden="1" customHeight="1">
      <c r="B457" s="127"/>
      <c r="C457" s="115"/>
      <c r="D457" s="115"/>
      <c r="E457" s="115"/>
      <c r="F457" s="109"/>
      <c r="G457" s="28"/>
      <c r="H457" s="109"/>
      <c r="I457" s="335"/>
      <c r="J457" s="131"/>
      <c r="K457" s="201"/>
      <c r="L457" s="201"/>
      <c r="M457" s="201"/>
      <c r="N457" s="256"/>
      <c r="O457" s="256"/>
      <c r="P457" s="256"/>
      <c r="Q457" s="256"/>
      <c r="R457" s="256"/>
      <c r="S457" s="256"/>
      <c r="T457" s="256"/>
      <c r="U457" s="256"/>
      <c r="V457" s="256"/>
      <c r="W457" s="256"/>
      <c r="X457" s="256"/>
      <c r="Y457" s="256"/>
      <c r="Z457" s="256"/>
      <c r="AA457" s="256"/>
      <c r="AB457" s="256"/>
      <c r="AC457" s="256"/>
      <c r="AD457" s="256"/>
      <c r="AE457" s="256"/>
      <c r="AF457" s="256"/>
      <c r="AG457" s="256"/>
      <c r="AH457" s="256"/>
      <c r="AI457" s="256"/>
      <c r="AJ457" s="256"/>
      <c r="AK457" s="256"/>
      <c r="AL457" s="256"/>
      <c r="AM457" s="256"/>
      <c r="AN457" s="256"/>
      <c r="AO457" s="256"/>
      <c r="AP457" s="256"/>
      <c r="AQ457" s="256"/>
      <c r="AR457" s="256"/>
      <c r="AS457" s="1"/>
      <c r="AT457" s="1"/>
      <c r="AU457" s="1"/>
      <c r="AV457" s="1"/>
      <c r="AW457" s="1"/>
      <c r="AX457" s="1"/>
      <c r="AY457" s="1"/>
      <c r="AZ457" s="1"/>
      <c r="BA457" s="1"/>
      <c r="BB457" s="1"/>
      <c r="BC457" s="1"/>
      <c r="BD457" s="1"/>
      <c r="BE457" s="1"/>
      <c r="BF457" s="1"/>
      <c r="BG457" s="1"/>
      <c r="BH457" s="1"/>
      <c r="BI457" s="1"/>
      <c r="BJ457" s="1"/>
      <c r="BK457" s="1"/>
    </row>
    <row r="458" spans="2:63" ht="12.75" hidden="1" customHeight="1">
      <c r="B458" s="127"/>
      <c r="C458" s="115"/>
      <c r="D458" s="115"/>
      <c r="E458" s="115"/>
      <c r="F458" s="109"/>
      <c r="G458" s="28"/>
      <c r="H458" s="109"/>
      <c r="I458" s="335"/>
      <c r="J458" s="131"/>
      <c r="AS458"/>
      <c r="AT458"/>
      <c r="AU458"/>
      <c r="AV458"/>
      <c r="AW458"/>
      <c r="AX458"/>
      <c r="AY458"/>
      <c r="AZ458"/>
      <c r="BA458"/>
      <c r="BB458"/>
      <c r="BC458"/>
      <c r="BD458"/>
      <c r="BE458"/>
      <c r="BF458"/>
      <c r="BG458"/>
      <c r="BH458"/>
      <c r="BI458"/>
      <c r="BJ458"/>
      <c r="BK458"/>
    </row>
    <row r="459" spans="2:63" s="113" customFormat="1" ht="12.75" hidden="1" customHeight="1">
      <c r="B459" s="127"/>
      <c r="C459" s="132"/>
      <c r="D459" s="132" t="s">
        <v>44</v>
      </c>
      <c r="E459" s="115"/>
      <c r="F459" s="109"/>
      <c r="G459" s="28"/>
      <c r="H459" s="109"/>
      <c r="I459" s="335"/>
      <c r="J459" s="131"/>
      <c r="K459" s="201"/>
      <c r="L459" s="201"/>
      <c r="M459" s="201"/>
      <c r="N459" s="256"/>
      <c r="O459" s="256"/>
      <c r="P459" s="256"/>
      <c r="Q459" s="256"/>
      <c r="R459" s="256"/>
      <c r="S459" s="256"/>
      <c r="T459" s="256"/>
      <c r="U459" s="256"/>
      <c r="V459" s="256"/>
      <c r="W459" s="256"/>
      <c r="X459" s="256"/>
      <c r="Y459" s="256"/>
      <c r="Z459" s="256"/>
      <c r="AA459" s="256"/>
      <c r="AB459" s="256"/>
      <c r="AC459" s="256"/>
      <c r="AD459" s="256"/>
      <c r="AE459" s="256"/>
      <c r="AF459" s="256"/>
      <c r="AG459" s="256"/>
      <c r="AH459" s="256"/>
      <c r="AI459" s="256"/>
      <c r="AJ459" s="256"/>
      <c r="AK459" s="256"/>
      <c r="AL459" s="256"/>
      <c r="AM459" s="256"/>
      <c r="AN459" s="256"/>
      <c r="AO459" s="256"/>
      <c r="AP459" s="256"/>
      <c r="AQ459" s="256"/>
      <c r="AR459" s="256"/>
      <c r="AS459" s="1"/>
      <c r="AT459" s="1"/>
      <c r="AU459" s="1"/>
      <c r="AV459" s="1"/>
      <c r="AW459" s="1"/>
      <c r="AX459" s="1"/>
      <c r="AY459" s="1"/>
      <c r="AZ459" s="1"/>
      <c r="BA459" s="1"/>
      <c r="BB459" s="1"/>
      <c r="BC459" s="1"/>
      <c r="BD459" s="1"/>
      <c r="BE459" s="1"/>
      <c r="BF459" s="1"/>
      <c r="BG459" s="1"/>
      <c r="BH459" s="1"/>
      <c r="BI459" s="1"/>
      <c r="BJ459" s="1"/>
      <c r="BK459" s="1"/>
    </row>
    <row r="460" spans="2:63" s="113" customFormat="1" ht="12.75" hidden="1" customHeight="1">
      <c r="B460" s="127"/>
      <c r="C460" s="115"/>
      <c r="D460" s="115"/>
      <c r="E460" s="133" t="s">
        <v>62</v>
      </c>
      <c r="F460" s="196" t="s">
        <v>1031</v>
      </c>
      <c r="G460" s="501">
        <v>1</v>
      </c>
      <c r="H460" s="98"/>
      <c r="I460" s="422">
        <v>950</v>
      </c>
      <c r="J460" s="131"/>
      <c r="K460" s="201"/>
      <c r="L460" s="201"/>
      <c r="M460" s="201"/>
      <c r="N460" s="256"/>
      <c r="O460" s="256"/>
      <c r="P460" s="256"/>
      <c r="Q460" s="256"/>
      <c r="R460" s="256"/>
      <c r="S460" s="256"/>
      <c r="T460" s="256"/>
      <c r="U460" s="256"/>
      <c r="V460" s="256"/>
      <c r="W460" s="256"/>
      <c r="X460" s="256"/>
      <c r="Y460" s="256"/>
      <c r="Z460" s="256"/>
      <c r="AA460" s="256"/>
      <c r="AB460" s="256"/>
      <c r="AC460" s="256"/>
      <c r="AD460" s="256"/>
      <c r="AE460" s="256"/>
      <c r="AF460" s="256"/>
      <c r="AG460" s="256"/>
      <c r="AH460" s="256"/>
      <c r="AI460" s="256"/>
      <c r="AJ460" s="256"/>
      <c r="AK460" s="256"/>
      <c r="AL460" s="256"/>
      <c r="AM460" s="256"/>
      <c r="AN460" s="256"/>
      <c r="AO460" s="256"/>
      <c r="AP460" s="256"/>
      <c r="AQ460" s="256"/>
      <c r="AR460" s="256"/>
      <c r="AS460" s="1"/>
      <c r="AT460" s="1"/>
      <c r="AU460" s="1"/>
      <c r="AV460" s="1"/>
      <c r="AW460" s="1"/>
      <c r="AX460" s="1"/>
      <c r="AY460" s="1"/>
      <c r="AZ460" s="1"/>
      <c r="BA460" s="1"/>
      <c r="BB460" s="1"/>
      <c r="BC460" s="1"/>
      <c r="BD460" s="1"/>
      <c r="BE460" s="1"/>
      <c r="BF460" s="1"/>
      <c r="BG460" s="1"/>
      <c r="BH460" s="1"/>
      <c r="BI460" s="1"/>
      <c r="BJ460" s="1"/>
      <c r="BK460" s="1"/>
    </row>
    <row r="461" spans="2:63" s="113" customFormat="1" ht="12.75" hidden="1" customHeight="1">
      <c r="B461" s="127"/>
      <c r="C461" s="115"/>
      <c r="D461" s="115"/>
      <c r="E461" s="133"/>
      <c r="F461" s="133"/>
      <c r="G461" s="501">
        <v>1</v>
      </c>
      <c r="H461" s="3">
        <v>2</v>
      </c>
      <c r="I461" s="422">
        <v>950</v>
      </c>
      <c r="J461" s="131"/>
      <c r="K461" s="201"/>
      <c r="L461" s="201"/>
      <c r="M461" s="201"/>
      <c r="N461" s="256"/>
      <c r="O461" s="256"/>
      <c r="P461" s="256"/>
      <c r="Q461" s="256"/>
      <c r="R461" s="256"/>
      <c r="S461" s="256"/>
      <c r="T461" s="256"/>
      <c r="U461" s="256"/>
      <c r="V461" s="256"/>
      <c r="W461" s="256"/>
      <c r="X461" s="256"/>
      <c r="Y461" s="256"/>
      <c r="Z461" s="256"/>
      <c r="AA461" s="256"/>
      <c r="AB461" s="256"/>
      <c r="AC461" s="256"/>
      <c r="AD461" s="256"/>
      <c r="AE461" s="256"/>
      <c r="AF461" s="256"/>
      <c r="AG461" s="256"/>
      <c r="AH461" s="256"/>
      <c r="AI461" s="256"/>
      <c r="AJ461" s="256"/>
      <c r="AK461" s="256"/>
      <c r="AL461" s="256"/>
      <c r="AM461" s="256"/>
      <c r="AN461" s="256"/>
      <c r="AO461" s="256"/>
      <c r="AP461" s="256"/>
      <c r="AQ461" s="256"/>
      <c r="AR461" s="256"/>
      <c r="AS461" s="1"/>
      <c r="AT461" s="1"/>
      <c r="AU461" s="1"/>
      <c r="AV461" s="1"/>
      <c r="AW461" s="1"/>
      <c r="AX461" s="1"/>
      <c r="AY461" s="1"/>
      <c r="AZ461" s="1"/>
      <c r="BA461" s="1"/>
      <c r="BB461" s="1"/>
      <c r="BC461" s="1"/>
      <c r="BD461" s="1"/>
      <c r="BE461" s="1"/>
      <c r="BF461" s="1"/>
      <c r="BG461" s="1"/>
      <c r="BH461" s="1"/>
      <c r="BI461" s="1"/>
      <c r="BJ461" s="1"/>
      <c r="BK461" s="1"/>
    </row>
    <row r="462" spans="2:63" s="113" customFormat="1" ht="12.75" hidden="1" customHeight="1">
      <c r="B462" s="127"/>
      <c r="C462" s="115"/>
      <c r="D462" s="115"/>
      <c r="E462" s="133"/>
      <c r="F462" s="133"/>
      <c r="G462" s="501">
        <v>2</v>
      </c>
      <c r="H462" s="3">
        <v>4</v>
      </c>
      <c r="I462" s="422">
        <f>I461*G462</f>
        <v>1900</v>
      </c>
      <c r="J462" s="131"/>
      <c r="K462" s="201"/>
      <c r="L462" s="201"/>
      <c r="M462" s="201"/>
      <c r="N462" s="256"/>
      <c r="O462" s="256"/>
      <c r="P462" s="256"/>
      <c r="Q462" s="256"/>
      <c r="R462" s="256"/>
      <c r="S462" s="256"/>
      <c r="T462" s="256"/>
      <c r="U462" s="256"/>
      <c r="V462" s="256"/>
      <c r="W462" s="256"/>
      <c r="X462" s="256"/>
      <c r="Y462" s="256"/>
      <c r="Z462" s="256"/>
      <c r="AA462" s="256"/>
      <c r="AB462" s="256"/>
      <c r="AC462" s="256"/>
      <c r="AD462" s="256"/>
      <c r="AE462" s="256"/>
      <c r="AF462" s="256"/>
      <c r="AG462" s="256"/>
      <c r="AH462" s="256"/>
      <c r="AI462" s="256"/>
      <c r="AJ462" s="256"/>
      <c r="AK462" s="256"/>
      <c r="AL462" s="256"/>
      <c r="AM462" s="256"/>
      <c r="AN462" s="256"/>
      <c r="AO462" s="256"/>
      <c r="AP462" s="256"/>
      <c r="AQ462" s="256"/>
      <c r="AR462" s="256"/>
      <c r="AS462" s="1"/>
      <c r="AT462" s="1"/>
      <c r="AU462" s="1"/>
      <c r="AV462" s="1"/>
      <c r="AW462" s="1"/>
      <c r="AX462" s="1"/>
      <c r="AY462" s="1"/>
      <c r="AZ462" s="1"/>
      <c r="BA462" s="1"/>
      <c r="BB462" s="1"/>
      <c r="BC462" s="1"/>
      <c r="BD462" s="1"/>
      <c r="BE462" s="1"/>
      <c r="BF462" s="1"/>
      <c r="BG462" s="1"/>
      <c r="BH462" s="1"/>
      <c r="BI462" s="1"/>
      <c r="BJ462" s="1"/>
      <c r="BK462" s="1"/>
    </row>
    <row r="463" spans="2:63" s="113" customFormat="1" ht="12.75" hidden="1" customHeight="1">
      <c r="B463" s="127"/>
      <c r="C463" s="115"/>
      <c r="D463" s="115"/>
      <c r="E463" s="133"/>
      <c r="F463" s="133"/>
      <c r="G463" s="501">
        <v>3</v>
      </c>
      <c r="H463" s="3">
        <v>6</v>
      </c>
      <c r="I463" s="422">
        <f>I461*G463</f>
        <v>2850</v>
      </c>
      <c r="J463" s="131"/>
      <c r="K463" s="201"/>
      <c r="L463" s="201"/>
      <c r="M463" s="201"/>
      <c r="N463" s="256"/>
      <c r="O463" s="256"/>
      <c r="P463" s="256"/>
      <c r="Q463" s="256"/>
      <c r="R463" s="256"/>
      <c r="S463" s="256"/>
      <c r="T463" s="256"/>
      <c r="U463" s="256"/>
      <c r="V463" s="256"/>
      <c r="W463" s="256"/>
      <c r="X463" s="256"/>
      <c r="Y463" s="256"/>
      <c r="Z463" s="256"/>
      <c r="AA463" s="256"/>
      <c r="AB463" s="256"/>
      <c r="AC463" s="256"/>
      <c r="AD463" s="256"/>
      <c r="AE463" s="256"/>
      <c r="AF463" s="256"/>
      <c r="AG463" s="256"/>
      <c r="AH463" s="256"/>
      <c r="AI463" s="256"/>
      <c r="AJ463" s="256"/>
      <c r="AK463" s="256"/>
      <c r="AL463" s="256"/>
      <c r="AM463" s="256"/>
      <c r="AN463" s="256"/>
      <c r="AO463" s="256"/>
      <c r="AP463" s="256"/>
      <c r="AQ463" s="256"/>
      <c r="AR463" s="256"/>
      <c r="AS463" s="1"/>
      <c r="AT463" s="1"/>
      <c r="AU463" s="1"/>
      <c r="AV463" s="1"/>
      <c r="AW463" s="1"/>
      <c r="AX463" s="1"/>
      <c r="AY463" s="1"/>
      <c r="AZ463" s="1"/>
      <c r="BA463" s="1"/>
      <c r="BB463" s="1"/>
      <c r="BC463" s="1"/>
      <c r="BD463" s="1"/>
      <c r="BE463" s="1"/>
      <c r="BF463" s="1"/>
      <c r="BG463" s="1"/>
      <c r="BH463" s="1"/>
      <c r="BI463" s="1"/>
      <c r="BJ463" s="1"/>
      <c r="BK463" s="1"/>
    </row>
    <row r="464" spans="2:63" s="113" customFormat="1" ht="12.75" hidden="1" customHeight="1">
      <c r="B464" s="127"/>
      <c r="C464" s="115"/>
      <c r="D464" s="115"/>
      <c r="E464" s="133"/>
      <c r="F464" s="133"/>
      <c r="G464" s="194">
        <v>4</v>
      </c>
      <c r="H464" s="195">
        <v>8</v>
      </c>
      <c r="I464" s="422">
        <f>$I$461*G464</f>
        <v>3800</v>
      </c>
      <c r="J464" s="131"/>
      <c r="K464" s="201"/>
      <c r="L464" s="201"/>
      <c r="M464" s="201"/>
      <c r="N464" s="256"/>
      <c r="O464" s="256"/>
      <c r="P464" s="256"/>
      <c r="Q464" s="256"/>
      <c r="R464" s="256"/>
      <c r="S464" s="256"/>
      <c r="T464" s="256"/>
      <c r="U464" s="256"/>
      <c r="V464" s="256"/>
      <c r="W464" s="256"/>
      <c r="X464" s="256"/>
      <c r="Y464" s="256"/>
      <c r="Z464" s="256"/>
      <c r="AA464" s="256"/>
      <c r="AB464" s="256"/>
      <c r="AC464" s="256"/>
      <c r="AD464" s="256"/>
      <c r="AE464" s="256"/>
      <c r="AF464" s="256"/>
      <c r="AG464" s="256"/>
      <c r="AH464" s="256"/>
      <c r="AI464" s="256"/>
      <c r="AJ464" s="256"/>
      <c r="AK464" s="256"/>
      <c r="AL464" s="256"/>
      <c r="AM464" s="256"/>
      <c r="AN464" s="256"/>
      <c r="AO464" s="256"/>
      <c r="AP464" s="256"/>
      <c r="AQ464" s="256"/>
      <c r="AR464" s="256"/>
      <c r="AS464" s="1"/>
      <c r="AT464" s="1"/>
      <c r="AU464" s="1"/>
      <c r="AV464" s="1"/>
      <c r="AW464" s="1"/>
      <c r="AX464" s="1"/>
      <c r="AY464" s="1"/>
      <c r="AZ464" s="1"/>
      <c r="BA464" s="1"/>
      <c r="BB464" s="1"/>
      <c r="BC464" s="1"/>
      <c r="BD464" s="1"/>
      <c r="BE464" s="1"/>
      <c r="BF464" s="1"/>
      <c r="BG464" s="1"/>
      <c r="BH464" s="1"/>
      <c r="BI464" s="1"/>
      <c r="BJ464" s="1"/>
      <c r="BK464" s="1"/>
    </row>
    <row r="465" spans="2:63" s="113" customFormat="1" ht="12.75" hidden="1" customHeight="1">
      <c r="B465" s="127"/>
      <c r="C465" s="115"/>
      <c r="D465" s="115"/>
      <c r="E465" s="133"/>
      <c r="F465" s="133"/>
      <c r="G465" s="194">
        <v>5</v>
      </c>
      <c r="H465" s="195"/>
      <c r="I465" s="422">
        <f t="shared" ref="I465" si="59">$I$461*G465</f>
        <v>4750</v>
      </c>
      <c r="J465" s="131"/>
      <c r="K465" s="201"/>
      <c r="L465" s="201"/>
      <c r="M465" s="201"/>
      <c r="N465" s="256"/>
      <c r="O465" s="256"/>
      <c r="P465" s="256"/>
      <c r="Q465" s="256"/>
      <c r="R465" s="256"/>
      <c r="S465" s="256"/>
      <c r="T465" s="256"/>
      <c r="U465" s="256"/>
      <c r="V465" s="256"/>
      <c r="W465" s="256"/>
      <c r="X465" s="256"/>
      <c r="Y465" s="256"/>
      <c r="Z465" s="256"/>
      <c r="AA465" s="256"/>
      <c r="AB465" s="256"/>
      <c r="AC465" s="256"/>
      <c r="AD465" s="256"/>
      <c r="AE465" s="256"/>
      <c r="AF465" s="256"/>
      <c r="AG465" s="256"/>
      <c r="AH465" s="256"/>
      <c r="AI465" s="256"/>
      <c r="AJ465" s="256"/>
      <c r="AK465" s="256"/>
      <c r="AL465" s="256"/>
      <c r="AM465" s="256"/>
      <c r="AN465" s="256"/>
      <c r="AO465" s="256"/>
      <c r="AP465" s="256"/>
      <c r="AQ465" s="256"/>
      <c r="AR465" s="256"/>
      <c r="AS465" s="1"/>
      <c r="AT465" s="1"/>
      <c r="AU465" s="1"/>
      <c r="AV465" s="1"/>
      <c r="AW465" s="1"/>
      <c r="AX465" s="1"/>
      <c r="AY465" s="1"/>
      <c r="AZ465" s="1"/>
      <c r="BA465" s="1"/>
      <c r="BB465" s="1"/>
      <c r="BC465" s="1"/>
      <c r="BD465" s="1"/>
      <c r="BE465" s="1"/>
      <c r="BF465" s="1"/>
      <c r="BG465" s="1"/>
      <c r="BH465" s="1"/>
      <c r="BI465" s="1"/>
      <c r="BJ465" s="1"/>
      <c r="BK465" s="1"/>
    </row>
    <row r="466" spans="2:63" s="113" customFormat="1" ht="12.75" hidden="1" customHeight="1">
      <c r="B466" s="127"/>
      <c r="C466" s="115"/>
      <c r="D466" s="115"/>
      <c r="E466" s="133"/>
      <c r="F466" s="196" t="s">
        <v>105</v>
      </c>
      <c r="G466" s="501"/>
      <c r="H466" s="192"/>
      <c r="I466" s="423">
        <v>125</v>
      </c>
      <c r="J466" s="131"/>
      <c r="K466" s="201"/>
      <c r="L466" s="201"/>
      <c r="M466" s="201"/>
      <c r="N466" s="256"/>
      <c r="O466" s="256"/>
      <c r="P466" s="256"/>
      <c r="Q466" s="256"/>
      <c r="R466" s="256"/>
      <c r="S466" s="256"/>
      <c r="T466" s="256"/>
      <c r="U466" s="256"/>
      <c r="V466" s="256"/>
      <c r="W466" s="256"/>
      <c r="X466" s="256"/>
      <c r="Y466" s="256"/>
      <c r="Z466" s="256"/>
      <c r="AA466" s="256"/>
      <c r="AB466" s="256"/>
      <c r="AC466" s="256"/>
      <c r="AD466" s="256"/>
      <c r="AE466" s="256"/>
      <c r="AF466" s="256"/>
      <c r="AG466" s="256"/>
      <c r="AH466" s="256"/>
      <c r="AI466" s="256"/>
      <c r="AJ466" s="256"/>
      <c r="AK466" s="256"/>
      <c r="AL466" s="256"/>
      <c r="AM466" s="256"/>
      <c r="AN466" s="256"/>
      <c r="AO466" s="256"/>
      <c r="AP466" s="256"/>
      <c r="AQ466" s="256"/>
      <c r="AR466" s="256"/>
      <c r="AS466" s="1"/>
      <c r="AT466" s="1"/>
      <c r="AU466" s="1"/>
      <c r="AV466" s="1"/>
      <c r="AW466" s="1"/>
      <c r="AX466" s="1"/>
      <c r="AY466" s="1"/>
      <c r="AZ466" s="1"/>
      <c r="BA466" s="1"/>
      <c r="BB466" s="1"/>
      <c r="BC466" s="1"/>
      <c r="BD466" s="1"/>
      <c r="BE466" s="1"/>
      <c r="BF466" s="1"/>
      <c r="BG466" s="1"/>
      <c r="BH466" s="1"/>
      <c r="BI466" s="1"/>
      <c r="BJ466" s="1"/>
      <c r="BK466" s="1"/>
    </row>
    <row r="467" spans="2:63" s="113" customFormat="1" ht="12.75" hidden="1" customHeight="1">
      <c r="B467" s="127"/>
      <c r="C467" s="115"/>
      <c r="D467" s="115"/>
      <c r="E467" s="133"/>
      <c r="F467" s="196" t="s">
        <v>1015</v>
      </c>
      <c r="G467" s="874"/>
      <c r="H467" s="98"/>
      <c r="I467" s="874">
        <v>180</v>
      </c>
      <c r="J467" s="131"/>
      <c r="K467" s="201"/>
      <c r="L467" s="201"/>
      <c r="M467" s="201"/>
      <c r="N467" s="256"/>
      <c r="O467" s="256"/>
      <c r="P467" s="256"/>
      <c r="Q467" s="256"/>
      <c r="R467" s="256"/>
      <c r="S467" s="256"/>
      <c r="T467" s="256"/>
      <c r="U467" s="256"/>
      <c r="V467" s="256"/>
      <c r="W467" s="256"/>
      <c r="X467" s="256"/>
      <c r="Y467" s="256"/>
      <c r="Z467" s="256"/>
      <c r="AA467" s="256"/>
      <c r="AB467" s="256"/>
      <c r="AC467" s="256"/>
      <c r="AD467" s="256"/>
      <c r="AE467" s="256"/>
      <c r="AF467" s="256"/>
      <c r="AG467" s="256"/>
      <c r="AH467" s="256"/>
      <c r="AI467" s="256"/>
      <c r="AJ467" s="256"/>
      <c r="AK467" s="256"/>
      <c r="AL467" s="256"/>
      <c r="AM467" s="256"/>
      <c r="AN467" s="256"/>
      <c r="AO467" s="256"/>
      <c r="AP467" s="256"/>
      <c r="AQ467" s="256"/>
      <c r="AR467" s="256"/>
      <c r="AS467" s="1"/>
      <c r="AT467" s="1"/>
      <c r="AU467" s="1"/>
      <c r="AV467" s="1"/>
      <c r="AW467" s="1"/>
      <c r="AX467" s="1"/>
      <c r="AY467" s="1"/>
      <c r="AZ467" s="1"/>
      <c r="BA467" s="1"/>
      <c r="BB467" s="1"/>
      <c r="BC467" s="1"/>
      <c r="BD467" s="1"/>
      <c r="BE467" s="1"/>
      <c r="BF467" s="1"/>
      <c r="BG467" s="1"/>
      <c r="BH467" s="1"/>
      <c r="BI467" s="1"/>
      <c r="BJ467" s="1"/>
      <c r="BK467" s="1"/>
    </row>
    <row r="468" spans="2:63" s="113" customFormat="1" ht="12.75" hidden="1" customHeight="1">
      <c r="B468" s="127"/>
      <c r="C468" s="115"/>
      <c r="D468" s="115"/>
      <c r="E468" s="133"/>
      <c r="F468" s="196" t="s">
        <v>1016</v>
      </c>
      <c r="G468" s="874"/>
      <c r="H468" s="98"/>
      <c r="I468" s="874">
        <v>270</v>
      </c>
      <c r="J468" s="131"/>
      <c r="K468" s="201"/>
      <c r="L468" s="201"/>
      <c r="M468" s="201"/>
      <c r="N468" s="256"/>
      <c r="O468" s="256"/>
      <c r="P468" s="256"/>
      <c r="Q468" s="256"/>
      <c r="R468" s="256"/>
      <c r="S468" s="256"/>
      <c r="T468" s="256"/>
      <c r="U468" s="256"/>
      <c r="V468" s="256"/>
      <c r="W468" s="256"/>
      <c r="X468" s="256"/>
      <c r="Y468" s="256"/>
      <c r="Z468" s="256"/>
      <c r="AA468" s="256"/>
      <c r="AB468" s="256"/>
      <c r="AC468" s="256"/>
      <c r="AD468" s="256"/>
      <c r="AE468" s="256"/>
      <c r="AF468" s="256"/>
      <c r="AG468" s="256"/>
      <c r="AH468" s="256"/>
      <c r="AI468" s="256"/>
      <c r="AJ468" s="256"/>
      <c r="AK468" s="256"/>
      <c r="AL468" s="256"/>
      <c r="AM468" s="256"/>
      <c r="AN468" s="256"/>
      <c r="AO468" s="256"/>
      <c r="AP468" s="256"/>
      <c r="AQ468" s="256"/>
      <c r="AR468" s="256"/>
      <c r="AS468" s="1"/>
      <c r="AT468" s="1"/>
      <c r="AU468" s="1"/>
      <c r="AV468" s="1"/>
      <c r="AW468" s="1"/>
      <c r="AX468" s="1"/>
      <c r="AY468" s="1"/>
      <c r="AZ468" s="1"/>
      <c r="BA468" s="1"/>
      <c r="BB468" s="1"/>
      <c r="BC468" s="1"/>
      <c r="BD468" s="1"/>
      <c r="BE468" s="1"/>
      <c r="BF468" s="1"/>
      <c r="BG468" s="1"/>
      <c r="BH468" s="1"/>
      <c r="BI468" s="1"/>
      <c r="BJ468" s="1"/>
      <c r="BK468" s="1"/>
    </row>
    <row r="469" spans="2:63" s="113" customFormat="1" ht="12.75" hidden="1" customHeight="1">
      <c r="B469" s="127"/>
      <c r="C469" s="115"/>
      <c r="D469" s="115"/>
      <c r="E469" s="133"/>
      <c r="F469" s="133"/>
      <c r="G469" s="120"/>
      <c r="H469" s="109"/>
      <c r="I469" s="110"/>
      <c r="J469" s="131"/>
      <c r="K469" s="201"/>
      <c r="L469" s="201"/>
      <c r="M469" s="201"/>
      <c r="N469" s="256"/>
      <c r="O469" s="256"/>
      <c r="P469" s="256"/>
      <c r="Q469" s="256"/>
      <c r="R469" s="256"/>
      <c r="S469" s="256"/>
      <c r="T469" s="256"/>
      <c r="U469" s="256"/>
      <c r="V469" s="256"/>
      <c r="W469" s="256"/>
      <c r="X469" s="256"/>
      <c r="Y469" s="256"/>
      <c r="Z469" s="256"/>
      <c r="AA469" s="256"/>
      <c r="AB469" s="256"/>
      <c r="AC469" s="256"/>
      <c r="AD469" s="256"/>
      <c r="AE469" s="256"/>
      <c r="AF469" s="256"/>
      <c r="AG469" s="256"/>
      <c r="AH469" s="256"/>
      <c r="AI469" s="256"/>
      <c r="AJ469" s="256"/>
      <c r="AK469" s="256"/>
      <c r="AL469" s="256"/>
      <c r="AM469" s="256"/>
      <c r="AN469" s="256"/>
      <c r="AO469" s="256"/>
      <c r="AP469" s="256"/>
      <c r="AQ469" s="256"/>
      <c r="AR469" s="256"/>
      <c r="AS469" s="1"/>
      <c r="AT469" s="1"/>
      <c r="AU469" s="1"/>
      <c r="AV469" s="1"/>
      <c r="AW469" s="1"/>
      <c r="AX469" s="1"/>
      <c r="AY469" s="1"/>
      <c r="AZ469" s="1"/>
      <c r="BA469" s="1"/>
      <c r="BB469" s="1"/>
      <c r="BC469" s="1"/>
      <c r="BD469" s="1"/>
      <c r="BE469" s="1"/>
      <c r="BF469" s="1"/>
      <c r="BG469" s="1"/>
      <c r="BH469" s="1"/>
      <c r="BI469" s="1"/>
      <c r="BJ469" s="1"/>
      <c r="BK469" s="1"/>
    </row>
    <row r="470" spans="2:63" s="113" customFormat="1" ht="12.75" hidden="1" customHeight="1">
      <c r="B470" s="127"/>
      <c r="C470" s="115"/>
      <c r="D470" s="115"/>
      <c r="E470" s="133"/>
      <c r="F470" s="133"/>
      <c r="G470" s="120"/>
      <c r="H470" s="109"/>
      <c r="I470" s="110"/>
      <c r="J470" s="131"/>
      <c r="K470" s="201"/>
      <c r="L470" s="201"/>
      <c r="M470" s="201"/>
      <c r="N470" s="256"/>
      <c r="O470" s="256"/>
      <c r="P470" s="256"/>
      <c r="Q470" s="256"/>
      <c r="R470" s="256"/>
      <c r="S470" s="256"/>
      <c r="T470" s="256"/>
      <c r="U470" s="256"/>
      <c r="V470" s="256"/>
      <c r="W470" s="256"/>
      <c r="X470" s="256"/>
      <c r="Y470" s="256"/>
      <c r="Z470" s="256"/>
      <c r="AA470" s="256"/>
      <c r="AB470" s="256"/>
      <c r="AC470" s="256"/>
      <c r="AD470" s="256"/>
      <c r="AE470" s="256"/>
      <c r="AF470" s="256"/>
      <c r="AG470" s="256"/>
      <c r="AH470" s="256"/>
      <c r="AI470" s="256"/>
      <c r="AJ470" s="256"/>
      <c r="AK470" s="256"/>
      <c r="AL470" s="256"/>
      <c r="AM470" s="256"/>
      <c r="AN470" s="256"/>
      <c r="AO470" s="256"/>
      <c r="AP470" s="256"/>
      <c r="AQ470" s="256"/>
      <c r="AR470" s="256"/>
      <c r="AS470" s="1"/>
      <c r="AT470" s="1"/>
      <c r="AU470" s="1"/>
      <c r="AV470" s="1"/>
      <c r="AW470" s="1"/>
      <c r="AX470" s="1"/>
      <c r="AY470" s="1"/>
      <c r="AZ470" s="1"/>
      <c r="BA470" s="1"/>
      <c r="BB470" s="1"/>
      <c r="BC470" s="1"/>
      <c r="BD470" s="1"/>
      <c r="BE470" s="1"/>
      <c r="BF470" s="1"/>
      <c r="BG470" s="1"/>
      <c r="BH470" s="1"/>
      <c r="BI470" s="1"/>
      <c r="BJ470" s="1"/>
      <c r="BK470" s="1"/>
    </row>
    <row r="471" spans="2:63" s="113" customFormat="1" ht="12.75" hidden="1" customHeight="1">
      <c r="B471" s="127"/>
      <c r="C471" s="115"/>
      <c r="D471" s="115"/>
      <c r="E471" s="133"/>
      <c r="F471" s="133"/>
      <c r="G471" s="120"/>
      <c r="H471" s="109"/>
      <c r="I471" s="110"/>
      <c r="J471" s="131"/>
      <c r="K471" s="201"/>
      <c r="L471" s="201"/>
      <c r="M471" s="201"/>
      <c r="N471" s="256"/>
      <c r="O471" s="256"/>
      <c r="P471" s="256"/>
      <c r="Q471" s="256"/>
      <c r="R471" s="256"/>
      <c r="S471" s="256"/>
      <c r="T471" s="256"/>
      <c r="U471" s="256"/>
      <c r="V471" s="256"/>
      <c r="W471" s="256"/>
      <c r="X471" s="256"/>
      <c r="Y471" s="256"/>
      <c r="Z471" s="256"/>
      <c r="AA471" s="256"/>
      <c r="AB471" s="256"/>
      <c r="AC471" s="256"/>
      <c r="AD471" s="256"/>
      <c r="AE471" s="256"/>
      <c r="AF471" s="256"/>
      <c r="AG471" s="256"/>
      <c r="AH471" s="256"/>
      <c r="AI471" s="256"/>
      <c r="AJ471" s="256"/>
      <c r="AK471" s="256"/>
      <c r="AL471" s="256"/>
      <c r="AM471" s="256"/>
      <c r="AN471" s="256"/>
      <c r="AO471" s="256"/>
      <c r="AP471" s="256"/>
      <c r="AQ471" s="256"/>
      <c r="AR471" s="256"/>
      <c r="AS471" s="1"/>
      <c r="AT471" s="1"/>
      <c r="AU471" s="1"/>
      <c r="AV471" s="1"/>
      <c r="AW471" s="1"/>
      <c r="AX471" s="1"/>
      <c r="AY471" s="1"/>
      <c r="AZ471" s="1"/>
      <c r="BA471" s="1"/>
      <c r="BB471" s="1"/>
      <c r="BC471" s="1"/>
      <c r="BD471" s="1"/>
      <c r="BE471" s="1"/>
      <c r="BF471" s="1"/>
      <c r="BG471" s="1"/>
      <c r="BH471" s="1"/>
      <c r="BI471" s="1"/>
      <c r="BJ471" s="1"/>
      <c r="BK471" s="1"/>
    </row>
    <row r="472" spans="2:63" s="113" customFormat="1" ht="12.75" hidden="1" customHeight="1">
      <c r="B472" s="127"/>
      <c r="C472" s="115"/>
      <c r="D472" s="115"/>
      <c r="E472" s="133"/>
      <c r="F472" s="133"/>
      <c r="G472" s="120"/>
      <c r="H472" s="109"/>
      <c r="I472" s="110"/>
      <c r="J472" s="131"/>
      <c r="K472" s="201"/>
      <c r="L472" s="201"/>
      <c r="M472" s="201"/>
      <c r="N472" s="256"/>
      <c r="O472" s="256"/>
      <c r="P472" s="256"/>
      <c r="Q472" s="256"/>
      <c r="R472" s="256"/>
      <c r="S472" s="256"/>
      <c r="T472" s="256"/>
      <c r="U472" s="256"/>
      <c r="V472" s="256"/>
      <c r="W472" s="256"/>
      <c r="X472" s="256"/>
      <c r="Y472" s="256"/>
      <c r="Z472" s="256"/>
      <c r="AA472" s="256"/>
      <c r="AB472" s="256"/>
      <c r="AC472" s="256"/>
      <c r="AD472" s="256"/>
      <c r="AE472" s="256"/>
      <c r="AF472" s="256"/>
      <c r="AG472" s="256"/>
      <c r="AH472" s="256"/>
      <c r="AI472" s="256"/>
      <c r="AJ472" s="256"/>
      <c r="AK472" s="256"/>
      <c r="AL472" s="256"/>
      <c r="AM472" s="256"/>
      <c r="AN472" s="256"/>
      <c r="AO472" s="256"/>
      <c r="AP472" s="256"/>
      <c r="AQ472" s="256"/>
      <c r="AR472" s="256"/>
      <c r="AS472" s="1"/>
      <c r="AT472" s="1"/>
      <c r="AU472" s="1"/>
      <c r="AV472" s="1"/>
      <c r="AW472" s="1"/>
      <c r="AX472" s="1"/>
      <c r="AY472" s="1"/>
      <c r="AZ472" s="1"/>
      <c r="BA472" s="1"/>
      <c r="BB472" s="1"/>
      <c r="BC472" s="1"/>
      <c r="BD472" s="1"/>
      <c r="BE472" s="1"/>
      <c r="BF472" s="1"/>
      <c r="BG472" s="1"/>
      <c r="BH472" s="1"/>
      <c r="BI472" s="1"/>
      <c r="BJ472" s="1"/>
      <c r="BK472" s="1"/>
    </row>
    <row r="473" spans="2:63" ht="12.75" hidden="1" customHeight="1">
      <c r="B473" s="127"/>
      <c r="C473" s="115"/>
      <c r="D473" s="115"/>
      <c r="E473" s="115"/>
      <c r="F473" s="109"/>
      <c r="G473" s="28"/>
      <c r="H473" s="109"/>
      <c r="I473" s="109"/>
      <c r="J473" s="131"/>
      <c r="AS473"/>
      <c r="AT473"/>
      <c r="AU473"/>
      <c r="AV473"/>
      <c r="AW473"/>
      <c r="AX473"/>
      <c r="AY473"/>
      <c r="AZ473"/>
      <c r="BA473"/>
      <c r="BB473"/>
      <c r="BC473"/>
      <c r="BD473"/>
      <c r="BE473"/>
      <c r="BF473"/>
      <c r="BG473"/>
      <c r="BH473"/>
      <c r="BI473"/>
      <c r="BJ473"/>
      <c r="BK473"/>
    </row>
    <row r="474" spans="2:63" ht="12.75" hidden="1" customHeight="1">
      <c r="B474" s="127"/>
      <c r="C474" s="115"/>
      <c r="D474" s="115"/>
      <c r="E474" s="115"/>
      <c r="F474" s="153"/>
      <c r="G474" s="28"/>
      <c r="H474" s="109"/>
      <c r="I474" s="109"/>
      <c r="J474" s="131"/>
      <c r="AS474"/>
      <c r="AT474"/>
      <c r="AU474"/>
      <c r="AV474"/>
      <c r="AW474"/>
      <c r="AX474"/>
      <c r="AY474"/>
      <c r="AZ474"/>
      <c r="BA474"/>
      <c r="BB474"/>
      <c r="BC474"/>
      <c r="BD474"/>
      <c r="BE474"/>
      <c r="BF474"/>
      <c r="BG474"/>
      <c r="BH474"/>
      <c r="BI474"/>
      <c r="BJ474"/>
      <c r="BK474"/>
    </row>
    <row r="475" spans="2:63" ht="12.75" hidden="1" customHeight="1">
      <c r="B475" s="127"/>
      <c r="C475" s="115"/>
      <c r="D475" s="115"/>
      <c r="E475" s="115"/>
      <c r="F475" s="109"/>
      <c r="G475" s="28"/>
      <c r="H475" s="109"/>
      <c r="I475" s="109"/>
      <c r="J475" s="131"/>
      <c r="AS475"/>
      <c r="AT475"/>
      <c r="AU475"/>
      <c r="AV475"/>
      <c r="AW475"/>
      <c r="AX475"/>
      <c r="AY475"/>
      <c r="AZ475"/>
      <c r="BA475"/>
      <c r="BB475"/>
      <c r="BC475"/>
      <c r="BD475"/>
      <c r="BE475"/>
      <c r="BF475"/>
      <c r="BG475"/>
      <c r="BH475"/>
      <c r="BI475"/>
      <c r="BJ475"/>
      <c r="BK475"/>
    </row>
    <row r="476" spans="2:63" ht="13.5" hidden="1" customHeight="1" thickBot="1">
      <c r="B476" s="136"/>
      <c r="C476" s="18"/>
      <c r="D476" s="18"/>
      <c r="E476" s="18"/>
      <c r="F476" s="19"/>
      <c r="G476" s="20"/>
      <c r="H476" s="19"/>
      <c r="I476" s="19"/>
      <c r="J476" s="137"/>
      <c r="AS476"/>
      <c r="AT476"/>
      <c r="AU476"/>
      <c r="AV476"/>
      <c r="AW476"/>
      <c r="AX476"/>
      <c r="AY476"/>
      <c r="AZ476"/>
      <c r="BA476"/>
      <c r="BB476"/>
      <c r="BC476"/>
      <c r="BD476"/>
      <c r="BE476"/>
      <c r="BF476"/>
      <c r="BG476"/>
      <c r="BH476"/>
      <c r="BI476"/>
      <c r="BJ476"/>
      <c r="BK476"/>
    </row>
    <row r="477" spans="2:63" ht="12.75" hidden="1" customHeight="1">
      <c r="C477" s="112"/>
      <c r="D477" s="112"/>
      <c r="E477" s="112"/>
      <c r="G477" s="112"/>
      <c r="AS477"/>
      <c r="AT477"/>
      <c r="AU477"/>
      <c r="AV477"/>
      <c r="AW477"/>
      <c r="AX477"/>
      <c r="AY477"/>
      <c r="AZ477"/>
      <c r="BA477"/>
      <c r="BB477"/>
      <c r="BC477"/>
      <c r="BD477"/>
      <c r="BE477"/>
      <c r="BF477"/>
      <c r="BG477"/>
      <c r="BH477"/>
      <c r="BI477"/>
      <c r="BJ477"/>
      <c r="BK477"/>
    </row>
    <row r="478" spans="2:63" ht="12.75" hidden="1" customHeight="1">
      <c r="C478" s="112"/>
      <c r="D478" s="112"/>
      <c r="E478" s="112"/>
      <c r="G478" s="112"/>
      <c r="AS478"/>
      <c r="AT478"/>
      <c r="AU478"/>
      <c r="AV478"/>
      <c r="AW478"/>
      <c r="AX478"/>
      <c r="AY478"/>
      <c r="AZ478"/>
      <c r="BA478"/>
      <c r="BB478"/>
      <c r="BC478"/>
      <c r="BD478"/>
      <c r="BE478"/>
      <c r="BF478"/>
      <c r="BG478"/>
      <c r="BH478"/>
      <c r="BI478"/>
      <c r="BJ478"/>
      <c r="BK478"/>
    </row>
    <row r="479" spans="2:63" ht="12.75" hidden="1" customHeight="1">
      <c r="C479" s="112"/>
      <c r="D479" s="112"/>
      <c r="E479" s="112"/>
      <c r="G479" s="112"/>
      <c r="AS479"/>
      <c r="AT479"/>
      <c r="AU479"/>
      <c r="AV479"/>
      <c r="AW479"/>
      <c r="AX479"/>
      <c r="AY479"/>
      <c r="AZ479"/>
      <c r="BA479"/>
      <c r="BB479"/>
      <c r="BC479"/>
      <c r="BD479"/>
      <c r="BE479"/>
      <c r="BF479"/>
      <c r="BG479"/>
      <c r="BH479"/>
      <c r="BI479"/>
      <c r="BJ479"/>
      <c r="BK479"/>
    </row>
    <row r="480" spans="2:63" ht="12.75" hidden="1" customHeight="1">
      <c r="C480" s="112"/>
      <c r="D480" s="112"/>
      <c r="E480" s="112"/>
      <c r="G480" s="112"/>
      <c r="AS480"/>
      <c r="AT480"/>
      <c r="AU480"/>
      <c r="AV480"/>
      <c r="AW480"/>
      <c r="AX480"/>
      <c r="AY480"/>
      <c r="AZ480"/>
      <c r="BA480"/>
      <c r="BB480"/>
      <c r="BC480"/>
      <c r="BD480"/>
      <c r="BE480"/>
      <c r="BF480"/>
      <c r="BG480"/>
      <c r="BH480"/>
      <c r="BI480"/>
      <c r="BJ480"/>
      <c r="BK480"/>
    </row>
    <row r="481" spans="3:63" ht="12.75" hidden="1" customHeight="1">
      <c r="C481" s="112"/>
      <c r="D481" s="112"/>
      <c r="E481" s="112"/>
      <c r="G481" s="112"/>
      <c r="AS481"/>
      <c r="AT481"/>
      <c r="AU481"/>
      <c r="AV481"/>
      <c r="AW481"/>
      <c r="AX481"/>
      <c r="AY481"/>
      <c r="AZ481"/>
      <c r="BA481"/>
      <c r="BB481"/>
      <c r="BC481"/>
      <c r="BD481"/>
      <c r="BE481"/>
      <c r="BF481"/>
      <c r="BG481"/>
      <c r="BH481"/>
      <c r="BI481"/>
      <c r="BJ481"/>
      <c r="BK481"/>
    </row>
    <row r="482" spans="3:63" ht="12.75" hidden="1" customHeight="1">
      <c r="C482" s="112"/>
      <c r="D482" s="112"/>
      <c r="E482" s="112"/>
      <c r="G482" s="112"/>
    </row>
    <row r="483" spans="3:63" ht="12.75" hidden="1" customHeight="1">
      <c r="C483" s="112"/>
      <c r="D483" s="112"/>
      <c r="E483" s="112"/>
      <c r="G483" s="112"/>
    </row>
    <row r="484" spans="3:63" ht="12.75" hidden="1" customHeight="1">
      <c r="C484" s="112"/>
      <c r="D484" s="112"/>
      <c r="E484" s="112"/>
      <c r="G484" s="112"/>
    </row>
    <row r="485" spans="3:63" ht="12.75" customHeight="1">
      <c r="C485" s="112"/>
      <c r="D485" s="112"/>
      <c r="E485" s="112"/>
      <c r="G485" s="112"/>
    </row>
    <row r="486" spans="3:63" ht="12.75" customHeight="1">
      <c r="C486" s="112"/>
      <c r="D486" s="112"/>
      <c r="E486" s="112"/>
      <c r="G486" s="112"/>
    </row>
    <row r="487" spans="3:63" ht="12.75" customHeight="1">
      <c r="C487" s="112"/>
      <c r="D487" s="112"/>
      <c r="E487" s="112"/>
      <c r="G487" s="112"/>
    </row>
    <row r="488" spans="3:63">
      <c r="C488" s="112"/>
      <c r="D488" s="112"/>
      <c r="E488" s="112"/>
      <c r="G488" s="112"/>
    </row>
    <row r="489" spans="3:63">
      <c r="C489" s="112"/>
      <c r="D489" s="112"/>
      <c r="E489" s="112"/>
      <c r="G489" s="112"/>
    </row>
    <row r="490" spans="3:63">
      <c r="C490" s="112"/>
      <c r="D490" s="112"/>
      <c r="E490" s="112"/>
      <c r="G490" s="112"/>
    </row>
    <row r="491" spans="3:63">
      <c r="C491" s="112"/>
      <c r="D491" s="112"/>
      <c r="E491" s="112"/>
      <c r="G491" s="112"/>
    </row>
    <row r="492" spans="3:63">
      <c r="C492" s="112"/>
      <c r="D492" s="112"/>
      <c r="E492" s="112"/>
      <c r="G492" s="112"/>
    </row>
    <row r="493" spans="3:63">
      <c r="C493" s="112"/>
      <c r="D493" s="112"/>
      <c r="E493" s="112"/>
      <c r="G493" s="112"/>
    </row>
    <row r="494" spans="3:63">
      <c r="C494" s="112"/>
      <c r="D494" s="112"/>
      <c r="E494" s="112"/>
      <c r="G494" s="112"/>
    </row>
    <row r="495" spans="3:63">
      <c r="C495" s="112"/>
      <c r="D495" s="112"/>
      <c r="E495" s="112"/>
      <c r="G495" s="112"/>
    </row>
    <row r="496" spans="3:63">
      <c r="C496" s="112"/>
      <c r="D496" s="112"/>
      <c r="E496" s="112"/>
      <c r="G496" s="112"/>
    </row>
    <row r="497" spans="3:7">
      <c r="C497" s="112"/>
      <c r="D497" s="112"/>
      <c r="E497" s="112"/>
      <c r="G497" s="112"/>
    </row>
    <row r="498" spans="3:7">
      <c r="C498" s="112"/>
      <c r="D498" s="112"/>
      <c r="E498" s="112"/>
      <c r="G498" s="112"/>
    </row>
    <row r="499" spans="3:7">
      <c r="C499" s="112"/>
      <c r="D499" s="112"/>
      <c r="E499" s="112"/>
      <c r="G499" s="112"/>
    </row>
    <row r="500" spans="3:7">
      <c r="C500" s="112"/>
      <c r="D500" s="112"/>
      <c r="E500" s="112"/>
      <c r="G500" s="112"/>
    </row>
    <row r="501" spans="3:7">
      <c r="C501" s="112"/>
      <c r="D501" s="112"/>
      <c r="E501" s="112"/>
      <c r="G501" s="112"/>
    </row>
    <row r="502" spans="3:7">
      <c r="C502" s="112"/>
      <c r="D502" s="112"/>
      <c r="E502" s="112"/>
      <c r="G502" s="112"/>
    </row>
    <row r="503" spans="3:7">
      <c r="C503" s="112"/>
      <c r="D503" s="112"/>
      <c r="E503" s="112"/>
      <c r="G503" s="112"/>
    </row>
    <row r="504" spans="3:7">
      <c r="C504" s="112"/>
      <c r="D504" s="112"/>
      <c r="E504" s="112"/>
      <c r="G504" s="112"/>
    </row>
    <row r="505" spans="3:7">
      <c r="C505" s="112"/>
      <c r="D505" s="112"/>
      <c r="E505" s="112"/>
      <c r="G505" s="112"/>
    </row>
    <row r="506" spans="3:7">
      <c r="C506" s="112"/>
      <c r="D506" s="112"/>
      <c r="E506" s="112"/>
      <c r="G506" s="112"/>
    </row>
    <row r="507" spans="3:7">
      <c r="C507" s="112"/>
      <c r="D507" s="112"/>
      <c r="E507" s="112"/>
      <c r="G507" s="112"/>
    </row>
    <row r="508" spans="3:7">
      <c r="C508" s="112"/>
      <c r="D508" s="112"/>
      <c r="E508" s="112"/>
      <c r="G508" s="112"/>
    </row>
    <row r="509" spans="3:7">
      <c r="C509" s="112"/>
      <c r="D509" s="112"/>
      <c r="E509" s="112"/>
      <c r="G509" s="112"/>
    </row>
    <row r="510" spans="3:7">
      <c r="C510" s="112"/>
      <c r="D510" s="112"/>
      <c r="E510" s="112"/>
      <c r="G510" s="112"/>
    </row>
    <row r="511" spans="3:7">
      <c r="C511" s="112"/>
      <c r="D511" s="112"/>
      <c r="E511" s="112"/>
      <c r="G511" s="112"/>
    </row>
    <row r="512" spans="3:7">
      <c r="C512" s="112"/>
      <c r="D512" s="112"/>
      <c r="E512" s="112"/>
      <c r="G512" s="112"/>
    </row>
    <row r="513" spans="3:7">
      <c r="C513" s="112"/>
      <c r="D513" s="112"/>
      <c r="E513" s="112"/>
      <c r="G513" s="112"/>
    </row>
    <row r="514" spans="3:7">
      <c r="C514" s="112"/>
      <c r="D514" s="112"/>
      <c r="E514" s="112"/>
      <c r="G514" s="112"/>
    </row>
    <row r="515" spans="3:7">
      <c r="C515" s="112"/>
      <c r="D515" s="112"/>
      <c r="E515" s="112"/>
      <c r="G515" s="112"/>
    </row>
    <row r="516" spans="3:7">
      <c r="C516" s="112"/>
      <c r="D516" s="112"/>
      <c r="E516" s="112"/>
      <c r="G516" s="112"/>
    </row>
    <row r="517" spans="3:7">
      <c r="C517" s="112"/>
      <c r="D517" s="112"/>
      <c r="E517" s="112"/>
      <c r="G517" s="112"/>
    </row>
    <row r="518" spans="3:7">
      <c r="C518" s="112"/>
      <c r="D518" s="112"/>
      <c r="E518" s="112"/>
      <c r="G518" s="112"/>
    </row>
    <row r="519" spans="3:7">
      <c r="C519" s="112"/>
      <c r="D519" s="112"/>
      <c r="E519" s="112"/>
      <c r="G519" s="112"/>
    </row>
    <row r="520" spans="3:7">
      <c r="C520" s="112"/>
      <c r="D520" s="112"/>
      <c r="E520" s="112"/>
      <c r="G520" s="112"/>
    </row>
    <row r="521" spans="3:7">
      <c r="C521" s="112"/>
      <c r="D521" s="112"/>
      <c r="E521" s="112"/>
      <c r="G521" s="112"/>
    </row>
    <row r="522" spans="3:7">
      <c r="C522" s="112"/>
      <c r="D522" s="112"/>
      <c r="E522" s="112"/>
      <c r="G522" s="112"/>
    </row>
    <row r="523" spans="3:7">
      <c r="C523" s="112"/>
      <c r="D523" s="112"/>
      <c r="E523" s="112"/>
      <c r="G523" s="112"/>
    </row>
    <row r="524" spans="3:7">
      <c r="C524" s="112"/>
      <c r="D524" s="112"/>
      <c r="E524" s="112"/>
      <c r="G524" s="112"/>
    </row>
    <row r="525" spans="3:7">
      <c r="C525" s="112"/>
      <c r="D525" s="112"/>
      <c r="E525" s="112"/>
      <c r="G525" s="112"/>
    </row>
    <row r="526" spans="3:7">
      <c r="C526" s="112"/>
      <c r="D526" s="112"/>
      <c r="E526" s="112"/>
      <c r="G526" s="112"/>
    </row>
    <row r="527" spans="3:7">
      <c r="C527" s="112"/>
      <c r="D527" s="112"/>
      <c r="E527" s="112"/>
      <c r="G527" s="112"/>
    </row>
    <row r="528" spans="3:7">
      <c r="C528" s="112"/>
      <c r="D528" s="112"/>
      <c r="E528" s="112"/>
      <c r="G528" s="112"/>
    </row>
    <row r="529" spans="3:7">
      <c r="C529" s="112"/>
      <c r="D529" s="112"/>
      <c r="E529" s="112"/>
      <c r="G529" s="112"/>
    </row>
    <row r="530" spans="3:7">
      <c r="C530" s="112"/>
      <c r="D530" s="112"/>
      <c r="E530" s="112"/>
      <c r="G530" s="112"/>
    </row>
    <row r="531" spans="3:7">
      <c r="C531" s="112"/>
      <c r="D531" s="112"/>
      <c r="E531" s="112"/>
      <c r="G531" s="112"/>
    </row>
    <row r="532" spans="3:7">
      <c r="C532" s="112"/>
      <c r="D532" s="112"/>
      <c r="E532" s="112"/>
      <c r="G532" s="112"/>
    </row>
    <row r="533" spans="3:7">
      <c r="C533" s="112"/>
      <c r="D533" s="112"/>
      <c r="E533" s="112"/>
      <c r="G533" s="112"/>
    </row>
    <row r="534" spans="3:7">
      <c r="C534" s="112"/>
      <c r="D534" s="112"/>
      <c r="E534" s="112"/>
      <c r="G534" s="112"/>
    </row>
    <row r="535" spans="3:7">
      <c r="C535" s="112"/>
      <c r="D535" s="112"/>
      <c r="E535" s="112"/>
      <c r="G535" s="112"/>
    </row>
    <row r="536" spans="3:7">
      <c r="C536" s="112"/>
      <c r="D536" s="112"/>
      <c r="E536" s="112"/>
      <c r="G536" s="112"/>
    </row>
    <row r="537" spans="3:7">
      <c r="C537" s="112"/>
      <c r="D537" s="112"/>
      <c r="E537" s="112"/>
      <c r="G537" s="112"/>
    </row>
    <row r="538" spans="3:7">
      <c r="C538" s="112"/>
      <c r="D538" s="112"/>
      <c r="E538" s="112"/>
      <c r="G538" s="112"/>
    </row>
    <row r="539" spans="3:7">
      <c r="C539" s="112"/>
      <c r="D539" s="112"/>
      <c r="E539" s="112"/>
      <c r="G539" s="112"/>
    </row>
    <row r="540" spans="3:7">
      <c r="C540" s="112"/>
      <c r="D540" s="112"/>
      <c r="E540" s="112"/>
      <c r="G540" s="112"/>
    </row>
    <row r="541" spans="3:7">
      <c r="C541" s="112"/>
      <c r="D541" s="112"/>
      <c r="E541" s="112"/>
      <c r="G541" s="112"/>
    </row>
    <row r="542" spans="3:7">
      <c r="C542" s="112"/>
      <c r="D542" s="112"/>
      <c r="E542" s="112"/>
      <c r="G542" s="112"/>
    </row>
    <row r="543" spans="3:7">
      <c r="C543" s="112"/>
      <c r="D543" s="112"/>
      <c r="E543" s="112"/>
      <c r="G543" s="112"/>
    </row>
    <row r="544" spans="3:7">
      <c r="C544" s="112"/>
      <c r="D544" s="112"/>
      <c r="E544" s="112"/>
      <c r="G544" s="112"/>
    </row>
    <row r="545" spans="3:7">
      <c r="C545" s="112"/>
      <c r="D545" s="112"/>
      <c r="E545" s="112"/>
      <c r="G545" s="112"/>
    </row>
    <row r="546" spans="3:7">
      <c r="C546" s="112"/>
      <c r="D546" s="112"/>
      <c r="E546" s="112"/>
      <c r="G546" s="112"/>
    </row>
    <row r="547" spans="3:7">
      <c r="C547" s="112"/>
      <c r="D547" s="112"/>
      <c r="E547" s="112"/>
      <c r="G547" s="112"/>
    </row>
    <row r="548" spans="3:7">
      <c r="C548" s="112"/>
      <c r="D548" s="112"/>
      <c r="E548" s="112"/>
      <c r="G548" s="112"/>
    </row>
    <row r="549" spans="3:7">
      <c r="C549" s="112"/>
      <c r="D549" s="112"/>
      <c r="E549" s="112"/>
      <c r="G549" s="112"/>
    </row>
    <row r="550" spans="3:7">
      <c r="C550" s="112"/>
      <c r="D550" s="112"/>
      <c r="E550" s="112"/>
      <c r="G550" s="112"/>
    </row>
    <row r="551" spans="3:7">
      <c r="C551" s="112"/>
      <c r="D551" s="112"/>
      <c r="E551" s="112"/>
      <c r="G551" s="112"/>
    </row>
    <row r="552" spans="3:7">
      <c r="C552" s="112"/>
      <c r="D552" s="112"/>
      <c r="E552" s="112"/>
      <c r="G552" s="112"/>
    </row>
    <row r="553" spans="3:7">
      <c r="C553" s="112"/>
      <c r="D553" s="112"/>
      <c r="E553" s="112"/>
      <c r="G553" s="112"/>
    </row>
    <row r="554" spans="3:7">
      <c r="C554" s="112"/>
      <c r="D554" s="112"/>
      <c r="E554" s="112"/>
      <c r="G554" s="112"/>
    </row>
    <row r="555" spans="3:7">
      <c r="C555" s="112"/>
      <c r="D555" s="112"/>
      <c r="E555" s="112"/>
      <c r="G555" s="112"/>
    </row>
    <row r="556" spans="3:7">
      <c r="C556" s="112"/>
      <c r="D556" s="112"/>
      <c r="E556" s="112"/>
      <c r="G556" s="112"/>
    </row>
    <row r="557" spans="3:7">
      <c r="C557" s="112"/>
      <c r="D557" s="112"/>
      <c r="E557" s="112"/>
      <c r="G557" s="112"/>
    </row>
    <row r="558" spans="3:7">
      <c r="C558" s="112"/>
      <c r="D558" s="112"/>
      <c r="E558" s="112"/>
      <c r="G558" s="112"/>
    </row>
    <row r="559" spans="3:7">
      <c r="C559" s="112"/>
      <c r="D559" s="112"/>
      <c r="E559" s="112"/>
      <c r="G559" s="112"/>
    </row>
    <row r="560" spans="3:7">
      <c r="C560" s="112"/>
      <c r="D560" s="112"/>
      <c r="E560" s="112"/>
      <c r="G560" s="112"/>
    </row>
    <row r="561" spans="3:7">
      <c r="C561" s="112"/>
      <c r="D561" s="112"/>
      <c r="E561" s="112"/>
      <c r="G561" s="112"/>
    </row>
    <row r="562" spans="3:7">
      <c r="C562" s="112"/>
      <c r="D562" s="112"/>
      <c r="E562" s="112"/>
      <c r="G562" s="112"/>
    </row>
    <row r="563" spans="3:7">
      <c r="C563" s="112"/>
      <c r="D563" s="112"/>
      <c r="E563" s="112"/>
      <c r="G563" s="112"/>
    </row>
    <row r="564" spans="3:7">
      <c r="C564" s="112"/>
      <c r="D564" s="112"/>
      <c r="E564" s="112"/>
      <c r="G564" s="112"/>
    </row>
    <row r="565" spans="3:7">
      <c r="C565" s="112"/>
      <c r="D565" s="112"/>
      <c r="E565" s="112"/>
      <c r="G565" s="112"/>
    </row>
    <row r="566" spans="3:7">
      <c r="C566" s="112"/>
      <c r="D566" s="112"/>
      <c r="E566" s="112"/>
      <c r="G566" s="112"/>
    </row>
    <row r="567" spans="3:7">
      <c r="C567" s="112"/>
      <c r="D567" s="112"/>
      <c r="E567" s="112"/>
      <c r="G567" s="112"/>
    </row>
    <row r="568" spans="3:7">
      <c r="C568" s="112"/>
      <c r="D568" s="112"/>
      <c r="E568" s="112"/>
      <c r="G568" s="112"/>
    </row>
    <row r="569" spans="3:7">
      <c r="C569" s="112"/>
      <c r="D569" s="112"/>
      <c r="E569" s="112"/>
      <c r="G569" s="112"/>
    </row>
    <row r="570" spans="3:7">
      <c r="C570" s="112"/>
      <c r="D570" s="112"/>
      <c r="E570" s="112"/>
      <c r="G570" s="112"/>
    </row>
    <row r="571" spans="3:7">
      <c r="C571" s="112"/>
      <c r="D571" s="112"/>
      <c r="E571" s="112"/>
      <c r="G571" s="112"/>
    </row>
    <row r="572" spans="3:7">
      <c r="C572" s="112"/>
      <c r="D572" s="112"/>
      <c r="E572" s="112"/>
      <c r="G572" s="112"/>
    </row>
    <row r="573" spans="3:7">
      <c r="C573" s="112"/>
      <c r="D573" s="112"/>
      <c r="E573" s="112"/>
      <c r="G573" s="112"/>
    </row>
    <row r="574" spans="3:7">
      <c r="C574" s="112"/>
      <c r="D574" s="112"/>
      <c r="E574" s="112"/>
      <c r="G574" s="112"/>
    </row>
    <row r="575" spans="3:7">
      <c r="C575" s="112"/>
      <c r="D575" s="112"/>
      <c r="E575" s="112"/>
      <c r="G575" s="112"/>
    </row>
    <row r="576" spans="3:7">
      <c r="C576" s="112"/>
      <c r="D576" s="112"/>
      <c r="E576" s="112"/>
      <c r="G576" s="112"/>
    </row>
    <row r="577" spans="3:7">
      <c r="C577" s="112"/>
      <c r="D577" s="112"/>
      <c r="E577" s="112"/>
      <c r="G577" s="112"/>
    </row>
    <row r="578" spans="3:7">
      <c r="C578" s="112"/>
      <c r="D578" s="112"/>
      <c r="E578" s="112"/>
      <c r="G578" s="112"/>
    </row>
  </sheetData>
  <sheetProtection password="C583" sheet="1" selectLockedCells="1"/>
  <sortState xmlns:xlrd2="http://schemas.microsoft.com/office/spreadsheetml/2017/richdata2" ref="F73:F83">
    <sortCondition ref="F72"/>
  </sortState>
  <mergeCells count="12">
    <mergeCell ref="C97:C109"/>
    <mergeCell ref="C123:C124"/>
    <mergeCell ref="C17:C30"/>
    <mergeCell ref="C36:C38"/>
    <mergeCell ref="C40:C45"/>
    <mergeCell ref="C52:C69"/>
    <mergeCell ref="C76:C90"/>
    <mergeCell ref="D155:I155"/>
    <mergeCell ref="L423:N423"/>
    <mergeCell ref="O423:Q423"/>
    <mergeCell ref="C160:I160"/>
    <mergeCell ref="C161:I166"/>
  </mergeCells>
  <dataValidations count="13">
    <dataValidation type="list" allowBlank="1" showInputMessage="1" showErrorMessage="1" sqref="F123" xr:uid="{00000000-0002-0000-0A00-000000000000}">
      <formula1>$F$368:$F$385</formula1>
    </dataValidation>
    <dataValidation type="list" allowBlank="1" showInputMessage="1" showErrorMessage="1" sqref="F37:F39 F122 F115 F126 F118" xr:uid="{00000000-0002-0000-0A00-000001000000}">
      <formula1>$F$435:$F$437</formula1>
    </dataValidation>
    <dataValidation type="list" allowBlank="1" showInputMessage="1" showErrorMessage="1" sqref="F36" xr:uid="{00000000-0002-0000-0A00-000002000000}">
      <formula1>$F$425:$F$432</formula1>
    </dataValidation>
    <dataValidation type="list" allowBlank="1" showInputMessage="1" showErrorMessage="1" sqref="E8" xr:uid="{00000000-0002-0000-0A00-000003000000}">
      <formula1>"Yes,No"</formula1>
    </dataValidation>
    <dataValidation type="list" allowBlank="1" showInputMessage="1" showErrorMessage="1" sqref="F17" xr:uid="{00000000-0002-0000-0A00-000004000000}">
      <formula1>$F$248:$F$249</formula1>
    </dataValidation>
    <dataValidation type="list" allowBlank="1" showInputMessage="1" showErrorMessage="1" sqref="F116" xr:uid="{00000000-0002-0000-0A00-000005000000}">
      <formula1>$AF$324:$AF$351</formula1>
    </dataValidation>
    <dataValidation type="list" allowBlank="1" showInputMessage="1" showErrorMessage="1" sqref="F19 F26 F24" xr:uid="{00000000-0002-0000-0A00-000006000000}">
      <formula1>$F$298:$F$300</formula1>
    </dataValidation>
    <dataValidation type="list" allowBlank="1" showInputMessage="1" showErrorMessage="1" sqref="F34:F35 F51 F75" xr:uid="{00000000-0002-0000-0A00-000007000000}">
      <formula1>$L$297:$L$310</formula1>
    </dataValidation>
    <dataValidation type="list" allowBlank="1" showInputMessage="1" showErrorMessage="1" sqref="F119" xr:uid="{00000000-0002-0000-0A00-000008000000}">
      <formula1>$AL$324:$AL$351</formula1>
    </dataValidation>
    <dataValidation type="list" allowBlank="1" showInputMessage="1" showErrorMessage="1" sqref="F23" xr:uid="{00000000-0002-0000-0A00-000009000000}">
      <formula1>$F$284:$F$291</formula1>
    </dataValidation>
    <dataValidation type="list" allowBlank="1" showInputMessage="1" showErrorMessage="1" sqref="F18" xr:uid="{00000000-0002-0000-0A00-00000A000000}">
      <formula1>$F$257:$F$287</formula1>
    </dataValidation>
    <dataValidation type="list" allowBlank="1" showInputMessage="1" showErrorMessage="1" sqref="F104" xr:uid="{00000000-0002-0000-0A00-00000B000000}">
      <formula1>$F$464:$F$466</formula1>
    </dataValidation>
    <dataValidation type="list" allowBlank="1" showInputMessage="1" showErrorMessage="1" sqref="F53 F55" xr:uid="{00000000-0002-0000-0A00-00000C000000}">
      <formula1>$F$405:$F$407</formula1>
    </dataValidation>
  </dataValidations>
  <pageMargins left="0.74803149606299213" right="0.74803149606299213" top="0.98425196850393704" bottom="0.98425196850393704" header="0.51181102362204722" footer="0.51181102362204722"/>
  <pageSetup paperSize="9" scale="56" orientation="portrait" horizontalDpi="200" r:id="rId1"/>
  <headerFooter alignWithMargins="0">
    <oddHeader>&amp;F</oddHeader>
    <oddFooter>&amp;L&amp;BMatthews Australasia Pty Ltd Confidential&amp;B&amp;C&amp;D&amp;RPage &amp;P</oddFooter>
  </headerFooter>
  <ignoredErrors>
    <ignoredError sqref="G18:G19 G36:G37 G41:G43 F124 G23:G24 G116 G119 G28 G21 G127 G83 G97 G52:G68" unlockedFormula="1"/>
    <ignoredError sqref="D119:E119 F168:F169 E148" evalError="1"/>
    <ignoredError sqref="G399:G403 G412:H415 G314 G356:G366 G369:G385 M428 E54 G317:G324 F219 D222:D223" numberStoredAsText="1"/>
    <ignoredError sqref="E441:E444" formula="1"/>
  </ignoredError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theme="0"/>
  </sheetPr>
  <dimension ref="B3:O76"/>
  <sheetViews>
    <sheetView showGridLines="0" showRowColHeaders="0" zoomScaleNormal="100" workbookViewId="0">
      <selection activeCell="D70" sqref="D70"/>
    </sheetView>
  </sheetViews>
  <sheetFormatPr defaultColWidth="9.140625" defaultRowHeight="12.75"/>
  <cols>
    <col min="1" max="5" width="9.140625" style="166"/>
    <col min="6" max="6" width="10" style="166" customWidth="1"/>
    <col min="7" max="7" width="9.140625" style="166"/>
    <col min="8" max="8" width="10.28515625" style="166" bestFit="1" customWidth="1"/>
    <col min="9" max="16384" width="9.140625" style="166"/>
  </cols>
  <sheetData>
    <row r="3" spans="2:15">
      <c r="B3" s="118"/>
      <c r="C3" s="118"/>
      <c r="D3" s="118"/>
      <c r="E3" s="118"/>
      <c r="F3" s="118"/>
      <c r="G3" s="118"/>
      <c r="H3" s="118"/>
      <c r="I3" s="118"/>
      <c r="J3" s="118"/>
      <c r="K3" s="118"/>
      <c r="L3" s="118"/>
      <c r="M3" s="118"/>
      <c r="N3" s="118"/>
      <c r="O3" s="118"/>
    </row>
    <row r="4" spans="2:15" ht="26.25">
      <c r="B4" s="174"/>
      <c r="C4" s="163"/>
      <c r="D4" s="163"/>
      <c r="E4" s="163"/>
      <c r="F4" s="163"/>
      <c r="G4" s="163"/>
      <c r="H4" s="163"/>
      <c r="I4" s="163"/>
      <c r="J4" s="163"/>
      <c r="K4" s="163"/>
      <c r="L4" s="163"/>
      <c r="M4" s="163"/>
      <c r="N4" s="163"/>
      <c r="O4" s="118"/>
    </row>
    <row r="5" spans="2:15">
      <c r="B5" s="118"/>
      <c r="C5" s="118"/>
      <c r="D5" s="118"/>
      <c r="E5" s="118"/>
      <c r="F5" s="118"/>
      <c r="G5" s="118"/>
      <c r="H5" s="118"/>
      <c r="I5" s="118"/>
      <c r="J5" s="118"/>
      <c r="K5" s="118"/>
      <c r="L5" s="118"/>
      <c r="M5" s="118"/>
      <c r="N5" s="118"/>
      <c r="O5" s="118"/>
    </row>
    <row r="6" spans="2:15" ht="15">
      <c r="B6" s="118"/>
      <c r="C6" s="167" t="s">
        <v>115</v>
      </c>
      <c r="D6" s="167"/>
      <c r="E6" s="161"/>
      <c r="F6" s="161"/>
      <c r="G6" s="161"/>
      <c r="H6" s="161"/>
      <c r="I6" s="161"/>
      <c r="J6" s="161"/>
      <c r="K6" s="161"/>
      <c r="L6" s="161"/>
      <c r="M6" s="161"/>
      <c r="N6" s="118"/>
      <c r="O6" s="118"/>
    </row>
    <row r="7" spans="2:15">
      <c r="B7" s="118"/>
      <c r="C7" s="118"/>
      <c r="D7" s="118"/>
      <c r="E7" s="118"/>
      <c r="F7" s="118"/>
      <c r="G7" s="118"/>
      <c r="H7" s="118"/>
      <c r="I7" s="118"/>
      <c r="J7" s="118"/>
      <c r="K7" s="118"/>
      <c r="L7" s="118"/>
      <c r="M7" s="118"/>
      <c r="N7" s="118"/>
      <c r="O7" s="118"/>
    </row>
    <row r="8" spans="2:15">
      <c r="B8" s="118"/>
      <c r="C8" s="118"/>
      <c r="D8" s="168" t="s">
        <v>116</v>
      </c>
      <c r="E8" s="118"/>
      <c r="F8" s="118"/>
      <c r="G8" s="118"/>
      <c r="H8" s="118"/>
      <c r="I8" s="118"/>
      <c r="J8" s="118"/>
      <c r="K8" s="118"/>
      <c r="L8" s="118"/>
      <c r="M8" s="118"/>
      <c r="N8" s="118"/>
      <c r="O8" s="118"/>
    </row>
    <row r="9" spans="2:15">
      <c r="B9" s="118"/>
      <c r="C9" s="118"/>
      <c r="D9" s="178"/>
      <c r="E9" s="177"/>
      <c r="F9" s="118"/>
      <c r="G9" s="118"/>
      <c r="H9" s="118"/>
      <c r="I9" s="118"/>
      <c r="J9" s="118"/>
      <c r="K9" s="118"/>
      <c r="L9" s="118"/>
      <c r="M9" s="118"/>
      <c r="N9" s="118"/>
      <c r="O9" s="118"/>
    </row>
    <row r="10" spans="2:15">
      <c r="B10" s="118"/>
      <c r="C10" s="118"/>
      <c r="D10" s="178"/>
      <c r="E10" s="177"/>
      <c r="F10" s="118"/>
      <c r="G10" s="118"/>
      <c r="H10" s="118"/>
      <c r="I10" s="118"/>
      <c r="J10" s="118"/>
      <c r="K10" s="118"/>
      <c r="L10" s="118"/>
      <c r="M10" s="118"/>
      <c r="N10" s="118"/>
      <c r="O10" s="118"/>
    </row>
    <row r="11" spans="2:15">
      <c r="B11" s="118"/>
      <c r="C11" s="118"/>
      <c r="D11" s="178"/>
      <c r="E11" s="177"/>
      <c r="F11" s="118"/>
      <c r="G11" s="118"/>
      <c r="H11" s="118"/>
      <c r="I11" s="118"/>
      <c r="J11" s="118"/>
      <c r="K11" s="118"/>
      <c r="L11" s="118"/>
      <c r="M11" s="118"/>
      <c r="N11" s="118"/>
      <c r="O11" s="118"/>
    </row>
    <row r="12" spans="2:15">
      <c r="B12" s="118"/>
      <c r="C12" s="118"/>
      <c r="D12" s="178"/>
      <c r="E12" s="177"/>
      <c r="F12" s="118"/>
      <c r="G12" s="118"/>
      <c r="H12" s="118"/>
      <c r="I12" s="170"/>
      <c r="J12" s="118"/>
      <c r="K12" s="118"/>
      <c r="L12" s="118"/>
      <c r="M12" s="118"/>
      <c r="N12" s="118"/>
      <c r="O12" s="118"/>
    </row>
    <row r="13" spans="2:15">
      <c r="B13" s="118"/>
      <c r="C13" s="118"/>
      <c r="D13" s="178"/>
      <c r="E13" s="177"/>
      <c r="F13" s="118"/>
      <c r="G13" s="118"/>
      <c r="H13" s="118"/>
      <c r="I13" s="118"/>
      <c r="J13" s="118"/>
      <c r="K13" s="118"/>
      <c r="L13" s="118"/>
      <c r="M13" s="118"/>
      <c r="N13" s="118"/>
      <c r="O13" s="118"/>
    </row>
    <row r="14" spans="2:15">
      <c r="B14" s="118"/>
      <c r="C14" s="118"/>
      <c r="D14" s="178"/>
      <c r="E14" s="177"/>
      <c r="F14" s="118"/>
      <c r="G14" s="118"/>
      <c r="H14" s="171"/>
      <c r="I14" s="170"/>
      <c r="J14" s="118"/>
      <c r="K14" s="118"/>
      <c r="L14" s="118"/>
      <c r="M14" s="118"/>
      <c r="N14" s="118"/>
      <c r="O14" s="118"/>
    </row>
    <row r="15" spans="2:15">
      <c r="B15" s="118"/>
      <c r="C15" s="118"/>
      <c r="D15" s="178"/>
      <c r="E15" s="177"/>
      <c r="F15" s="118"/>
      <c r="G15" s="118"/>
      <c r="H15" s="171"/>
      <c r="I15" s="170"/>
      <c r="J15" s="118"/>
      <c r="K15" s="118"/>
      <c r="L15" s="118"/>
      <c r="M15" s="118"/>
      <c r="N15" s="118"/>
      <c r="O15" s="118"/>
    </row>
    <row r="16" spans="2:15">
      <c r="B16" s="118"/>
      <c r="C16" s="118"/>
      <c r="D16" s="178"/>
      <c r="E16" s="177"/>
      <c r="F16" s="118"/>
      <c r="G16" s="118"/>
      <c r="H16" s="118"/>
      <c r="I16" s="118"/>
      <c r="J16" s="118"/>
      <c r="K16" s="118"/>
      <c r="L16" s="118"/>
      <c r="M16" s="118"/>
      <c r="N16" s="118"/>
      <c r="O16" s="118"/>
    </row>
    <row r="17" spans="2:15">
      <c r="B17" s="118"/>
      <c r="C17" s="118"/>
      <c r="D17" s="178"/>
      <c r="E17" s="177"/>
      <c r="F17" s="118"/>
      <c r="G17" s="118"/>
      <c r="H17" s="118"/>
      <c r="I17" s="118"/>
      <c r="J17" s="118"/>
      <c r="K17" s="118"/>
      <c r="L17" s="118"/>
      <c r="M17" s="118"/>
      <c r="N17" s="118"/>
      <c r="O17" s="118"/>
    </row>
    <row r="18" spans="2:15">
      <c r="B18" s="118"/>
      <c r="C18" s="118"/>
      <c r="D18" s="179"/>
      <c r="E18" s="172"/>
      <c r="F18" s="118"/>
      <c r="G18" s="118"/>
      <c r="H18" s="118"/>
      <c r="I18" s="118"/>
      <c r="J18" s="118"/>
      <c r="K18" s="118"/>
      <c r="L18" s="118"/>
      <c r="M18" s="118"/>
      <c r="N18" s="118"/>
      <c r="O18" s="118"/>
    </row>
    <row r="19" spans="2:15">
      <c r="B19" s="118"/>
      <c r="C19" s="118"/>
      <c r="D19" s="169"/>
      <c r="E19" s="172"/>
      <c r="F19" s="118"/>
      <c r="G19" s="118"/>
      <c r="H19" s="118"/>
      <c r="I19" s="118"/>
      <c r="J19" s="118"/>
      <c r="K19" s="118"/>
      <c r="L19" s="118"/>
      <c r="M19" s="118"/>
      <c r="N19" s="118"/>
      <c r="O19" s="118"/>
    </row>
    <row r="20" spans="2:15">
      <c r="B20" s="118"/>
      <c r="C20" s="118"/>
      <c r="D20" s="179"/>
      <c r="E20" s="172"/>
      <c r="F20" s="118"/>
      <c r="G20" s="118"/>
      <c r="H20" s="118"/>
      <c r="I20" s="118"/>
      <c r="J20" s="118"/>
      <c r="K20" s="118"/>
      <c r="L20" s="118"/>
      <c r="M20" s="118"/>
      <c r="N20" s="118"/>
      <c r="O20" s="118"/>
    </row>
    <row r="21" spans="2:15">
      <c r="B21" s="118"/>
      <c r="C21" s="118"/>
      <c r="D21" s="171"/>
      <c r="E21" s="171"/>
      <c r="F21" s="171"/>
      <c r="G21" s="171"/>
      <c r="H21" s="171"/>
      <c r="I21" s="171"/>
      <c r="J21" s="171"/>
      <c r="K21" s="171"/>
      <c r="L21" s="118"/>
      <c r="M21" s="118"/>
      <c r="N21" s="118"/>
      <c r="O21" s="118"/>
    </row>
    <row r="22" spans="2:15">
      <c r="B22" s="118"/>
      <c r="C22" s="118"/>
      <c r="D22" s="171"/>
      <c r="E22" s="171"/>
      <c r="F22" s="171"/>
      <c r="G22" s="171"/>
      <c r="H22" s="171"/>
      <c r="I22" s="171"/>
      <c r="J22" s="171"/>
      <c r="K22" s="171"/>
      <c r="L22" s="118"/>
      <c r="M22" s="118"/>
      <c r="N22" s="118"/>
      <c r="O22" s="118"/>
    </row>
    <row r="23" spans="2:15">
      <c r="B23" s="118"/>
      <c r="C23" s="118"/>
      <c r="D23" s="171"/>
      <c r="E23" s="171"/>
      <c r="F23" s="171"/>
      <c r="G23" s="171"/>
      <c r="H23" s="171"/>
      <c r="I23" s="171"/>
      <c r="J23" s="171"/>
      <c r="K23" s="171"/>
      <c r="L23" s="118"/>
      <c r="M23" s="118"/>
      <c r="N23" s="118"/>
      <c r="O23" s="118"/>
    </row>
    <row r="24" spans="2:15">
      <c r="B24" s="118"/>
      <c r="C24" s="118"/>
      <c r="D24" s="171"/>
      <c r="E24" s="171"/>
      <c r="F24" s="171"/>
      <c r="G24" s="171"/>
      <c r="H24" s="171"/>
      <c r="I24" s="171"/>
      <c r="J24" s="171"/>
      <c r="K24" s="171"/>
      <c r="L24" s="118"/>
      <c r="M24" s="118"/>
      <c r="N24" s="118"/>
      <c r="O24" s="118"/>
    </row>
    <row r="25" spans="2:15">
      <c r="B25" s="118"/>
      <c r="C25" s="118"/>
      <c r="D25" s="171"/>
      <c r="E25" s="171"/>
      <c r="F25" s="171"/>
      <c r="G25" s="171"/>
      <c r="H25" s="171"/>
      <c r="I25" s="171"/>
      <c r="J25" s="171"/>
      <c r="K25" s="171"/>
      <c r="L25" s="118"/>
      <c r="M25" s="118"/>
      <c r="N25" s="118"/>
      <c r="O25" s="118"/>
    </row>
    <row r="26" spans="2:15">
      <c r="B26" s="118"/>
      <c r="C26" s="118"/>
      <c r="D26" s="171"/>
      <c r="E26" s="171"/>
      <c r="F26" s="171"/>
      <c r="G26" s="171"/>
      <c r="H26" s="171"/>
      <c r="I26" s="171"/>
      <c r="J26" s="171"/>
      <c r="K26" s="171"/>
      <c r="L26" s="118"/>
      <c r="M26" s="118"/>
      <c r="N26" s="118"/>
      <c r="O26" s="118"/>
    </row>
    <row r="27" spans="2:15">
      <c r="B27" s="118"/>
      <c r="C27" s="118"/>
      <c r="D27" s="183"/>
      <c r="E27" s="172"/>
      <c r="F27" s="118"/>
      <c r="G27" s="118"/>
      <c r="H27" s="118"/>
      <c r="I27" s="169"/>
      <c r="J27" s="118"/>
      <c r="K27" s="118"/>
      <c r="L27" s="118"/>
      <c r="M27" s="118"/>
      <c r="N27" s="118"/>
      <c r="O27" s="118"/>
    </row>
    <row r="28" spans="2:15">
      <c r="B28" s="118"/>
      <c r="C28" s="118"/>
      <c r="D28" s="118"/>
      <c r="E28" s="118"/>
      <c r="F28" s="118"/>
      <c r="G28" s="118"/>
      <c r="H28" s="118"/>
      <c r="I28" s="118"/>
      <c r="J28" s="118"/>
      <c r="K28" s="118"/>
      <c r="L28" s="118"/>
      <c r="M28" s="118"/>
      <c r="N28" s="118"/>
      <c r="O28" s="118"/>
    </row>
    <row r="29" spans="2:15" ht="15">
      <c r="B29" s="118"/>
      <c r="C29" s="167" t="s">
        <v>112</v>
      </c>
      <c r="D29" s="173"/>
      <c r="E29" s="161"/>
      <c r="F29" s="161"/>
      <c r="G29" s="161"/>
      <c r="H29" s="161"/>
      <c r="I29" s="161"/>
      <c r="J29" s="161"/>
      <c r="K29" s="161"/>
      <c r="L29" s="161"/>
      <c r="M29" s="161"/>
      <c r="N29" s="118"/>
      <c r="O29" s="118"/>
    </row>
    <row r="30" spans="2:15">
      <c r="B30" s="118"/>
      <c r="C30" s="118"/>
      <c r="D30" s="118"/>
      <c r="E30" s="118"/>
      <c r="F30" s="118"/>
      <c r="G30" s="118"/>
      <c r="H30" s="118"/>
      <c r="I30" s="118"/>
      <c r="J30" s="118"/>
      <c r="K30" s="118"/>
      <c r="L30" s="118"/>
      <c r="M30" s="118"/>
      <c r="N30" s="118"/>
      <c r="O30" s="118"/>
    </row>
    <row r="31" spans="2:15">
      <c r="B31" s="118"/>
      <c r="C31" s="118"/>
      <c r="D31" s="118"/>
      <c r="E31" s="118"/>
      <c r="F31" s="118"/>
      <c r="G31" s="118"/>
      <c r="H31" s="118"/>
      <c r="I31" s="118"/>
      <c r="J31" s="118"/>
      <c r="K31" s="118"/>
      <c r="L31" s="118"/>
      <c r="M31" s="118"/>
      <c r="N31" s="118"/>
      <c r="O31" s="118"/>
    </row>
    <row r="32" spans="2:15">
      <c r="B32" s="118"/>
      <c r="C32" s="118"/>
      <c r="D32" s="118"/>
      <c r="E32" s="118"/>
      <c r="F32" s="118"/>
      <c r="G32" s="118"/>
      <c r="H32" s="118"/>
      <c r="I32" s="118"/>
      <c r="J32" s="118"/>
      <c r="K32" s="118"/>
      <c r="L32" s="118"/>
      <c r="M32" s="118"/>
      <c r="N32" s="118"/>
      <c r="O32" s="118"/>
    </row>
    <row r="33" spans="2:15">
      <c r="B33" s="118"/>
      <c r="C33" s="118"/>
      <c r="D33" s="118"/>
      <c r="E33" s="118"/>
      <c r="F33" s="118"/>
      <c r="G33" s="118"/>
      <c r="H33" s="118"/>
      <c r="I33" s="118"/>
      <c r="J33" s="118"/>
      <c r="K33" s="118"/>
      <c r="L33" s="118"/>
      <c r="M33" s="118"/>
      <c r="N33" s="118"/>
      <c r="O33" s="118"/>
    </row>
    <row r="34" spans="2:15">
      <c r="B34" s="118"/>
      <c r="C34" s="118"/>
      <c r="D34" s="118"/>
      <c r="E34" s="180"/>
      <c r="F34" s="118"/>
      <c r="G34" s="118"/>
      <c r="H34" s="118"/>
      <c r="I34" s="118"/>
      <c r="J34" s="118"/>
      <c r="K34" s="118"/>
      <c r="L34" s="118"/>
      <c r="M34" s="118"/>
      <c r="N34" s="118"/>
      <c r="O34" s="118"/>
    </row>
    <row r="35" spans="2:15">
      <c r="B35" s="118"/>
      <c r="C35" s="118"/>
      <c r="D35" s="118"/>
      <c r="E35" s="169"/>
      <c r="F35" s="118"/>
      <c r="G35" s="118"/>
      <c r="H35" s="118"/>
      <c r="I35" s="118"/>
      <c r="J35" s="118"/>
      <c r="K35" s="118"/>
      <c r="L35" s="118"/>
      <c r="M35" s="118"/>
      <c r="N35" s="118"/>
      <c r="O35" s="118"/>
    </row>
    <row r="36" spans="2:15">
      <c r="B36" s="118"/>
      <c r="C36" s="118"/>
      <c r="D36" s="118"/>
      <c r="E36" s="118"/>
      <c r="F36" s="118"/>
      <c r="G36" s="118"/>
      <c r="H36" s="118"/>
      <c r="I36" s="118"/>
      <c r="J36" s="118"/>
      <c r="K36" s="118"/>
      <c r="L36" s="118"/>
      <c r="M36" s="118"/>
      <c r="N36" s="118"/>
      <c r="O36" s="118"/>
    </row>
    <row r="37" spans="2:15">
      <c r="B37" s="118"/>
      <c r="C37" s="118"/>
      <c r="D37" s="118"/>
      <c r="E37" s="118"/>
      <c r="F37" s="118"/>
      <c r="G37" s="118"/>
      <c r="H37" s="118"/>
      <c r="I37" s="118"/>
      <c r="J37" s="118"/>
      <c r="K37" s="118"/>
      <c r="L37" s="118"/>
      <c r="M37" s="118"/>
      <c r="N37" s="118"/>
      <c r="O37" s="118"/>
    </row>
    <row r="38" spans="2:15">
      <c r="B38" s="118"/>
      <c r="C38" s="118"/>
      <c r="D38" s="118"/>
      <c r="E38" s="118"/>
      <c r="F38" s="118"/>
      <c r="G38" s="118"/>
      <c r="H38" s="118"/>
      <c r="I38" s="118"/>
      <c r="J38" s="118"/>
      <c r="K38" s="118"/>
      <c r="L38" s="118"/>
      <c r="M38" s="118"/>
      <c r="N38" s="118"/>
      <c r="O38" s="118"/>
    </row>
    <row r="39" spans="2:15">
      <c r="B39" s="118"/>
      <c r="C39" s="118"/>
      <c r="D39" s="118"/>
      <c r="E39" s="118"/>
      <c r="F39" s="118"/>
      <c r="G39" s="118"/>
      <c r="H39" s="118"/>
      <c r="I39" s="118"/>
      <c r="J39" s="118"/>
      <c r="K39" s="118"/>
      <c r="L39" s="118"/>
      <c r="M39" s="118"/>
      <c r="N39" s="118"/>
      <c r="O39" s="118"/>
    </row>
    <row r="40" spans="2:15">
      <c r="B40" s="118"/>
      <c r="C40" s="118"/>
      <c r="D40" s="118"/>
      <c r="E40" s="118"/>
      <c r="F40" s="118"/>
      <c r="G40" s="118"/>
      <c r="H40" s="118"/>
      <c r="I40" s="118"/>
      <c r="J40" s="118"/>
      <c r="K40" s="118"/>
      <c r="L40" s="118"/>
      <c r="M40" s="118"/>
      <c r="N40" s="118"/>
      <c r="O40" s="118"/>
    </row>
    <row r="41" spans="2:15">
      <c r="B41" s="118"/>
      <c r="C41" s="118"/>
      <c r="D41" s="118"/>
      <c r="E41" s="118"/>
      <c r="F41" s="118"/>
      <c r="G41" s="118"/>
      <c r="H41" s="118"/>
      <c r="I41" s="118"/>
      <c r="J41" s="118"/>
      <c r="K41" s="118"/>
      <c r="L41" s="118"/>
      <c r="M41" s="118"/>
      <c r="N41" s="118"/>
      <c r="O41" s="118"/>
    </row>
    <row r="42" spans="2:15">
      <c r="B42" s="118"/>
      <c r="C42" s="118"/>
      <c r="D42" s="118"/>
      <c r="E42" s="118"/>
      <c r="F42" s="118"/>
      <c r="G42" s="118"/>
      <c r="H42" s="118"/>
      <c r="I42" s="118"/>
      <c r="J42" s="118"/>
      <c r="K42" s="118"/>
      <c r="L42" s="118"/>
      <c r="M42" s="118"/>
      <c r="N42" s="118"/>
      <c r="O42" s="118"/>
    </row>
    <row r="43" spans="2:15">
      <c r="B43" s="118"/>
      <c r="C43" s="118"/>
      <c r="D43" s="118"/>
      <c r="E43" s="118"/>
      <c r="F43" s="118"/>
      <c r="G43" s="118"/>
      <c r="H43" s="118"/>
      <c r="I43" s="118"/>
      <c r="J43" s="118"/>
      <c r="K43" s="118"/>
      <c r="L43" s="118"/>
      <c r="M43" s="118"/>
      <c r="N43" s="118"/>
      <c r="O43" s="118"/>
    </row>
    <row r="44" spans="2:15">
      <c r="B44" s="118"/>
      <c r="C44" s="118"/>
      <c r="D44" s="118"/>
      <c r="E44" s="118"/>
      <c r="F44" s="118"/>
      <c r="G44" s="118"/>
      <c r="H44" s="118"/>
      <c r="I44" s="118"/>
      <c r="J44" s="118"/>
      <c r="K44" s="118"/>
      <c r="L44" s="118"/>
      <c r="M44" s="118"/>
      <c r="N44" s="118"/>
      <c r="O44" s="118"/>
    </row>
    <row r="45" spans="2:15">
      <c r="B45" s="118"/>
      <c r="C45" s="118"/>
      <c r="D45" s="118"/>
      <c r="E45" s="118"/>
      <c r="F45" s="118"/>
      <c r="G45" s="118"/>
      <c r="H45" s="118"/>
      <c r="I45" s="118"/>
      <c r="J45" s="118"/>
      <c r="K45" s="118"/>
      <c r="L45" s="118"/>
      <c r="M45" s="118"/>
      <c r="N45" s="118"/>
      <c r="O45" s="118"/>
    </row>
    <row r="46" spans="2:15">
      <c r="B46" s="118"/>
      <c r="C46" s="118"/>
      <c r="D46" s="118"/>
      <c r="E46" s="118"/>
      <c r="F46" s="118"/>
      <c r="G46" s="118"/>
      <c r="H46" s="118"/>
      <c r="I46" s="118"/>
      <c r="J46" s="118"/>
      <c r="K46" s="118"/>
      <c r="L46" s="118"/>
      <c r="M46" s="118"/>
      <c r="N46" s="118"/>
      <c r="O46" s="118"/>
    </row>
    <row r="47" spans="2:15">
      <c r="B47" s="118"/>
      <c r="C47" s="118"/>
      <c r="D47" s="118"/>
      <c r="E47" s="118"/>
      <c r="F47" s="118"/>
      <c r="G47" s="118"/>
      <c r="H47" s="118"/>
      <c r="I47" s="118"/>
      <c r="J47" s="118"/>
      <c r="K47" s="118"/>
      <c r="L47" s="118"/>
      <c r="M47" s="118"/>
      <c r="N47" s="118"/>
      <c r="O47" s="118"/>
    </row>
    <row r="48" spans="2:15">
      <c r="B48" s="118"/>
      <c r="C48" s="118"/>
      <c r="D48" s="118"/>
      <c r="E48" s="180"/>
      <c r="F48" s="118"/>
      <c r="G48" s="118"/>
      <c r="H48" s="118"/>
      <c r="I48" s="118"/>
      <c r="J48" s="118"/>
      <c r="K48" s="118"/>
      <c r="L48" s="118"/>
      <c r="M48" s="118"/>
      <c r="N48" s="118"/>
      <c r="O48" s="118"/>
    </row>
    <row r="49" spans="2:15">
      <c r="B49" s="118"/>
      <c r="C49" s="118"/>
      <c r="D49" s="118"/>
      <c r="E49" s="118"/>
      <c r="F49" s="118"/>
      <c r="G49" s="118"/>
      <c r="H49" s="118"/>
      <c r="I49" s="118"/>
      <c r="J49" s="118"/>
      <c r="K49" s="118"/>
      <c r="L49" s="118"/>
      <c r="M49" s="118"/>
      <c r="N49" s="118"/>
      <c r="O49" s="118"/>
    </row>
    <row r="50" spans="2:15">
      <c r="B50" s="118"/>
      <c r="C50" s="118"/>
      <c r="D50" s="118"/>
      <c r="E50" s="118"/>
      <c r="F50" s="118"/>
      <c r="G50" s="118"/>
      <c r="H50" s="118"/>
      <c r="I50" s="118"/>
      <c r="J50" s="118"/>
      <c r="K50" s="118"/>
      <c r="L50" s="118"/>
      <c r="M50" s="118"/>
      <c r="N50" s="118"/>
      <c r="O50" s="118"/>
    </row>
    <row r="51" spans="2:15">
      <c r="B51" s="118"/>
      <c r="C51" s="118"/>
      <c r="D51" s="118"/>
      <c r="E51" s="118"/>
      <c r="F51" s="118"/>
      <c r="G51" s="118"/>
      <c r="H51" s="118"/>
      <c r="I51" s="118"/>
      <c r="J51" s="118"/>
      <c r="K51" s="118"/>
      <c r="L51" s="118"/>
      <c r="M51" s="118"/>
      <c r="N51" s="118"/>
      <c r="O51" s="118"/>
    </row>
    <row r="52" spans="2:15">
      <c r="B52" s="118"/>
      <c r="C52" s="118"/>
      <c r="D52" s="118"/>
      <c r="E52" s="118"/>
      <c r="F52" s="118"/>
      <c r="G52" s="118"/>
      <c r="H52" s="118"/>
      <c r="I52" s="118"/>
      <c r="J52" s="118"/>
      <c r="K52" s="118"/>
      <c r="L52" s="118"/>
      <c r="M52" s="118"/>
      <c r="N52" s="118"/>
      <c r="O52" s="118"/>
    </row>
    <row r="53" spans="2:15" ht="15">
      <c r="B53" s="118"/>
      <c r="C53" s="167" t="s">
        <v>114</v>
      </c>
      <c r="D53" s="173"/>
      <c r="E53" s="161"/>
      <c r="F53" s="161"/>
      <c r="G53" s="161"/>
      <c r="H53" s="161"/>
      <c r="I53" s="161"/>
      <c r="J53" s="161"/>
      <c r="K53" s="161"/>
      <c r="L53" s="161"/>
      <c r="M53" s="161"/>
      <c r="N53" s="118"/>
      <c r="O53" s="118"/>
    </row>
    <row r="54" spans="2:15">
      <c r="B54" s="118"/>
      <c r="C54" s="118"/>
      <c r="D54" s="118"/>
      <c r="E54" s="118"/>
      <c r="F54" s="118"/>
      <c r="G54" s="118"/>
      <c r="H54" s="118"/>
      <c r="I54" s="118"/>
      <c r="J54" s="118"/>
      <c r="K54" s="118"/>
      <c r="L54" s="118"/>
      <c r="M54" s="118"/>
      <c r="N54" s="118"/>
      <c r="O54" s="118"/>
    </row>
    <row r="55" spans="2:15">
      <c r="B55" s="118"/>
      <c r="C55" s="118"/>
      <c r="D55" s="118"/>
      <c r="E55" s="118"/>
      <c r="F55" s="118"/>
      <c r="G55" s="118"/>
      <c r="H55" s="118"/>
      <c r="I55" s="118"/>
      <c r="J55" s="118"/>
      <c r="K55" s="118"/>
      <c r="L55" s="118"/>
      <c r="M55" s="118"/>
      <c r="N55" s="118"/>
      <c r="O55" s="118"/>
    </row>
    <row r="56" spans="2:15">
      <c r="B56" s="118"/>
      <c r="C56" s="118"/>
      <c r="D56" s="118"/>
      <c r="E56" s="118"/>
      <c r="F56" s="118"/>
      <c r="G56" s="118"/>
      <c r="H56" s="118"/>
      <c r="I56" s="118"/>
      <c r="J56" s="118"/>
      <c r="K56" s="118"/>
      <c r="L56" s="118"/>
      <c r="M56" s="118"/>
      <c r="N56" s="118"/>
      <c r="O56" s="118"/>
    </row>
    <row r="57" spans="2:15">
      <c r="B57" s="118"/>
      <c r="C57" s="118"/>
      <c r="D57" s="118"/>
      <c r="E57" s="118"/>
      <c r="F57" s="118"/>
      <c r="G57" s="118"/>
      <c r="H57" s="118"/>
      <c r="I57" s="118"/>
      <c r="J57" s="118"/>
      <c r="K57" s="118"/>
      <c r="L57" s="118"/>
      <c r="M57" s="118"/>
      <c r="N57" s="118"/>
      <c r="O57" s="118"/>
    </row>
    <row r="58" spans="2:15">
      <c r="B58" s="118"/>
      <c r="C58" s="118"/>
      <c r="D58" s="118"/>
      <c r="E58" s="118"/>
      <c r="F58" s="118"/>
      <c r="G58" s="118"/>
      <c r="H58" s="118"/>
      <c r="I58" s="118"/>
      <c r="J58" s="118"/>
      <c r="K58" s="118"/>
      <c r="L58" s="118"/>
      <c r="M58" s="118"/>
      <c r="N58" s="118"/>
      <c r="O58" s="118"/>
    </row>
    <row r="59" spans="2:15">
      <c r="B59" s="118"/>
      <c r="C59" s="118"/>
      <c r="D59" s="118"/>
      <c r="E59" s="118"/>
      <c r="F59" s="118"/>
      <c r="G59" s="118"/>
      <c r="H59" s="118"/>
      <c r="I59" s="118"/>
      <c r="J59" s="118"/>
      <c r="K59" s="118"/>
      <c r="L59" s="118"/>
      <c r="M59" s="118"/>
      <c r="N59" s="118"/>
      <c r="O59" s="118"/>
    </row>
    <row r="60" spans="2:15">
      <c r="B60" s="118"/>
      <c r="C60" s="118"/>
      <c r="D60" s="118"/>
      <c r="E60" s="118"/>
      <c r="F60" s="118"/>
      <c r="G60" s="118"/>
      <c r="H60" s="118"/>
      <c r="I60" s="118"/>
      <c r="J60" s="118"/>
      <c r="K60" s="118"/>
      <c r="L60" s="118"/>
      <c r="M60" s="118"/>
      <c r="N60" s="118"/>
      <c r="O60" s="118"/>
    </row>
    <row r="61" spans="2:15">
      <c r="B61" s="118"/>
      <c r="C61" s="118"/>
      <c r="D61" s="118"/>
      <c r="E61" s="118"/>
      <c r="F61" s="118"/>
      <c r="G61" s="118"/>
      <c r="H61" s="118"/>
      <c r="I61" s="118"/>
      <c r="J61" s="118"/>
      <c r="K61" s="118"/>
      <c r="L61" s="118"/>
      <c r="M61" s="118"/>
      <c r="N61" s="118"/>
      <c r="O61" s="118"/>
    </row>
    <row r="62" spans="2:15">
      <c r="B62" s="118"/>
      <c r="C62" s="118"/>
      <c r="D62" s="118"/>
      <c r="E62" s="118"/>
      <c r="F62" s="118"/>
      <c r="G62" s="118"/>
      <c r="H62" s="118"/>
      <c r="I62" s="118"/>
      <c r="J62" s="118"/>
      <c r="K62" s="118"/>
      <c r="L62" s="118"/>
      <c r="M62" s="118"/>
      <c r="N62" s="118"/>
      <c r="O62" s="118"/>
    </row>
    <row r="63" spans="2:15">
      <c r="B63" s="118"/>
      <c r="C63" s="118"/>
      <c r="D63" s="118"/>
      <c r="E63" s="118"/>
      <c r="F63" s="118"/>
      <c r="G63" s="118"/>
      <c r="H63" s="118"/>
      <c r="I63" s="118"/>
      <c r="J63" s="118"/>
      <c r="K63" s="118"/>
      <c r="L63" s="118"/>
      <c r="M63" s="118"/>
      <c r="N63" s="118"/>
      <c r="O63" s="118"/>
    </row>
    <row r="64" spans="2:15">
      <c r="B64" s="118"/>
      <c r="C64" s="118"/>
      <c r="D64" s="118"/>
      <c r="E64" s="118"/>
      <c r="F64" s="118"/>
      <c r="G64" s="118"/>
      <c r="H64" s="118"/>
      <c r="I64" s="118"/>
      <c r="J64" s="118"/>
      <c r="K64" s="118"/>
      <c r="L64" s="118"/>
      <c r="M64" s="118"/>
      <c r="N64" s="118"/>
      <c r="O64" s="118"/>
    </row>
    <row r="65" spans="2:15">
      <c r="B65" s="118"/>
      <c r="C65" s="118"/>
      <c r="D65" s="118"/>
      <c r="E65" s="118"/>
      <c r="F65" s="118"/>
      <c r="G65" s="118"/>
      <c r="H65" s="118"/>
      <c r="I65" s="118"/>
      <c r="J65" s="118"/>
      <c r="K65" s="118"/>
      <c r="L65" s="118"/>
      <c r="M65" s="118"/>
      <c r="N65" s="118"/>
      <c r="O65" s="118"/>
    </row>
    <row r="66" spans="2:15">
      <c r="B66" s="118"/>
      <c r="C66" s="118"/>
      <c r="D66" s="118"/>
      <c r="E66" s="118"/>
      <c r="F66" s="118"/>
      <c r="G66" s="118"/>
      <c r="H66" s="118"/>
      <c r="I66" s="118"/>
      <c r="J66" s="118"/>
      <c r="K66" s="118"/>
      <c r="L66" s="118"/>
      <c r="M66" s="118"/>
      <c r="N66" s="118"/>
      <c r="O66" s="118"/>
    </row>
    <row r="67" spans="2:15">
      <c r="B67" s="118"/>
      <c r="C67" s="118"/>
      <c r="D67" s="118"/>
      <c r="E67" s="118"/>
      <c r="F67" s="118"/>
      <c r="G67" s="118"/>
      <c r="H67" s="118"/>
      <c r="I67" s="118"/>
      <c r="J67" s="118"/>
      <c r="K67" s="118"/>
      <c r="L67" s="118"/>
      <c r="M67" s="118"/>
      <c r="N67" s="118"/>
      <c r="O67" s="118"/>
    </row>
    <row r="68" spans="2:15">
      <c r="B68" s="118"/>
      <c r="C68" s="118"/>
      <c r="D68" s="118"/>
      <c r="E68" s="118"/>
      <c r="F68" s="118"/>
      <c r="G68" s="118"/>
      <c r="H68" s="118"/>
      <c r="I68" s="118"/>
      <c r="J68" s="118"/>
      <c r="K68" s="118"/>
      <c r="L68" s="118"/>
      <c r="M68" s="118"/>
      <c r="N68" s="118"/>
      <c r="O68" s="118"/>
    </row>
    <row r="69" spans="2:15">
      <c r="B69" s="118"/>
      <c r="C69" s="118"/>
      <c r="D69" s="118"/>
      <c r="E69" s="118"/>
      <c r="F69" s="118"/>
      <c r="G69" s="118"/>
      <c r="H69" s="118"/>
      <c r="I69" s="118"/>
      <c r="J69" s="118"/>
      <c r="K69" s="118"/>
      <c r="L69" s="118"/>
      <c r="M69" s="118"/>
      <c r="N69" s="118"/>
      <c r="O69" s="118"/>
    </row>
    <row r="70" spans="2:15">
      <c r="B70" s="118"/>
      <c r="C70" s="175"/>
      <c r="D70" s="118"/>
      <c r="E70" s="118"/>
      <c r="F70" s="118"/>
      <c r="G70" s="118"/>
      <c r="H70" s="118"/>
      <c r="I70" s="118"/>
      <c r="J70" s="118"/>
      <c r="K70" s="118"/>
      <c r="L70" s="118"/>
      <c r="M70" s="118"/>
      <c r="N70" s="118"/>
      <c r="O70" s="118"/>
    </row>
    <row r="71" spans="2:15">
      <c r="B71" s="118"/>
      <c r="C71" s="176"/>
      <c r="D71" s="118"/>
      <c r="E71" s="118"/>
      <c r="F71" s="118"/>
      <c r="G71" s="118"/>
      <c r="H71" s="118"/>
      <c r="I71" s="118"/>
      <c r="J71" s="118"/>
      <c r="K71" s="118"/>
      <c r="L71" s="118"/>
      <c r="M71" s="118"/>
      <c r="N71" s="118"/>
      <c r="O71" s="118"/>
    </row>
    <row r="72" spans="2:15">
      <c r="B72" s="118"/>
      <c r="C72" s="176"/>
      <c r="D72" s="118"/>
      <c r="E72" s="118"/>
      <c r="F72" s="118"/>
      <c r="G72" s="118"/>
      <c r="H72" s="118"/>
      <c r="I72" s="118"/>
      <c r="J72" s="118"/>
      <c r="K72" s="118"/>
      <c r="L72" s="118"/>
      <c r="M72" s="118"/>
      <c r="N72" s="118"/>
      <c r="O72" s="118"/>
    </row>
    <row r="73" spans="2:15">
      <c r="B73" s="118"/>
      <c r="C73" s="118"/>
      <c r="D73" s="118"/>
      <c r="E73" s="118"/>
      <c r="F73" s="118"/>
      <c r="G73" s="118"/>
      <c r="H73" s="118"/>
      <c r="I73" s="118"/>
      <c r="J73" s="118"/>
      <c r="K73" s="118"/>
      <c r="L73" s="118"/>
      <c r="M73" s="118"/>
      <c r="N73" s="118"/>
      <c r="O73" s="118"/>
    </row>
    <row r="74" spans="2:15">
      <c r="B74" s="118"/>
      <c r="C74" s="118"/>
      <c r="D74" s="118"/>
      <c r="E74" s="118"/>
      <c r="F74" s="118"/>
      <c r="G74" s="118"/>
      <c r="H74" s="118"/>
      <c r="I74" s="118"/>
      <c r="J74" s="118"/>
      <c r="K74" s="118"/>
      <c r="L74" s="118"/>
      <c r="M74" s="118"/>
      <c r="N74" s="118"/>
      <c r="O74" s="118"/>
    </row>
    <row r="75" spans="2:15">
      <c r="B75" s="118"/>
      <c r="C75" s="118"/>
      <c r="D75" s="118"/>
      <c r="E75" s="118"/>
      <c r="F75" s="118"/>
      <c r="G75" s="118"/>
      <c r="H75" s="118"/>
      <c r="I75" s="118"/>
      <c r="J75" s="118"/>
      <c r="K75" s="118"/>
      <c r="L75" s="118"/>
      <c r="M75" s="118"/>
      <c r="N75" s="118"/>
      <c r="O75" s="118"/>
    </row>
    <row r="76" spans="2:15">
      <c r="B76" s="118"/>
      <c r="C76" s="118"/>
      <c r="D76" s="118"/>
      <c r="E76" s="118"/>
      <c r="F76" s="118"/>
      <c r="G76" s="118"/>
      <c r="H76" s="118"/>
      <c r="I76" s="118"/>
      <c r="J76" s="118"/>
      <c r="K76" s="118"/>
      <c r="L76" s="118"/>
      <c r="M76" s="118"/>
      <c r="N76" s="118"/>
      <c r="O76" s="118"/>
    </row>
  </sheetData>
  <sheetProtection password="CFD5" sheet="1" objects="1" scenarios="1" selectLockedCells="1"/>
  <pageMargins left="0.7" right="0.7" top="0.75" bottom="0.75" header="0.3" footer="0.3"/>
  <pageSetup paperSize="9" scale="68" orientation="portrait" r:id="rId1"/>
  <drawing r:id="rId2"/>
  <legacyDrawing r:id="rId3"/>
  <oleObjects>
    <mc:AlternateContent xmlns:mc="http://schemas.openxmlformats.org/markup-compatibility/2006">
      <mc:Choice Requires="x14">
        <oleObject progId="Document" dvAspect="DVASPECT_ICON" shapeId="5122" r:id="rId4">
          <objectPr defaultSize="0" autoPict="0" altText="TTO Site Inspection Sheet" r:id="rId5">
            <anchor moveWithCells="1">
              <from>
                <xdr:col>2</xdr:col>
                <xdr:colOff>571500</xdr:colOff>
                <xdr:row>54</xdr:row>
                <xdr:rowOff>57150</xdr:rowOff>
              </from>
              <to>
                <xdr:col>4</xdr:col>
                <xdr:colOff>266700</xdr:colOff>
                <xdr:row>58</xdr:row>
                <xdr:rowOff>95250</xdr:rowOff>
              </to>
            </anchor>
          </objectPr>
        </oleObject>
      </mc:Choice>
      <mc:Fallback>
        <oleObject progId="Document" dvAspect="DVASPECT_ICON" shapeId="5122" r:id="rId4"/>
      </mc:Fallback>
    </mc:AlternateContent>
  </oleObjec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J126"/>
  <sheetViews>
    <sheetView showGridLines="0" zoomScaleNormal="100" workbookViewId="0">
      <selection activeCell="D71" sqref="D71:D72"/>
    </sheetView>
  </sheetViews>
  <sheetFormatPr defaultRowHeight="12.75"/>
  <cols>
    <col min="2" max="2" width="18.42578125" style="1" customWidth="1"/>
    <col min="3" max="3" width="13.140625" style="1" customWidth="1"/>
    <col min="4" max="4" width="51.5703125" bestFit="1" customWidth="1"/>
    <col min="5" max="5" width="9.42578125" style="2" bestFit="1" customWidth="1"/>
    <col min="6" max="6" width="11.85546875" bestFit="1" customWidth="1"/>
    <col min="7" max="7" width="10.85546875" customWidth="1"/>
    <col min="8" max="8" width="3.85546875" customWidth="1"/>
  </cols>
  <sheetData>
    <row r="1" spans="1:7" ht="24" thickBot="1">
      <c r="A1" s="17" t="s">
        <v>4</v>
      </c>
      <c r="B1" s="18"/>
      <c r="C1" s="18"/>
      <c r="D1" s="19"/>
      <c r="E1" s="20"/>
      <c r="F1" s="19"/>
      <c r="G1" s="19"/>
    </row>
    <row r="3" spans="1:7">
      <c r="B3" s="55" t="s">
        <v>6</v>
      </c>
      <c r="C3" s="21"/>
      <c r="D3" s="33" t="s">
        <v>7</v>
      </c>
    </row>
    <row r="4" spans="1:7">
      <c r="B4" s="55" t="s">
        <v>8</v>
      </c>
      <c r="D4" s="21">
        <v>40385.481166898149</v>
      </c>
    </row>
    <row r="5" spans="1:7">
      <c r="B5" s="55"/>
      <c r="D5" s="21"/>
    </row>
    <row r="6" spans="1:7">
      <c r="B6" s="55"/>
      <c r="D6" s="21"/>
    </row>
    <row r="7" spans="1:7">
      <c r="B7" s="55"/>
      <c r="D7" s="21"/>
    </row>
    <row r="8" spans="1:7">
      <c r="B8" s="55"/>
      <c r="D8" s="21"/>
    </row>
    <row r="9" spans="1:7" ht="13.5" thickBot="1">
      <c r="B9" s="55"/>
      <c r="D9" s="21"/>
    </row>
    <row r="10" spans="1:7" ht="16.5" thickBot="1">
      <c r="B10" s="80" t="s">
        <v>43</v>
      </c>
      <c r="C10" s="81"/>
      <c r="D10" s="82"/>
      <c r="E10" s="83"/>
      <c r="F10" s="82"/>
      <c r="G10" s="84"/>
    </row>
    <row r="11" spans="1:7" ht="4.5" customHeight="1" thickBot="1">
      <c r="B11"/>
      <c r="C11"/>
      <c r="E11"/>
    </row>
    <row r="12" spans="1:7" ht="15">
      <c r="B12" s="13" t="s">
        <v>2</v>
      </c>
      <c r="C12" s="14" t="s">
        <v>9</v>
      </c>
      <c r="D12" s="15" t="s">
        <v>0</v>
      </c>
      <c r="E12" s="16" t="s">
        <v>1</v>
      </c>
      <c r="F12" s="15" t="s">
        <v>3</v>
      </c>
      <c r="G12" s="37" t="s">
        <v>35</v>
      </c>
    </row>
    <row r="13" spans="1:7">
      <c r="B13" s="60" t="s">
        <v>14</v>
      </c>
      <c r="C13" s="22">
        <v>14010001</v>
      </c>
      <c r="D13" s="85" t="s">
        <v>15</v>
      </c>
      <c r="E13" s="34">
        <v>1</v>
      </c>
      <c r="F13" s="89"/>
      <c r="G13" s="61">
        <f>F13*E13</f>
        <v>0</v>
      </c>
    </row>
    <row r="14" spans="1:7">
      <c r="B14" s="60"/>
      <c r="C14" s="22"/>
      <c r="D14" s="85" t="s">
        <v>57</v>
      </c>
      <c r="E14" s="34">
        <v>1</v>
      </c>
      <c r="F14" s="89"/>
      <c r="G14" s="61"/>
    </row>
    <row r="15" spans="1:7">
      <c r="B15" s="23">
        <v>6013542</v>
      </c>
      <c r="C15" s="22">
        <v>11060095</v>
      </c>
      <c r="D15" s="4" t="s">
        <v>55</v>
      </c>
      <c r="E15" s="34">
        <v>1</v>
      </c>
      <c r="F15" s="89"/>
      <c r="G15" s="61">
        <f>F15*E15</f>
        <v>0</v>
      </c>
    </row>
    <row r="16" spans="1:7">
      <c r="B16" s="23">
        <v>7030536</v>
      </c>
      <c r="C16" s="22">
        <v>11060039</v>
      </c>
      <c r="D16" s="85" t="s">
        <v>56</v>
      </c>
      <c r="E16" s="34">
        <v>1</v>
      </c>
      <c r="F16" s="90"/>
      <c r="G16" s="62"/>
    </row>
    <row r="17" spans="2:10">
      <c r="B17" s="23"/>
      <c r="C17" s="22"/>
      <c r="D17" s="85" t="s">
        <v>27</v>
      </c>
      <c r="E17" s="34">
        <v>1</v>
      </c>
      <c r="F17" s="90"/>
      <c r="G17" s="62"/>
    </row>
    <row r="18" spans="2:10">
      <c r="B18" s="23" t="s">
        <v>52</v>
      </c>
      <c r="C18" s="22"/>
      <c r="D18" s="87" t="s">
        <v>58</v>
      </c>
      <c r="E18" s="34">
        <v>2</v>
      </c>
      <c r="F18" s="89"/>
      <c r="G18" s="61">
        <f>F18*E18</f>
        <v>0</v>
      </c>
    </row>
    <row r="19" spans="2:10">
      <c r="B19" s="23" t="s">
        <v>52</v>
      </c>
      <c r="C19" s="22"/>
      <c r="D19" s="4" t="s">
        <v>5</v>
      </c>
      <c r="E19" s="34">
        <v>2</v>
      </c>
      <c r="F19" s="89"/>
      <c r="G19" s="61">
        <f>F19*E19</f>
        <v>0</v>
      </c>
    </row>
    <row r="20" spans="2:10">
      <c r="B20" s="73" t="s">
        <v>52</v>
      </c>
      <c r="C20" s="74"/>
      <c r="D20" s="75" t="s">
        <v>53</v>
      </c>
      <c r="E20" s="76">
        <v>2</v>
      </c>
      <c r="F20" s="91"/>
      <c r="G20" s="77">
        <f>F20*E20</f>
        <v>0</v>
      </c>
    </row>
    <row r="21" spans="2:10" ht="13.5" thickBot="1">
      <c r="B21" s="24" t="s">
        <v>52</v>
      </c>
      <c r="C21" s="25"/>
      <c r="D21" s="7" t="s">
        <v>54</v>
      </c>
      <c r="E21" s="35">
        <v>1</v>
      </c>
      <c r="F21" s="92"/>
      <c r="G21" s="63">
        <f>F21*E21</f>
        <v>0</v>
      </c>
    </row>
    <row r="22" spans="2:10" ht="13.5" thickBot="1">
      <c r="B22" s="26"/>
      <c r="C22" s="26"/>
      <c r="D22" s="27"/>
      <c r="E22" s="28"/>
      <c r="F22" s="51" t="s">
        <v>42</v>
      </c>
      <c r="G22" s="64">
        <f>SUM(G13:G21)</f>
        <v>0</v>
      </c>
      <c r="I22" s="53"/>
    </row>
    <row r="23" spans="2:10" ht="13.5" thickBot="1">
      <c r="B23" s="26"/>
      <c r="C23" s="26"/>
      <c r="D23" s="27"/>
      <c r="E23" s="28"/>
      <c r="F23" s="29"/>
      <c r="G23" s="29"/>
      <c r="I23" s="53"/>
    </row>
    <row r="24" spans="2:10" ht="16.5" thickBot="1">
      <c r="B24" s="80" t="s">
        <v>44</v>
      </c>
      <c r="C24" s="81"/>
      <c r="D24" s="82"/>
      <c r="E24" s="83"/>
      <c r="F24" s="82"/>
      <c r="G24" s="84"/>
      <c r="I24" s="52"/>
    </row>
    <row r="25" spans="2:10" ht="3.75" customHeight="1" thickBot="1">
      <c r="B25"/>
      <c r="C25"/>
      <c r="E25"/>
    </row>
    <row r="26" spans="2:10">
      <c r="B26" s="30"/>
      <c r="C26" s="42" t="s">
        <v>12</v>
      </c>
      <c r="D26" s="86" t="s">
        <v>65</v>
      </c>
      <c r="E26" s="31">
        <v>1</v>
      </c>
      <c r="F26" s="93"/>
      <c r="G26" s="32">
        <f>F26*E26</f>
        <v>0</v>
      </c>
      <c r="I26" s="52"/>
    </row>
    <row r="27" spans="2:10">
      <c r="B27" s="23"/>
      <c r="C27" s="43"/>
      <c r="D27" s="4"/>
      <c r="E27" s="3"/>
      <c r="F27" s="89"/>
      <c r="G27" s="6">
        <f>F27*E27</f>
        <v>0</v>
      </c>
      <c r="I27" s="52"/>
    </row>
    <row r="28" spans="2:10" ht="13.5" thickBot="1">
      <c r="B28" s="24"/>
      <c r="C28" s="44"/>
      <c r="D28" s="7"/>
      <c r="E28" s="8"/>
      <c r="F28" s="92"/>
      <c r="G28" s="9">
        <f>F28*E28</f>
        <v>0</v>
      </c>
      <c r="I28" s="52"/>
    </row>
    <row r="29" spans="2:10" ht="13.5" thickBot="1">
      <c r="B29" s="26"/>
      <c r="C29" s="26"/>
      <c r="D29" s="27"/>
      <c r="E29" s="28"/>
      <c r="F29" s="51" t="s">
        <v>42</v>
      </c>
      <c r="G29" s="54">
        <f>SUM(G26:G28)</f>
        <v>0</v>
      </c>
      <c r="I29" s="52"/>
    </row>
    <row r="30" spans="2:10" ht="5.25" customHeight="1">
      <c r="B30" s="26"/>
      <c r="C30" s="26"/>
      <c r="D30" s="27"/>
      <c r="E30" s="28"/>
      <c r="F30" s="2"/>
      <c r="G30" s="2"/>
      <c r="I30" s="52"/>
    </row>
    <row r="31" spans="2:10" ht="13.5" thickBot="1">
      <c r="F31" s="2"/>
      <c r="G31" s="2"/>
      <c r="I31" s="52"/>
      <c r="J31" s="52"/>
    </row>
    <row r="32" spans="2:10" ht="16.5" thickBot="1">
      <c r="B32" s="80" t="s">
        <v>40</v>
      </c>
      <c r="C32" s="81"/>
      <c r="D32" s="82"/>
      <c r="E32" s="83"/>
      <c r="F32" s="82"/>
      <c r="G32" s="84"/>
      <c r="I32" s="52"/>
      <c r="J32" s="52"/>
    </row>
    <row r="33" spans="2:10" ht="4.5" customHeight="1">
      <c r="B33"/>
      <c r="C33"/>
      <c r="E33"/>
      <c r="J33" s="52"/>
    </row>
    <row r="34" spans="2:10">
      <c r="B34" s="23"/>
      <c r="C34" s="43"/>
      <c r="D34" s="4"/>
      <c r="E34" s="3">
        <v>1</v>
      </c>
      <c r="F34" s="89"/>
      <c r="G34" s="6">
        <f>F34*E34</f>
        <v>0</v>
      </c>
      <c r="I34" s="52"/>
      <c r="J34" s="52"/>
    </row>
    <row r="35" spans="2:10">
      <c r="B35" s="23"/>
      <c r="C35" s="56"/>
      <c r="D35" s="57"/>
      <c r="E35" s="58"/>
      <c r="F35" s="94"/>
      <c r="G35" s="59"/>
      <c r="I35" s="52"/>
      <c r="J35" s="52"/>
    </row>
    <row r="36" spans="2:10" ht="13.5" thickBot="1">
      <c r="B36" s="40"/>
      <c r="C36" s="10"/>
      <c r="D36" s="41"/>
      <c r="E36" s="11"/>
      <c r="F36" s="95"/>
      <c r="G36" s="12"/>
      <c r="I36" s="52"/>
      <c r="J36" s="52"/>
    </row>
    <row r="37" spans="2:10" ht="13.5" thickBot="1">
      <c r="F37" s="51" t="s">
        <v>42</v>
      </c>
      <c r="G37" s="54">
        <f>SUM(G34:G36)</f>
        <v>0</v>
      </c>
    </row>
    <row r="38" spans="2:10" ht="13.5" thickBot="1">
      <c r="C38" s="36"/>
      <c r="F38" s="38"/>
      <c r="G38" s="39"/>
    </row>
    <row r="39" spans="2:10" ht="13.5" thickBot="1">
      <c r="C39" s="36"/>
      <c r="F39" s="71" t="s">
        <v>74</v>
      </c>
      <c r="G39" s="72">
        <f>SUM(G22,G29,G37)</f>
        <v>0</v>
      </c>
    </row>
    <row r="40" spans="2:10" ht="13.5" thickBot="1">
      <c r="C40" s="36"/>
      <c r="E40"/>
    </row>
    <row r="41" spans="2:10" ht="16.5" thickBot="1">
      <c r="C41" s="36"/>
      <c r="D41" s="104" t="str">
        <f>IF(C53="Y","",IF(G41&gt;10%,"Warning this is above the maximum allowable discount!",""))</f>
        <v/>
      </c>
      <c r="F41" s="103" t="s">
        <v>73</v>
      </c>
      <c r="G41" s="101">
        <v>0</v>
      </c>
    </row>
    <row r="42" spans="2:10" ht="16.5" thickBot="1">
      <c r="C42" s="36"/>
      <c r="D42" s="104" t="str">
        <f>IF(AND(C53="Y",G41&gt;10%),"Special Discount Approved by Sales Manager",IF(G41&gt;10%,"Pending approval",""))</f>
        <v/>
      </c>
      <c r="E42"/>
    </row>
    <row r="43" spans="2:10" ht="13.5" thickBot="1">
      <c r="C43" s="36"/>
      <c r="E43"/>
      <c r="F43" s="102" t="s">
        <v>41</v>
      </c>
      <c r="G43" s="72">
        <f>G39*(1-G41)</f>
        <v>0</v>
      </c>
    </row>
    <row r="44" spans="2:10" ht="13.5" thickBot="1"/>
    <row r="45" spans="2:10" ht="16.5" thickBot="1">
      <c r="B45" s="80" t="s">
        <v>10</v>
      </c>
      <c r="C45" s="81"/>
      <c r="D45" s="82"/>
      <c r="E45" s="83"/>
      <c r="F45" s="82"/>
      <c r="G45" s="84"/>
    </row>
    <row r="46" spans="2:10" ht="103.5" customHeight="1" thickBot="1">
      <c r="B46" s="1677"/>
      <c r="C46" s="1678"/>
      <c r="D46" s="1678"/>
      <c r="E46" s="1678"/>
      <c r="F46" s="1678"/>
      <c r="G46" s="1679"/>
    </row>
    <row r="48" spans="2:10" ht="13.5" thickBot="1"/>
    <row r="49" spans="2:7" ht="16.5" thickBot="1">
      <c r="B49" s="50" t="s">
        <v>51</v>
      </c>
      <c r="C49" s="48"/>
      <c r="D49" s="48"/>
      <c r="E49" s="48"/>
      <c r="F49" s="48"/>
      <c r="G49" s="49"/>
    </row>
    <row r="50" spans="2:7" ht="6.75" customHeight="1" thickBot="1">
      <c r="B50"/>
      <c r="C50"/>
      <c r="E50"/>
    </row>
    <row r="51" spans="2:7" ht="13.5" thickBot="1">
      <c r="B51" s="68" t="s">
        <v>48</v>
      </c>
      <c r="C51" s="79" t="s">
        <v>50</v>
      </c>
      <c r="D51" s="1686" t="s">
        <v>49</v>
      </c>
      <c r="E51" s="1686"/>
      <c r="F51" s="1686"/>
      <c r="G51" s="1687"/>
    </row>
    <row r="52" spans="2:7">
      <c r="B52" s="65" t="s">
        <v>46</v>
      </c>
      <c r="C52" s="69"/>
      <c r="D52" s="1680"/>
      <c r="E52" s="1680"/>
      <c r="F52" s="1680"/>
      <c r="G52" s="1681"/>
    </row>
    <row r="53" spans="2:7">
      <c r="B53" s="66" t="s">
        <v>45</v>
      </c>
      <c r="C53" s="105"/>
      <c r="D53" s="1682"/>
      <c r="E53" s="1682"/>
      <c r="F53" s="1682"/>
      <c r="G53" s="1683"/>
    </row>
    <row r="54" spans="2:7" ht="13.5" thickBot="1">
      <c r="B54" s="67" t="s">
        <v>47</v>
      </c>
      <c r="C54" s="70"/>
      <c r="D54" s="1684"/>
      <c r="E54" s="1684"/>
      <c r="F54" s="1684"/>
      <c r="G54" s="1685"/>
    </row>
    <row r="56" spans="2:7">
      <c r="B56" s="106" t="s">
        <v>75</v>
      </c>
    </row>
    <row r="57" spans="2:7">
      <c r="B57" t="str">
        <f>IF(G41&gt;10%, "Warning this is above the maximum allowable discount!","")</f>
        <v/>
      </c>
    </row>
    <row r="58" spans="2:7">
      <c r="B58" s="33"/>
      <c r="C58"/>
      <c r="D58" s="33"/>
    </row>
    <row r="59" spans="2:7">
      <c r="B59" s="33"/>
      <c r="C59"/>
      <c r="D59" s="33"/>
    </row>
    <row r="60" spans="2:7">
      <c r="B60" s="33"/>
      <c r="C60"/>
      <c r="D60" s="33"/>
    </row>
    <row r="61" spans="2:7">
      <c r="B61" s="33"/>
      <c r="C61"/>
      <c r="D61" s="33"/>
    </row>
    <row r="68" spans="2:7" ht="13.5" thickBot="1">
      <c r="B68" s="96" t="s">
        <v>60</v>
      </c>
      <c r="C68" s="18"/>
      <c r="D68" s="19"/>
      <c r="E68" s="20"/>
      <c r="F68" s="19"/>
      <c r="G68" s="19"/>
    </row>
    <row r="70" spans="2:7">
      <c r="B70" s="45" t="s">
        <v>13</v>
      </c>
      <c r="C70" s="45"/>
      <c r="D70" s="46" t="s">
        <v>0</v>
      </c>
      <c r="E70" s="46" t="s">
        <v>9</v>
      </c>
      <c r="F70" s="47" t="s">
        <v>34</v>
      </c>
      <c r="G70" s="47" t="s">
        <v>35</v>
      </c>
    </row>
    <row r="71" spans="2:7">
      <c r="B71" s="36" t="s">
        <v>15</v>
      </c>
      <c r="D71" s="36" t="s">
        <v>15</v>
      </c>
    </row>
    <row r="72" spans="2:7">
      <c r="B72" s="36" t="s">
        <v>16</v>
      </c>
      <c r="D72" s="36" t="s">
        <v>16</v>
      </c>
    </row>
    <row r="73" spans="2:7">
      <c r="B73" s="36" t="s">
        <v>17</v>
      </c>
      <c r="D73" s="36" t="s">
        <v>17</v>
      </c>
    </row>
    <row r="74" spans="2:7">
      <c r="B74" s="36" t="s">
        <v>18</v>
      </c>
      <c r="D74" s="36" t="s">
        <v>18</v>
      </c>
    </row>
    <row r="76" spans="2:7">
      <c r="B76" s="45" t="s">
        <v>24</v>
      </c>
      <c r="D76" s="36" t="s">
        <v>63</v>
      </c>
    </row>
    <row r="77" spans="2:7">
      <c r="B77" s="36" t="s">
        <v>38</v>
      </c>
      <c r="D77" s="36" t="s">
        <v>38</v>
      </c>
    </row>
    <row r="78" spans="2:7">
      <c r="B78" s="36" t="s">
        <v>39</v>
      </c>
      <c r="D78" s="36" t="s">
        <v>39</v>
      </c>
    </row>
    <row r="80" spans="2:7">
      <c r="B80" s="45" t="s">
        <v>30</v>
      </c>
    </row>
    <row r="81" spans="2:7">
      <c r="B81" s="36" t="s">
        <v>19</v>
      </c>
      <c r="D81" s="36" t="s">
        <v>19</v>
      </c>
    </row>
    <row r="82" spans="2:7">
      <c r="B82" s="36" t="s">
        <v>20</v>
      </c>
      <c r="D82" s="36" t="s">
        <v>20</v>
      </c>
    </row>
    <row r="83" spans="2:7">
      <c r="B83" s="36" t="s">
        <v>21</v>
      </c>
      <c r="D83" s="36" t="s">
        <v>21</v>
      </c>
    </row>
    <row r="84" spans="2:7">
      <c r="B84" s="36"/>
    </row>
    <row r="85" spans="2:7">
      <c r="B85" s="45" t="s">
        <v>31</v>
      </c>
    </row>
    <row r="86" spans="2:7">
      <c r="B86" s="36" t="s">
        <v>19</v>
      </c>
      <c r="D86" s="36" t="s">
        <v>19</v>
      </c>
    </row>
    <row r="87" spans="2:7">
      <c r="B87" s="36" t="s">
        <v>20</v>
      </c>
      <c r="D87" s="36" t="s">
        <v>20</v>
      </c>
    </row>
    <row r="88" spans="2:7">
      <c r="B88" s="36" t="s">
        <v>21</v>
      </c>
      <c r="D88" s="36" t="s">
        <v>21</v>
      </c>
    </row>
    <row r="89" spans="2:7">
      <c r="B89" s="36"/>
    </row>
    <row r="90" spans="2:7">
      <c r="B90" s="45" t="s">
        <v>22</v>
      </c>
    </row>
    <row r="91" spans="2:7">
      <c r="B91" s="36" t="s">
        <v>23</v>
      </c>
      <c r="D91" s="78" t="s">
        <v>61</v>
      </c>
      <c r="E91" s="43">
        <v>15140019</v>
      </c>
      <c r="F91" s="23" t="s">
        <v>11</v>
      </c>
      <c r="G91" s="5">
        <v>447</v>
      </c>
    </row>
    <row r="92" spans="2:7">
      <c r="B92" s="36" t="s">
        <v>25</v>
      </c>
    </row>
    <row r="93" spans="2:7">
      <c r="B93" s="36" t="s">
        <v>26</v>
      </c>
    </row>
    <row r="96" spans="2:7">
      <c r="B96" s="45" t="s">
        <v>27</v>
      </c>
    </row>
    <row r="97" spans="2:2">
      <c r="B97" s="36">
        <v>1</v>
      </c>
    </row>
    <row r="98" spans="2:2">
      <c r="B98" s="36">
        <v>2</v>
      </c>
    </row>
    <row r="99" spans="2:2">
      <c r="B99" s="36">
        <v>3</v>
      </c>
    </row>
    <row r="101" spans="2:2">
      <c r="B101" s="45" t="s">
        <v>28</v>
      </c>
    </row>
    <row r="102" spans="2:2">
      <c r="B102" s="36">
        <v>1</v>
      </c>
    </row>
    <row r="103" spans="2:2">
      <c r="B103" s="36">
        <v>2</v>
      </c>
    </row>
    <row r="104" spans="2:2">
      <c r="B104" s="36">
        <v>3</v>
      </c>
    </row>
    <row r="106" spans="2:2">
      <c r="B106" s="45" t="s">
        <v>29</v>
      </c>
    </row>
    <row r="107" spans="2:2">
      <c r="B107" s="36">
        <v>1</v>
      </c>
    </row>
    <row r="108" spans="2:2">
      <c r="B108" s="36">
        <v>2</v>
      </c>
    </row>
    <row r="109" spans="2:2">
      <c r="B109" s="36">
        <v>3</v>
      </c>
    </row>
    <row r="110" spans="2:2">
      <c r="B110" s="1">
        <v>4</v>
      </c>
    </row>
    <row r="112" spans="2:2">
      <c r="B112" s="45" t="s">
        <v>32</v>
      </c>
    </row>
    <row r="113" spans="2:4">
      <c r="B113" s="36">
        <v>1</v>
      </c>
    </row>
    <row r="114" spans="2:4">
      <c r="B114" s="36">
        <v>2</v>
      </c>
    </row>
    <row r="115" spans="2:4">
      <c r="B115" s="36">
        <v>3</v>
      </c>
      <c r="D115" s="27" t="s">
        <v>54</v>
      </c>
    </row>
    <row r="116" spans="2:4">
      <c r="B116" s="1">
        <v>4</v>
      </c>
      <c r="D116" s="88" t="s">
        <v>59</v>
      </c>
    </row>
    <row r="119" spans="2:4">
      <c r="B119" s="45" t="s">
        <v>33</v>
      </c>
    </row>
    <row r="120" spans="2:4">
      <c r="B120" s="36">
        <v>1</v>
      </c>
    </row>
    <row r="121" spans="2:4">
      <c r="B121" s="36">
        <v>2</v>
      </c>
    </row>
    <row r="122" spans="2:4">
      <c r="B122" s="36">
        <v>3</v>
      </c>
    </row>
    <row r="123" spans="2:4">
      <c r="B123" s="1">
        <v>4</v>
      </c>
    </row>
    <row r="125" spans="2:4">
      <c r="B125" s="45" t="s">
        <v>36</v>
      </c>
    </row>
    <row r="126" spans="2:4">
      <c r="B126" s="36" t="s">
        <v>37</v>
      </c>
    </row>
  </sheetData>
  <mergeCells count="5">
    <mergeCell ref="B46:G46"/>
    <mergeCell ref="D52:G52"/>
    <mergeCell ref="D53:G53"/>
    <mergeCell ref="D54:G54"/>
    <mergeCell ref="D51:G51"/>
  </mergeCells>
  <phoneticPr fontId="2" type="noConversion"/>
  <pageMargins left="0.74803149606299213" right="0.74803149606299213" top="0.98425196850393704" bottom="0.98425196850393704" header="0.51181102362204722" footer="0.51181102362204722"/>
  <pageSetup paperSize="9" scale="77" orientation="portrait" horizontalDpi="200" r:id="rId1"/>
  <headerFooter alignWithMargins="0">
    <oddHeader>&amp;F</oddHeader>
    <oddFooter>&amp;L&amp;BMatthews Australasia Pty Ltd Confidential&amp;B&amp;C&amp;D&amp;RPage &amp;P</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B2:T791"/>
  <sheetViews>
    <sheetView workbookViewId="0"/>
  </sheetViews>
  <sheetFormatPr defaultRowHeight="12.75"/>
  <cols>
    <col min="3" max="3" width="29.7109375" bestFit="1" customWidth="1"/>
    <col min="4" max="4" width="13.7109375" style="1" bestFit="1" customWidth="1"/>
    <col min="5" max="5" width="11.7109375" customWidth="1"/>
    <col min="7" max="7" width="42.85546875" bestFit="1" customWidth="1"/>
    <col min="10" max="10" width="22" bestFit="1" customWidth="1"/>
    <col min="16" max="16" width="29.7109375" bestFit="1" customWidth="1"/>
    <col min="17" max="17" width="13.7109375" bestFit="1" customWidth="1"/>
    <col min="18" max="18" width="10.5703125" bestFit="1" customWidth="1"/>
    <col min="19" max="19" width="22" bestFit="1" customWidth="1"/>
    <col min="20" max="20" width="35" bestFit="1" customWidth="1"/>
  </cols>
  <sheetData>
    <row r="2" spans="3:4" ht="13.5" thickBot="1">
      <c r="D2" s="417"/>
    </row>
    <row r="3" spans="3:4" ht="15">
      <c r="C3" s="494" t="s">
        <v>376</v>
      </c>
      <c r="D3" s="495" t="s">
        <v>377</v>
      </c>
    </row>
    <row r="4" spans="3:4">
      <c r="C4" s="367">
        <v>4900</v>
      </c>
      <c r="D4" s="489">
        <v>490</v>
      </c>
    </row>
    <row r="5" spans="3:4">
      <c r="C5" s="367" t="s">
        <v>317</v>
      </c>
      <c r="D5" s="489" t="s">
        <v>378</v>
      </c>
    </row>
    <row r="6" spans="3:4">
      <c r="C6" s="367" t="s">
        <v>379</v>
      </c>
      <c r="D6" s="489" t="s">
        <v>380</v>
      </c>
    </row>
    <row r="7" spans="3:4">
      <c r="C7" s="367" t="s">
        <v>381</v>
      </c>
      <c r="D7" s="489" t="s">
        <v>382</v>
      </c>
    </row>
    <row r="8" spans="3:4">
      <c r="C8" s="367" t="s">
        <v>383</v>
      </c>
      <c r="D8" s="489" t="s">
        <v>380</v>
      </c>
    </row>
    <row r="9" spans="3:4">
      <c r="C9" s="367" t="s">
        <v>384</v>
      </c>
      <c r="D9" s="489">
        <v>0</v>
      </c>
    </row>
    <row r="10" spans="3:4">
      <c r="C10" s="367" t="s">
        <v>385</v>
      </c>
      <c r="D10" s="489">
        <v>1</v>
      </c>
    </row>
    <row r="11" spans="3:4">
      <c r="C11" s="367" t="s">
        <v>386</v>
      </c>
      <c r="D11" s="489">
        <v>2</v>
      </c>
    </row>
    <row r="12" spans="3:4">
      <c r="C12" s="367" t="s">
        <v>387</v>
      </c>
      <c r="D12" s="489">
        <v>3</v>
      </c>
    </row>
    <row r="13" spans="3:4" ht="13.5" thickBot="1">
      <c r="C13" s="368" t="s">
        <v>388</v>
      </c>
      <c r="D13" s="490" t="s">
        <v>389</v>
      </c>
    </row>
    <row r="16" spans="3:4" ht="13.5" thickBot="1"/>
    <row r="17" spans="2:20" ht="13.5" thickBot="1">
      <c r="B17" s="496" t="s">
        <v>650</v>
      </c>
      <c r="C17" s="474" t="s">
        <v>619</v>
      </c>
      <c r="D17" s="488" t="s">
        <v>144</v>
      </c>
      <c r="E17" s="474" t="s">
        <v>642</v>
      </c>
      <c r="G17" s="474" t="s">
        <v>645</v>
      </c>
      <c r="J17" s="514" t="s">
        <v>24</v>
      </c>
      <c r="N17" s="502" t="s">
        <v>653</v>
      </c>
      <c r="O17" s="504" t="s">
        <v>652</v>
      </c>
      <c r="P17" s="503" t="s">
        <v>619</v>
      </c>
      <c r="Q17" s="504" t="s">
        <v>144</v>
      </c>
      <c r="R17" s="504" t="s">
        <v>642</v>
      </c>
      <c r="S17" s="505" t="s">
        <v>651</v>
      </c>
      <c r="T17" s="504" t="s">
        <v>654</v>
      </c>
    </row>
    <row r="18" spans="2:20">
      <c r="B18" s="158">
        <v>1</v>
      </c>
      <c r="C18" s="472" t="s">
        <v>588</v>
      </c>
      <c r="D18" s="192">
        <v>4900</v>
      </c>
      <c r="E18" s="473" t="s">
        <v>379</v>
      </c>
      <c r="G18" s="425" t="str">
        <f>D18&amp;E18&amp;C18</f>
        <v>4900Ultima PlusInk 1039 Yel Easypack 2X500Ml</v>
      </c>
      <c r="J18" s="196" t="s">
        <v>321</v>
      </c>
      <c r="N18" s="506">
        <v>1</v>
      </c>
      <c r="O18" s="498">
        <v>86</v>
      </c>
      <c r="P18" s="479" t="s">
        <v>595</v>
      </c>
      <c r="Q18" s="506">
        <v>7900</v>
      </c>
      <c r="R18" s="498" t="s">
        <v>649</v>
      </c>
      <c r="S18" s="507" t="s">
        <v>321</v>
      </c>
      <c r="T18" s="98" t="str">
        <f>Q18&amp;S18</f>
        <v>7900Micro Mk7 2M</v>
      </c>
    </row>
    <row r="19" spans="2:20">
      <c r="B19" s="158">
        <v>2</v>
      </c>
      <c r="C19" s="472" t="s">
        <v>588</v>
      </c>
      <c r="D19" s="196" t="s">
        <v>391</v>
      </c>
      <c r="E19" s="473" t="s">
        <v>379</v>
      </c>
      <c r="G19" s="425" t="str">
        <f t="shared" ref="G19:G46" si="0">D19&amp;E19&amp;C19</f>
        <v>4900 DCUltima PlusInk 1039 Yel Easypack 2X500Ml</v>
      </c>
      <c r="J19" s="99" t="s">
        <v>322</v>
      </c>
      <c r="N19" s="3">
        <v>2</v>
      </c>
      <c r="O19" s="158">
        <v>86</v>
      </c>
      <c r="P19" s="472" t="s">
        <v>595</v>
      </c>
      <c r="Q19" s="3">
        <v>7900</v>
      </c>
      <c r="R19" s="158" t="s">
        <v>649</v>
      </c>
      <c r="S19" s="196" t="s">
        <v>322</v>
      </c>
      <c r="T19" s="98" t="str">
        <f t="shared" ref="T19:T82" si="1">Q19&amp;S19</f>
        <v>7900Micro Mk7 2M R/A</v>
      </c>
    </row>
    <row r="20" spans="2:20">
      <c r="B20" s="158">
        <v>3</v>
      </c>
      <c r="C20" s="472" t="s">
        <v>588</v>
      </c>
      <c r="D20" s="192">
        <v>7900</v>
      </c>
      <c r="E20" s="473" t="s">
        <v>379</v>
      </c>
      <c r="G20" s="425" t="str">
        <f t="shared" si="0"/>
        <v>7900Ultima PlusInk 1039 Yel Easypack 2X500Ml</v>
      </c>
      <c r="J20" s="99" t="s">
        <v>323</v>
      </c>
      <c r="N20" s="3">
        <v>3</v>
      </c>
      <c r="O20" s="158">
        <v>86</v>
      </c>
      <c r="P20" s="472" t="s">
        <v>595</v>
      </c>
      <c r="Q20" s="3">
        <v>7900</v>
      </c>
      <c r="R20" s="158" t="s">
        <v>649</v>
      </c>
      <c r="S20" s="196" t="s">
        <v>323</v>
      </c>
      <c r="T20" s="98" t="str">
        <f t="shared" si="1"/>
        <v>7900Micro Mk7 4M</v>
      </c>
    </row>
    <row r="21" spans="2:20" ht="13.5" thickBot="1">
      <c r="B21" s="158">
        <v>4</v>
      </c>
      <c r="C21" s="472" t="s">
        <v>588</v>
      </c>
      <c r="D21" s="196" t="s">
        <v>316</v>
      </c>
      <c r="E21" s="473" t="s">
        <v>379</v>
      </c>
      <c r="G21" s="425" t="str">
        <f t="shared" si="0"/>
        <v>7900 SpectrumUltima PlusInk 1039 Yel Easypack 2X500Ml</v>
      </c>
      <c r="J21" s="362" t="s">
        <v>324</v>
      </c>
      <c r="N21" s="3">
        <v>4</v>
      </c>
      <c r="O21" s="158">
        <v>86</v>
      </c>
      <c r="P21" s="472" t="s">
        <v>595</v>
      </c>
      <c r="Q21" s="3">
        <v>7900</v>
      </c>
      <c r="R21" s="158" t="s">
        <v>649</v>
      </c>
      <c r="S21" s="373" t="s">
        <v>324</v>
      </c>
      <c r="T21" s="98" t="str">
        <f t="shared" si="1"/>
        <v>7900Micro Mk7 4M R/A</v>
      </c>
    </row>
    <row r="22" spans="2:20">
      <c r="B22" s="158">
        <v>5</v>
      </c>
      <c r="C22" s="472" t="s">
        <v>588</v>
      </c>
      <c r="D22" s="192">
        <v>7900</v>
      </c>
      <c r="E22" s="473" t="s">
        <v>643</v>
      </c>
      <c r="G22" s="425" t="str">
        <f t="shared" si="0"/>
        <v>7900Midi PlusInk 1039 Yel Easypack 2X500Ml</v>
      </c>
      <c r="J22" s="363" t="s">
        <v>325</v>
      </c>
      <c r="N22" s="3">
        <v>5</v>
      </c>
      <c r="O22" s="158">
        <v>90</v>
      </c>
      <c r="P22" s="472" t="s">
        <v>595</v>
      </c>
      <c r="Q22" s="259" t="s">
        <v>320</v>
      </c>
      <c r="R22" s="158" t="s">
        <v>649</v>
      </c>
      <c r="S22" s="196" t="s">
        <v>321</v>
      </c>
      <c r="T22" s="98" t="str">
        <f t="shared" si="1"/>
        <v>7900 SolverMicro Mk7 2M</v>
      </c>
    </row>
    <row r="23" spans="2:20" ht="13.5" thickBot="1">
      <c r="B23" s="497">
        <v>6</v>
      </c>
      <c r="C23" s="481" t="s">
        <v>588</v>
      </c>
      <c r="D23" s="373" t="s">
        <v>316</v>
      </c>
      <c r="E23" s="482" t="s">
        <v>643</v>
      </c>
      <c r="G23" s="425" t="str">
        <f t="shared" si="0"/>
        <v>7900 SpectrumMidi PlusInk 1039 Yel Easypack 2X500Ml</v>
      </c>
      <c r="J23" s="99" t="s">
        <v>326</v>
      </c>
      <c r="N23" s="3">
        <v>6</v>
      </c>
      <c r="O23" s="158">
        <v>90</v>
      </c>
      <c r="P23" s="472" t="s">
        <v>595</v>
      </c>
      <c r="Q23" s="259" t="s">
        <v>320</v>
      </c>
      <c r="R23" s="158" t="s">
        <v>649</v>
      </c>
      <c r="S23" s="196" t="s">
        <v>322</v>
      </c>
      <c r="T23" s="98" t="str">
        <f t="shared" si="1"/>
        <v>7900 SolverMicro Mk7 2M R/A</v>
      </c>
    </row>
    <row r="24" spans="2:20">
      <c r="B24" s="498">
        <v>7</v>
      </c>
      <c r="C24" s="479" t="s">
        <v>589</v>
      </c>
      <c r="D24" s="480">
        <v>4900</v>
      </c>
      <c r="E24" s="475" t="s">
        <v>317</v>
      </c>
      <c r="G24" s="425" t="str">
        <f t="shared" si="0"/>
        <v>4900UltimaInk 1010 Black 10 X 500Ml</v>
      </c>
      <c r="J24" s="99" t="s">
        <v>327</v>
      </c>
      <c r="N24" s="3">
        <v>7</v>
      </c>
      <c r="O24" s="158">
        <v>90</v>
      </c>
      <c r="P24" s="472" t="s">
        <v>595</v>
      </c>
      <c r="Q24" s="259" t="s">
        <v>320</v>
      </c>
      <c r="R24" s="158" t="s">
        <v>649</v>
      </c>
      <c r="S24" s="196" t="s">
        <v>323</v>
      </c>
      <c r="T24" s="98" t="str">
        <f t="shared" si="1"/>
        <v>7900 SolverMicro Mk7 4M</v>
      </c>
    </row>
    <row r="25" spans="2:20" ht="13.5" thickBot="1">
      <c r="B25" s="158">
        <v>8</v>
      </c>
      <c r="C25" s="472" t="s">
        <v>589</v>
      </c>
      <c r="D25" s="196" t="s">
        <v>391</v>
      </c>
      <c r="E25" s="475" t="s">
        <v>317</v>
      </c>
      <c r="G25" s="425" t="str">
        <f t="shared" si="0"/>
        <v>4900 DCUltimaInk 1010 Black 10 X 500Ml</v>
      </c>
      <c r="J25" s="99" t="s">
        <v>328</v>
      </c>
      <c r="N25" s="3">
        <v>8</v>
      </c>
      <c r="O25" s="158">
        <v>90</v>
      </c>
      <c r="P25" s="472" t="s">
        <v>595</v>
      </c>
      <c r="Q25" s="259" t="s">
        <v>320</v>
      </c>
      <c r="R25" s="158" t="s">
        <v>649</v>
      </c>
      <c r="S25" s="373" t="s">
        <v>324</v>
      </c>
      <c r="T25" s="98" t="str">
        <f t="shared" si="1"/>
        <v>7900 SolverMicro Mk7 4M R/A</v>
      </c>
    </row>
    <row r="26" spans="2:20">
      <c r="B26" s="158">
        <v>9</v>
      </c>
      <c r="C26" s="472" t="s">
        <v>589</v>
      </c>
      <c r="D26" s="192">
        <v>7900</v>
      </c>
      <c r="E26" s="475" t="s">
        <v>317</v>
      </c>
      <c r="G26" s="425" t="str">
        <f t="shared" si="0"/>
        <v>7900UltimaInk 1010 Black 10 X 500Ml</v>
      </c>
      <c r="J26" s="99" t="s">
        <v>329</v>
      </c>
      <c r="N26" s="3">
        <v>9</v>
      </c>
      <c r="O26" s="158">
        <v>118</v>
      </c>
      <c r="P26" s="472" t="s">
        <v>597</v>
      </c>
      <c r="Q26" s="3">
        <v>7900</v>
      </c>
      <c r="R26" s="259" t="s">
        <v>649</v>
      </c>
      <c r="S26" s="196" t="s">
        <v>321</v>
      </c>
      <c r="T26" s="98" t="str">
        <f t="shared" si="1"/>
        <v>7900Micro Mk7 2M</v>
      </c>
    </row>
    <row r="27" spans="2:20" ht="13.5" thickBot="1">
      <c r="B27" s="158">
        <v>10</v>
      </c>
      <c r="C27" s="472" t="s">
        <v>589</v>
      </c>
      <c r="D27" s="192">
        <v>7900</v>
      </c>
      <c r="E27" s="475" t="s">
        <v>644</v>
      </c>
      <c r="G27" s="425" t="str">
        <f t="shared" si="0"/>
        <v>7900MidiInk 1010 Black 10 X 500Ml</v>
      </c>
      <c r="J27" s="362" t="s">
        <v>330</v>
      </c>
      <c r="N27" s="3">
        <v>10</v>
      </c>
      <c r="O27" s="158">
        <v>118</v>
      </c>
      <c r="P27" s="472" t="s">
        <v>597</v>
      </c>
      <c r="Q27" s="3">
        <v>7900</v>
      </c>
      <c r="R27" s="259" t="s">
        <v>649</v>
      </c>
      <c r="S27" s="196" t="s">
        <v>322</v>
      </c>
      <c r="T27" s="98" t="str">
        <f t="shared" si="1"/>
        <v>7900Micro Mk7 2M R/A</v>
      </c>
    </row>
    <row r="28" spans="2:20">
      <c r="B28" s="158">
        <v>11</v>
      </c>
      <c r="C28" s="472" t="s">
        <v>589</v>
      </c>
      <c r="D28" s="192">
        <v>4900</v>
      </c>
      <c r="E28" s="473" t="s">
        <v>379</v>
      </c>
      <c r="G28" s="425" t="str">
        <f t="shared" si="0"/>
        <v>4900Ultima PlusInk 1010 Black 10 X 500Ml</v>
      </c>
      <c r="J28" s="363" t="s">
        <v>331</v>
      </c>
      <c r="N28" s="3">
        <v>11</v>
      </c>
      <c r="O28" s="158">
        <v>118</v>
      </c>
      <c r="P28" s="472" t="s">
        <v>597</v>
      </c>
      <c r="Q28" s="3">
        <v>7900</v>
      </c>
      <c r="R28" s="259" t="s">
        <v>649</v>
      </c>
      <c r="S28" s="196" t="s">
        <v>323</v>
      </c>
      <c r="T28" s="98" t="str">
        <f t="shared" si="1"/>
        <v>7900Micro Mk7 4M</v>
      </c>
    </row>
    <row r="29" spans="2:20" ht="13.5" thickBot="1">
      <c r="B29" s="158">
        <v>12</v>
      </c>
      <c r="C29" s="472" t="s">
        <v>589</v>
      </c>
      <c r="D29" s="196" t="s">
        <v>391</v>
      </c>
      <c r="E29" s="473" t="s">
        <v>379</v>
      </c>
      <c r="G29" s="425" t="str">
        <f t="shared" si="0"/>
        <v>4900 DCUltima PlusInk 1010 Black 10 X 500Ml</v>
      </c>
      <c r="J29" s="99" t="s">
        <v>332</v>
      </c>
      <c r="N29" s="3">
        <v>12</v>
      </c>
      <c r="O29" s="158">
        <v>118</v>
      </c>
      <c r="P29" s="472" t="s">
        <v>597</v>
      </c>
      <c r="Q29" s="3">
        <v>7900</v>
      </c>
      <c r="R29" s="259" t="s">
        <v>649</v>
      </c>
      <c r="S29" s="373" t="s">
        <v>324</v>
      </c>
      <c r="T29" s="98" t="str">
        <f t="shared" si="1"/>
        <v>7900Micro Mk7 4M R/A</v>
      </c>
    </row>
    <row r="30" spans="2:20">
      <c r="B30" s="158">
        <v>13</v>
      </c>
      <c r="C30" s="472" t="s">
        <v>589</v>
      </c>
      <c r="D30" s="192">
        <v>7900</v>
      </c>
      <c r="E30" s="473" t="s">
        <v>379</v>
      </c>
      <c r="G30" s="425" t="str">
        <f t="shared" si="0"/>
        <v>7900Ultima PlusInk 1010 Black 10 X 500Ml</v>
      </c>
      <c r="J30" s="99" t="s">
        <v>333</v>
      </c>
      <c r="N30" s="3">
        <v>13</v>
      </c>
      <c r="O30" s="158">
        <v>10</v>
      </c>
      <c r="P30" s="472" t="s">
        <v>589</v>
      </c>
      <c r="Q30" s="3">
        <v>7900</v>
      </c>
      <c r="R30" s="259" t="s">
        <v>644</v>
      </c>
      <c r="S30" s="370" t="s">
        <v>325</v>
      </c>
      <c r="T30" s="98" t="str">
        <f t="shared" si="1"/>
        <v>7900Midi Mk7 2M</v>
      </c>
    </row>
    <row r="31" spans="2:20" ht="13.5" thickBot="1">
      <c r="B31" s="158">
        <v>14</v>
      </c>
      <c r="C31" s="472" t="s">
        <v>589</v>
      </c>
      <c r="D31" s="196" t="s">
        <v>316</v>
      </c>
      <c r="E31" s="473" t="s">
        <v>379</v>
      </c>
      <c r="G31" s="425" t="str">
        <f t="shared" si="0"/>
        <v>7900 SpectrumUltima PlusInk 1010 Black 10 X 500Ml</v>
      </c>
      <c r="J31" s="362" t="s">
        <v>334</v>
      </c>
      <c r="N31" s="3">
        <v>14</v>
      </c>
      <c r="O31" s="158">
        <v>10</v>
      </c>
      <c r="P31" s="472" t="s">
        <v>589</v>
      </c>
      <c r="Q31" s="3">
        <v>7900</v>
      </c>
      <c r="R31" s="259" t="s">
        <v>644</v>
      </c>
      <c r="S31" s="196" t="s">
        <v>326</v>
      </c>
      <c r="T31" s="98" t="str">
        <f t="shared" si="1"/>
        <v>7900Midi Mk7 2M R/A</v>
      </c>
    </row>
    <row r="32" spans="2:20">
      <c r="B32" s="158">
        <v>15</v>
      </c>
      <c r="C32" s="472" t="s">
        <v>589</v>
      </c>
      <c r="D32" s="192">
        <v>7900</v>
      </c>
      <c r="E32" s="477" t="s">
        <v>643</v>
      </c>
      <c r="G32" s="425" t="str">
        <f t="shared" si="0"/>
        <v>7900Midi PlusInk 1010 Black 10 X 500Ml</v>
      </c>
      <c r="J32" s="363" t="s">
        <v>335</v>
      </c>
      <c r="N32" s="3">
        <v>15</v>
      </c>
      <c r="O32" s="158">
        <v>10</v>
      </c>
      <c r="P32" s="472" t="s">
        <v>589</v>
      </c>
      <c r="Q32" s="3">
        <v>7900</v>
      </c>
      <c r="R32" s="259" t="s">
        <v>644</v>
      </c>
      <c r="S32" s="196" t="s">
        <v>327</v>
      </c>
      <c r="T32" s="98" t="str">
        <f t="shared" si="1"/>
        <v>7900Midi Mk7 4M</v>
      </c>
    </row>
    <row r="33" spans="2:20">
      <c r="B33" s="158">
        <v>16</v>
      </c>
      <c r="C33" s="472" t="s">
        <v>589</v>
      </c>
      <c r="D33" s="196" t="s">
        <v>316</v>
      </c>
      <c r="E33" s="477" t="s">
        <v>643</v>
      </c>
      <c r="G33" s="425" t="str">
        <f t="shared" si="0"/>
        <v>7900 SpectrumMidi PlusInk 1010 Black 10 X 500Ml</v>
      </c>
      <c r="J33" s="99" t="s">
        <v>336</v>
      </c>
      <c r="N33" s="3">
        <v>16</v>
      </c>
      <c r="O33" s="158">
        <v>10</v>
      </c>
      <c r="P33" s="472" t="s">
        <v>589</v>
      </c>
      <c r="Q33" s="3">
        <v>7900</v>
      </c>
      <c r="R33" s="259" t="s">
        <v>644</v>
      </c>
      <c r="S33" s="196" t="s">
        <v>328</v>
      </c>
      <c r="T33" s="98" t="str">
        <f t="shared" si="1"/>
        <v>7900Midi Mk7 4M R/A</v>
      </c>
    </row>
    <row r="34" spans="2:20">
      <c r="B34" s="158">
        <v>17</v>
      </c>
      <c r="C34" s="472" t="s">
        <v>589</v>
      </c>
      <c r="D34" s="478" t="s">
        <v>320</v>
      </c>
      <c r="E34" s="477" t="s">
        <v>644</v>
      </c>
      <c r="G34" s="425" t="str">
        <f t="shared" si="0"/>
        <v>7900 SolverMidiInk 1010 Black 10 X 500Ml</v>
      </c>
      <c r="J34" s="99" t="s">
        <v>337</v>
      </c>
      <c r="N34" s="3">
        <v>17</v>
      </c>
      <c r="O34" s="158">
        <v>10</v>
      </c>
      <c r="P34" s="472" t="s">
        <v>589</v>
      </c>
      <c r="Q34" s="3">
        <v>7900</v>
      </c>
      <c r="R34" s="259" t="s">
        <v>644</v>
      </c>
      <c r="S34" s="196" t="s">
        <v>329</v>
      </c>
      <c r="T34" s="98" t="str">
        <f t="shared" si="1"/>
        <v>7900Midi Mk7 Srra 2M</v>
      </c>
    </row>
    <row r="35" spans="2:20" ht="13.5" thickBot="1">
      <c r="B35" s="497">
        <v>18</v>
      </c>
      <c r="C35" s="481" t="s">
        <v>589</v>
      </c>
      <c r="D35" s="483" t="s">
        <v>320</v>
      </c>
      <c r="E35" s="484" t="s">
        <v>317</v>
      </c>
      <c r="G35" s="425" t="str">
        <f t="shared" si="0"/>
        <v>7900 SolverUltimaInk 1010 Black 10 X 500Ml</v>
      </c>
      <c r="J35" s="362" t="s">
        <v>338</v>
      </c>
      <c r="N35" s="3">
        <v>18</v>
      </c>
      <c r="O35" s="158">
        <v>10</v>
      </c>
      <c r="P35" s="472" t="s">
        <v>589</v>
      </c>
      <c r="Q35" s="3">
        <v>7900</v>
      </c>
      <c r="R35" s="259" t="s">
        <v>644</v>
      </c>
      <c r="S35" s="373" t="s">
        <v>330</v>
      </c>
      <c r="T35" s="98" t="str">
        <f t="shared" si="1"/>
        <v>7900Midi Mk7 Srra 4M</v>
      </c>
    </row>
    <row r="36" spans="2:20" ht="13.5" thickBot="1">
      <c r="B36" s="158">
        <v>19</v>
      </c>
      <c r="C36" s="472" t="s">
        <v>590</v>
      </c>
      <c r="D36" s="192">
        <v>4900</v>
      </c>
      <c r="E36" s="477" t="s">
        <v>317</v>
      </c>
      <c r="G36" s="425" t="str">
        <f t="shared" si="0"/>
        <v>4900UltimaInk 1014 Blk Easypack 2X500Ml</v>
      </c>
      <c r="J36" s="364" t="s">
        <v>339</v>
      </c>
      <c r="N36" s="3">
        <v>19</v>
      </c>
      <c r="O36" s="158">
        <v>17</v>
      </c>
      <c r="P36" s="472" t="s">
        <v>589</v>
      </c>
      <c r="Q36" s="3" t="s">
        <v>320</v>
      </c>
      <c r="R36" s="259" t="s">
        <v>644</v>
      </c>
      <c r="S36" s="370" t="s">
        <v>325</v>
      </c>
      <c r="T36" s="98" t="str">
        <f t="shared" si="1"/>
        <v>7900 SolverMidi Mk7 2M</v>
      </c>
    </row>
    <row r="37" spans="2:20">
      <c r="B37" s="158">
        <v>20</v>
      </c>
      <c r="C37" s="472" t="s">
        <v>590</v>
      </c>
      <c r="D37" s="196" t="s">
        <v>391</v>
      </c>
      <c r="E37" s="477" t="s">
        <v>317</v>
      </c>
      <c r="G37" s="425" t="str">
        <f t="shared" si="0"/>
        <v>4900 DCUltimaInk 1014 Blk Easypack 2X500Ml</v>
      </c>
      <c r="J37" s="363" t="s">
        <v>344</v>
      </c>
      <c r="N37" s="3">
        <v>20</v>
      </c>
      <c r="O37" s="158">
        <v>17</v>
      </c>
      <c r="P37" s="472" t="s">
        <v>589</v>
      </c>
      <c r="Q37" s="3" t="s">
        <v>320</v>
      </c>
      <c r="R37" s="259" t="s">
        <v>644</v>
      </c>
      <c r="S37" s="196" t="s">
        <v>326</v>
      </c>
      <c r="T37" s="98" t="str">
        <f t="shared" si="1"/>
        <v>7900 SolverMidi Mk7 2M R/A</v>
      </c>
    </row>
    <row r="38" spans="2:20">
      <c r="B38" s="158">
        <v>21</v>
      </c>
      <c r="C38" s="472" t="s">
        <v>590</v>
      </c>
      <c r="D38" s="192">
        <v>7900</v>
      </c>
      <c r="E38" s="477" t="s">
        <v>317</v>
      </c>
      <c r="G38" s="425" t="str">
        <f t="shared" si="0"/>
        <v>7900UltimaInk 1014 Blk Easypack 2X500Ml</v>
      </c>
      <c r="J38" s="99" t="s">
        <v>345</v>
      </c>
      <c r="N38" s="3">
        <v>21</v>
      </c>
      <c r="O38" s="158">
        <v>17</v>
      </c>
      <c r="P38" s="472" t="s">
        <v>589</v>
      </c>
      <c r="Q38" s="3" t="s">
        <v>320</v>
      </c>
      <c r="R38" s="259" t="s">
        <v>644</v>
      </c>
      <c r="S38" s="196" t="s">
        <v>327</v>
      </c>
      <c r="T38" s="98" t="str">
        <f t="shared" si="1"/>
        <v>7900 SolverMidi Mk7 4M</v>
      </c>
    </row>
    <row r="39" spans="2:20">
      <c r="B39" s="158">
        <v>22</v>
      </c>
      <c r="C39" s="472" t="s">
        <v>590</v>
      </c>
      <c r="D39" s="192">
        <v>7900</v>
      </c>
      <c r="E39" s="192" t="s">
        <v>644</v>
      </c>
      <c r="G39" s="425" t="str">
        <f t="shared" si="0"/>
        <v>7900MidiInk 1014 Blk Easypack 2X500Ml</v>
      </c>
      <c r="J39" s="99" t="s">
        <v>346</v>
      </c>
      <c r="N39" s="3">
        <v>22</v>
      </c>
      <c r="O39" s="158">
        <v>17</v>
      </c>
      <c r="P39" s="472" t="s">
        <v>589</v>
      </c>
      <c r="Q39" s="3" t="s">
        <v>320</v>
      </c>
      <c r="R39" s="259" t="s">
        <v>644</v>
      </c>
      <c r="S39" s="196" t="s">
        <v>328</v>
      </c>
      <c r="T39" s="98" t="str">
        <f t="shared" si="1"/>
        <v>7900 SolverMidi Mk7 4M R/A</v>
      </c>
    </row>
    <row r="40" spans="2:20" ht="13.5" thickBot="1">
      <c r="B40" s="158">
        <v>23</v>
      </c>
      <c r="C40" s="472" t="s">
        <v>590</v>
      </c>
      <c r="D40" s="192">
        <v>4900</v>
      </c>
      <c r="E40" s="477" t="s">
        <v>379</v>
      </c>
      <c r="G40" s="425" t="str">
        <f t="shared" si="0"/>
        <v>4900Ultima PlusInk 1014 Blk Easypack 2X500Ml</v>
      </c>
      <c r="J40" s="362" t="s">
        <v>347</v>
      </c>
      <c r="N40" s="3">
        <v>23</v>
      </c>
      <c r="O40" s="158">
        <v>17</v>
      </c>
      <c r="P40" s="472" t="s">
        <v>589</v>
      </c>
      <c r="Q40" s="3" t="s">
        <v>320</v>
      </c>
      <c r="R40" s="259" t="s">
        <v>644</v>
      </c>
      <c r="S40" s="196" t="s">
        <v>329</v>
      </c>
      <c r="T40" s="98" t="str">
        <f t="shared" si="1"/>
        <v>7900 SolverMidi Mk7 Srra 2M</v>
      </c>
    </row>
    <row r="41" spans="2:20" ht="13.5" thickBot="1">
      <c r="B41" s="158">
        <v>24</v>
      </c>
      <c r="C41" s="472" t="s">
        <v>590</v>
      </c>
      <c r="D41" s="196" t="s">
        <v>391</v>
      </c>
      <c r="E41" s="477" t="s">
        <v>379</v>
      </c>
      <c r="G41" s="425" t="str">
        <f t="shared" si="0"/>
        <v>4900 DCUltima PlusInk 1014 Blk Easypack 2X500Ml</v>
      </c>
      <c r="J41" s="363" t="s">
        <v>348</v>
      </c>
      <c r="N41" s="3">
        <v>24</v>
      </c>
      <c r="O41" s="158">
        <v>17</v>
      </c>
      <c r="P41" s="472" t="s">
        <v>589</v>
      </c>
      <c r="Q41" s="3" t="s">
        <v>320</v>
      </c>
      <c r="R41" s="259" t="s">
        <v>644</v>
      </c>
      <c r="S41" s="373" t="s">
        <v>330</v>
      </c>
      <c r="T41" s="98" t="str">
        <f t="shared" si="1"/>
        <v>7900 SolverMidi Mk7 Srra 4M</v>
      </c>
    </row>
    <row r="42" spans="2:20">
      <c r="B42" s="158">
        <v>25</v>
      </c>
      <c r="C42" s="472" t="s">
        <v>590</v>
      </c>
      <c r="D42" s="192">
        <v>7900</v>
      </c>
      <c r="E42" s="477" t="s">
        <v>379</v>
      </c>
      <c r="G42" s="425" t="str">
        <f t="shared" si="0"/>
        <v>7900Ultima PlusInk 1014 Blk Easypack 2X500Ml</v>
      </c>
      <c r="J42" s="99" t="s">
        <v>349</v>
      </c>
      <c r="N42" s="3">
        <v>25</v>
      </c>
      <c r="O42" s="158">
        <v>22</v>
      </c>
      <c r="P42" s="472" t="s">
        <v>590</v>
      </c>
      <c r="Q42" s="3">
        <v>7900</v>
      </c>
      <c r="R42" s="259" t="s">
        <v>644</v>
      </c>
      <c r="S42" s="370" t="s">
        <v>325</v>
      </c>
      <c r="T42" s="98" t="str">
        <f t="shared" si="1"/>
        <v>7900Midi Mk7 2M</v>
      </c>
    </row>
    <row r="43" spans="2:20">
      <c r="B43" s="158">
        <v>26</v>
      </c>
      <c r="C43" s="472" t="s">
        <v>590</v>
      </c>
      <c r="D43" s="196" t="s">
        <v>316</v>
      </c>
      <c r="E43" s="477" t="s">
        <v>379</v>
      </c>
      <c r="G43" s="425" t="str">
        <f t="shared" si="0"/>
        <v>7900 SpectrumUltima PlusInk 1014 Blk Easypack 2X500Ml</v>
      </c>
      <c r="J43" s="99" t="s">
        <v>350</v>
      </c>
      <c r="N43" s="3">
        <v>26</v>
      </c>
      <c r="O43" s="158">
        <v>22</v>
      </c>
      <c r="P43" s="472" t="s">
        <v>590</v>
      </c>
      <c r="Q43" s="3">
        <v>7900</v>
      </c>
      <c r="R43" s="259" t="s">
        <v>644</v>
      </c>
      <c r="S43" s="196" t="s">
        <v>326</v>
      </c>
      <c r="T43" s="98" t="str">
        <f t="shared" si="1"/>
        <v>7900Midi Mk7 2M R/A</v>
      </c>
    </row>
    <row r="44" spans="2:20" ht="13.5" thickBot="1">
      <c r="B44" s="158">
        <v>27</v>
      </c>
      <c r="C44" s="472" t="s">
        <v>590</v>
      </c>
      <c r="D44" s="192">
        <v>7900</v>
      </c>
      <c r="E44" s="477" t="s">
        <v>643</v>
      </c>
      <c r="G44" s="425" t="str">
        <f t="shared" si="0"/>
        <v>7900Midi PlusInk 1014 Blk Easypack 2X500Ml</v>
      </c>
      <c r="J44" s="362" t="s">
        <v>351</v>
      </c>
      <c r="N44" s="3">
        <v>27</v>
      </c>
      <c r="O44" s="158">
        <v>22</v>
      </c>
      <c r="P44" s="472" t="s">
        <v>590</v>
      </c>
      <c r="Q44" s="3">
        <v>7900</v>
      </c>
      <c r="R44" s="259" t="s">
        <v>644</v>
      </c>
      <c r="S44" s="196" t="s">
        <v>327</v>
      </c>
      <c r="T44" s="98" t="str">
        <f t="shared" si="1"/>
        <v>7900Midi Mk7 4M</v>
      </c>
    </row>
    <row r="45" spans="2:20">
      <c r="B45" s="158">
        <v>28</v>
      </c>
      <c r="C45" s="472" t="s">
        <v>590</v>
      </c>
      <c r="D45" s="196" t="s">
        <v>316</v>
      </c>
      <c r="E45" s="477" t="s">
        <v>643</v>
      </c>
      <c r="G45" s="425" t="str">
        <f t="shared" si="0"/>
        <v>7900 SpectrumMidi PlusInk 1014 Blk Easypack 2X500Ml</v>
      </c>
      <c r="J45" s="363" t="s">
        <v>352</v>
      </c>
      <c r="N45" s="3">
        <v>28</v>
      </c>
      <c r="O45" s="158">
        <v>22</v>
      </c>
      <c r="P45" s="472" t="s">
        <v>590</v>
      </c>
      <c r="Q45" s="3">
        <v>7900</v>
      </c>
      <c r="R45" s="259" t="s">
        <v>644</v>
      </c>
      <c r="S45" s="196" t="s">
        <v>328</v>
      </c>
      <c r="T45" s="98" t="str">
        <f t="shared" si="1"/>
        <v>7900Midi Mk7 4M R/A</v>
      </c>
    </row>
    <row r="46" spans="2:20">
      <c r="B46" s="158">
        <v>29</v>
      </c>
      <c r="C46" s="472" t="s">
        <v>590</v>
      </c>
      <c r="D46" s="478" t="s">
        <v>320</v>
      </c>
      <c r="E46" s="477" t="s">
        <v>644</v>
      </c>
      <c r="G46" s="425" t="str">
        <f t="shared" si="0"/>
        <v>7900 SolverMidiInk 1014 Blk Easypack 2X500Ml</v>
      </c>
      <c r="J46" s="99" t="s">
        <v>353</v>
      </c>
      <c r="N46" s="3">
        <v>29</v>
      </c>
      <c r="O46" s="158">
        <v>22</v>
      </c>
      <c r="P46" s="472" t="s">
        <v>590</v>
      </c>
      <c r="Q46" s="3">
        <v>7900</v>
      </c>
      <c r="R46" s="259" t="s">
        <v>644</v>
      </c>
      <c r="S46" s="196" t="s">
        <v>329</v>
      </c>
      <c r="T46" s="98" t="str">
        <f t="shared" si="1"/>
        <v>7900Midi Mk7 Srra 2M</v>
      </c>
    </row>
    <row r="47" spans="2:20" ht="13.5" thickBot="1">
      <c r="B47" s="497">
        <v>30</v>
      </c>
      <c r="C47" s="481" t="s">
        <v>590</v>
      </c>
      <c r="D47" s="483" t="s">
        <v>320</v>
      </c>
      <c r="E47" s="484" t="s">
        <v>317</v>
      </c>
      <c r="G47" s="425" t="str">
        <f>D47&amp;E47&amp;C47</f>
        <v>7900 SolverUltimaInk 1014 Blk Easypack 2X500Ml</v>
      </c>
      <c r="J47" s="99" t="s">
        <v>354</v>
      </c>
      <c r="N47" s="3">
        <v>30</v>
      </c>
      <c r="O47" s="158">
        <v>22</v>
      </c>
      <c r="P47" s="472" t="s">
        <v>590</v>
      </c>
      <c r="Q47" s="3">
        <v>7900</v>
      </c>
      <c r="R47" s="259" t="s">
        <v>644</v>
      </c>
      <c r="S47" s="373" t="s">
        <v>330</v>
      </c>
      <c r="T47" s="98" t="str">
        <f t="shared" si="1"/>
        <v>7900Midi Mk7 Srra 4M</v>
      </c>
    </row>
    <row r="48" spans="2:20" ht="13.5" thickBot="1">
      <c r="B48" s="158">
        <v>31</v>
      </c>
      <c r="C48" s="472" t="s">
        <v>591</v>
      </c>
      <c r="D48" s="192">
        <v>4900</v>
      </c>
      <c r="E48" s="477" t="s">
        <v>317</v>
      </c>
      <c r="G48" s="425" t="str">
        <f t="shared" ref="G48:G111" si="2">D48&amp;E48&amp;C48</f>
        <v>4900UltimaInk 1016 Blk 10 X 500Ml</v>
      </c>
      <c r="J48" s="362" t="s">
        <v>355</v>
      </c>
      <c r="N48" s="3">
        <v>31</v>
      </c>
      <c r="O48" s="158">
        <v>29</v>
      </c>
      <c r="P48" s="472" t="s">
        <v>590</v>
      </c>
      <c r="Q48" s="3" t="s">
        <v>320</v>
      </c>
      <c r="R48" s="259" t="s">
        <v>644</v>
      </c>
      <c r="S48" s="370" t="s">
        <v>325</v>
      </c>
      <c r="T48" s="98" t="str">
        <f t="shared" si="1"/>
        <v>7900 SolverMidi Mk7 2M</v>
      </c>
    </row>
    <row r="49" spans="2:20">
      <c r="B49" s="158">
        <v>32</v>
      </c>
      <c r="C49" s="472" t="s">
        <v>591</v>
      </c>
      <c r="D49" s="196" t="s">
        <v>391</v>
      </c>
      <c r="E49" s="477" t="s">
        <v>317</v>
      </c>
      <c r="G49" s="425" t="str">
        <f t="shared" si="2"/>
        <v>4900 DCUltimaInk 1016 Blk 10 X 500Ml</v>
      </c>
      <c r="J49" s="363" t="s">
        <v>340</v>
      </c>
      <c r="N49" s="3">
        <v>32</v>
      </c>
      <c r="O49" s="158">
        <v>29</v>
      </c>
      <c r="P49" s="472" t="s">
        <v>590</v>
      </c>
      <c r="Q49" s="3" t="s">
        <v>320</v>
      </c>
      <c r="R49" s="259" t="s">
        <v>644</v>
      </c>
      <c r="S49" s="196" t="s">
        <v>326</v>
      </c>
      <c r="T49" s="98" t="str">
        <f t="shared" si="1"/>
        <v>7900 SolverMidi Mk7 2M R/A</v>
      </c>
    </row>
    <row r="50" spans="2:20">
      <c r="B50" s="158">
        <v>33</v>
      </c>
      <c r="C50" s="472" t="s">
        <v>591</v>
      </c>
      <c r="D50" s="192">
        <v>7900</v>
      </c>
      <c r="E50" s="477" t="s">
        <v>317</v>
      </c>
      <c r="G50" s="425" t="str">
        <f t="shared" si="2"/>
        <v>7900UltimaInk 1016 Blk 10 X 500Ml</v>
      </c>
      <c r="J50" s="99" t="s">
        <v>341</v>
      </c>
      <c r="N50" s="3">
        <v>33</v>
      </c>
      <c r="O50" s="158">
        <v>29</v>
      </c>
      <c r="P50" s="472" t="s">
        <v>590</v>
      </c>
      <c r="Q50" s="3" t="s">
        <v>320</v>
      </c>
      <c r="R50" s="259" t="s">
        <v>644</v>
      </c>
      <c r="S50" s="196" t="s">
        <v>327</v>
      </c>
      <c r="T50" s="98" t="str">
        <f t="shared" si="1"/>
        <v>7900 SolverMidi Mk7 4M</v>
      </c>
    </row>
    <row r="51" spans="2:20">
      <c r="B51" s="158">
        <v>34</v>
      </c>
      <c r="C51" s="472" t="s">
        <v>591</v>
      </c>
      <c r="D51" s="192">
        <v>7900</v>
      </c>
      <c r="E51" s="192" t="s">
        <v>644</v>
      </c>
      <c r="G51" s="425" t="str">
        <f t="shared" si="2"/>
        <v>7900MidiInk 1016 Blk 10 X 500Ml</v>
      </c>
      <c r="J51" s="99" t="s">
        <v>342</v>
      </c>
      <c r="N51" s="3">
        <v>34</v>
      </c>
      <c r="O51" s="158">
        <v>29</v>
      </c>
      <c r="P51" s="472" t="s">
        <v>590</v>
      </c>
      <c r="Q51" s="3" t="s">
        <v>320</v>
      </c>
      <c r="R51" s="259" t="s">
        <v>644</v>
      </c>
      <c r="S51" s="196" t="s">
        <v>328</v>
      </c>
      <c r="T51" s="98" t="str">
        <f t="shared" si="1"/>
        <v>7900 SolverMidi Mk7 4M R/A</v>
      </c>
    </row>
    <row r="52" spans="2:20" ht="13.5" thickBot="1">
      <c r="B52" s="158">
        <v>35</v>
      </c>
      <c r="C52" s="472" t="s">
        <v>591</v>
      </c>
      <c r="D52" s="192">
        <v>4900</v>
      </c>
      <c r="E52" s="477" t="s">
        <v>379</v>
      </c>
      <c r="G52" s="425" t="str">
        <f t="shared" si="2"/>
        <v>4900Ultima PlusInk 1016 Blk 10 X 500Ml</v>
      </c>
      <c r="J52" s="362" t="s">
        <v>343</v>
      </c>
      <c r="N52" s="3">
        <v>35</v>
      </c>
      <c r="O52" s="158">
        <v>29</v>
      </c>
      <c r="P52" s="472" t="s">
        <v>590</v>
      </c>
      <c r="Q52" s="3" t="s">
        <v>320</v>
      </c>
      <c r="R52" s="259" t="s">
        <v>644</v>
      </c>
      <c r="S52" s="196" t="s">
        <v>329</v>
      </c>
      <c r="T52" s="98" t="str">
        <f t="shared" si="1"/>
        <v>7900 SolverMidi Mk7 Srra 2M</v>
      </c>
    </row>
    <row r="53" spans="2:20" ht="13.5" thickBot="1">
      <c r="B53" s="158">
        <v>36</v>
      </c>
      <c r="C53" s="472" t="s">
        <v>591</v>
      </c>
      <c r="D53" s="196" t="s">
        <v>391</v>
      </c>
      <c r="E53" s="477" t="s">
        <v>379</v>
      </c>
      <c r="G53" s="425" t="str">
        <f t="shared" si="2"/>
        <v>4900 DCUltima PlusInk 1016 Blk 10 X 500Ml</v>
      </c>
      <c r="N53" s="3">
        <v>36</v>
      </c>
      <c r="O53" s="158">
        <v>29</v>
      </c>
      <c r="P53" s="472" t="s">
        <v>590</v>
      </c>
      <c r="Q53" s="3" t="s">
        <v>320</v>
      </c>
      <c r="R53" s="259" t="s">
        <v>644</v>
      </c>
      <c r="S53" s="373" t="s">
        <v>330</v>
      </c>
      <c r="T53" s="98" t="str">
        <f t="shared" si="1"/>
        <v>7900 SolverMidi Mk7 Srra 4M</v>
      </c>
    </row>
    <row r="54" spans="2:20">
      <c r="B54" s="158">
        <v>37</v>
      </c>
      <c r="C54" s="472" t="s">
        <v>591</v>
      </c>
      <c r="D54" s="192">
        <v>7900</v>
      </c>
      <c r="E54" s="477" t="s">
        <v>379</v>
      </c>
      <c r="G54" s="425" t="str">
        <f t="shared" si="2"/>
        <v>7900Ultima PlusInk 1016 Blk 10 X 500Ml</v>
      </c>
      <c r="N54" s="3">
        <v>37</v>
      </c>
      <c r="O54" s="158">
        <v>34</v>
      </c>
      <c r="P54" s="472" t="s">
        <v>591</v>
      </c>
      <c r="Q54" s="3">
        <v>7900</v>
      </c>
      <c r="R54" s="259" t="s">
        <v>644</v>
      </c>
      <c r="S54" s="370" t="s">
        <v>325</v>
      </c>
      <c r="T54" s="98" t="str">
        <f t="shared" si="1"/>
        <v>7900Midi Mk7 2M</v>
      </c>
    </row>
    <row r="55" spans="2:20">
      <c r="B55" s="158">
        <v>38</v>
      </c>
      <c r="C55" s="472" t="s">
        <v>591</v>
      </c>
      <c r="D55" s="196" t="s">
        <v>316</v>
      </c>
      <c r="E55" s="477" t="s">
        <v>379</v>
      </c>
      <c r="G55" s="425" t="str">
        <f t="shared" si="2"/>
        <v>7900 SpectrumUltima PlusInk 1016 Blk 10 X 500Ml</v>
      </c>
      <c r="N55" s="3">
        <v>38</v>
      </c>
      <c r="O55" s="158">
        <v>34</v>
      </c>
      <c r="P55" s="472" t="s">
        <v>591</v>
      </c>
      <c r="Q55" s="3">
        <v>7900</v>
      </c>
      <c r="R55" s="259" t="s">
        <v>644</v>
      </c>
      <c r="S55" s="196" t="s">
        <v>326</v>
      </c>
      <c r="T55" s="98" t="str">
        <f t="shared" si="1"/>
        <v>7900Midi Mk7 2M R/A</v>
      </c>
    </row>
    <row r="56" spans="2:20">
      <c r="B56" s="158">
        <v>39</v>
      </c>
      <c r="C56" s="472" t="s">
        <v>591</v>
      </c>
      <c r="D56" s="192">
        <v>7900</v>
      </c>
      <c r="E56" s="477" t="s">
        <v>643</v>
      </c>
      <c r="G56" s="425" t="str">
        <f t="shared" si="2"/>
        <v>7900Midi PlusInk 1016 Blk 10 X 500Ml</v>
      </c>
      <c r="N56" s="3">
        <v>39</v>
      </c>
      <c r="O56" s="158">
        <v>34</v>
      </c>
      <c r="P56" s="472" t="s">
        <v>591</v>
      </c>
      <c r="Q56" s="3">
        <v>7900</v>
      </c>
      <c r="R56" s="259" t="s">
        <v>644</v>
      </c>
      <c r="S56" s="196" t="s">
        <v>327</v>
      </c>
      <c r="T56" s="98" t="str">
        <f t="shared" si="1"/>
        <v>7900Midi Mk7 4M</v>
      </c>
    </row>
    <row r="57" spans="2:20">
      <c r="B57" s="158">
        <v>40</v>
      </c>
      <c r="C57" s="472" t="s">
        <v>591</v>
      </c>
      <c r="D57" s="196" t="s">
        <v>316</v>
      </c>
      <c r="E57" s="477" t="s">
        <v>643</v>
      </c>
      <c r="G57" s="425" t="str">
        <f t="shared" si="2"/>
        <v>7900 SpectrumMidi PlusInk 1016 Blk 10 X 500Ml</v>
      </c>
      <c r="N57" s="3">
        <v>40</v>
      </c>
      <c r="O57" s="158">
        <v>34</v>
      </c>
      <c r="P57" s="472" t="s">
        <v>591</v>
      </c>
      <c r="Q57" s="3">
        <v>7900</v>
      </c>
      <c r="R57" s="259" t="s">
        <v>644</v>
      </c>
      <c r="S57" s="196" t="s">
        <v>328</v>
      </c>
      <c r="T57" s="98" t="str">
        <f t="shared" si="1"/>
        <v>7900Midi Mk7 4M R/A</v>
      </c>
    </row>
    <row r="58" spans="2:20">
      <c r="B58" s="158">
        <v>41</v>
      </c>
      <c r="C58" s="472" t="s">
        <v>591</v>
      </c>
      <c r="D58" s="478" t="s">
        <v>320</v>
      </c>
      <c r="E58" s="477" t="s">
        <v>644</v>
      </c>
      <c r="G58" s="425" t="str">
        <f t="shared" si="2"/>
        <v>7900 SolverMidiInk 1016 Blk 10 X 500Ml</v>
      </c>
      <c r="N58" s="3">
        <v>41</v>
      </c>
      <c r="O58" s="158">
        <v>34</v>
      </c>
      <c r="P58" s="472" t="s">
        <v>591</v>
      </c>
      <c r="Q58" s="3">
        <v>7900</v>
      </c>
      <c r="R58" s="259" t="s">
        <v>644</v>
      </c>
      <c r="S58" s="196" t="s">
        <v>329</v>
      </c>
      <c r="T58" s="98" t="str">
        <f t="shared" si="1"/>
        <v>7900Midi Mk7 Srra 2M</v>
      </c>
    </row>
    <row r="59" spans="2:20" ht="13.5" thickBot="1">
      <c r="B59" s="497">
        <v>42</v>
      </c>
      <c r="C59" s="481" t="s">
        <v>591</v>
      </c>
      <c r="D59" s="483" t="s">
        <v>320</v>
      </c>
      <c r="E59" s="484" t="s">
        <v>317</v>
      </c>
      <c r="G59" s="425" t="str">
        <f t="shared" si="2"/>
        <v>7900 SolverUltimaInk 1016 Blk 10 X 500Ml</v>
      </c>
      <c r="N59" s="3">
        <v>42</v>
      </c>
      <c r="O59" s="158">
        <v>34</v>
      </c>
      <c r="P59" s="472" t="s">
        <v>591</v>
      </c>
      <c r="Q59" s="3">
        <v>7900</v>
      </c>
      <c r="R59" s="259" t="s">
        <v>644</v>
      </c>
      <c r="S59" s="373" t="s">
        <v>330</v>
      </c>
      <c r="T59" s="98" t="str">
        <f t="shared" si="1"/>
        <v>7900Midi Mk7 Srra 4M</v>
      </c>
    </row>
    <row r="60" spans="2:20">
      <c r="B60" s="158">
        <v>43</v>
      </c>
      <c r="C60" s="472" t="s">
        <v>592</v>
      </c>
      <c r="D60" s="192">
        <v>4900</v>
      </c>
      <c r="E60" s="477" t="s">
        <v>379</v>
      </c>
      <c r="G60" s="425" t="str">
        <f t="shared" si="2"/>
        <v>4900Ultima PlusInk 1056 Blk 10 X 500Ml</v>
      </c>
      <c r="N60" s="3">
        <v>43</v>
      </c>
      <c r="O60" s="158">
        <v>41</v>
      </c>
      <c r="P60" s="472" t="s">
        <v>591</v>
      </c>
      <c r="Q60" s="3" t="s">
        <v>320</v>
      </c>
      <c r="R60" s="259" t="s">
        <v>644</v>
      </c>
      <c r="S60" s="370" t="s">
        <v>325</v>
      </c>
      <c r="T60" s="98" t="str">
        <f t="shared" si="1"/>
        <v>7900 SolverMidi Mk7 2M</v>
      </c>
    </row>
    <row r="61" spans="2:20">
      <c r="B61" s="158">
        <v>44</v>
      </c>
      <c r="C61" s="472" t="s">
        <v>592</v>
      </c>
      <c r="D61" s="196" t="s">
        <v>391</v>
      </c>
      <c r="E61" s="477" t="s">
        <v>379</v>
      </c>
      <c r="G61" s="425" t="str">
        <f t="shared" si="2"/>
        <v>4900 DCUltima PlusInk 1056 Blk 10 X 500Ml</v>
      </c>
      <c r="N61" s="3">
        <v>44</v>
      </c>
      <c r="O61" s="158">
        <v>41</v>
      </c>
      <c r="P61" s="472" t="s">
        <v>591</v>
      </c>
      <c r="Q61" s="3" t="s">
        <v>320</v>
      </c>
      <c r="R61" s="259" t="s">
        <v>644</v>
      </c>
      <c r="S61" s="196" t="s">
        <v>326</v>
      </c>
      <c r="T61" s="98" t="str">
        <f t="shared" si="1"/>
        <v>7900 SolverMidi Mk7 2M R/A</v>
      </c>
    </row>
    <row r="62" spans="2:20">
      <c r="B62" s="158">
        <v>45</v>
      </c>
      <c r="C62" s="472" t="s">
        <v>592</v>
      </c>
      <c r="D62" s="192">
        <v>7900</v>
      </c>
      <c r="E62" s="477" t="s">
        <v>379</v>
      </c>
      <c r="G62" s="425" t="str">
        <f t="shared" si="2"/>
        <v>7900Ultima PlusInk 1056 Blk 10 X 500Ml</v>
      </c>
      <c r="N62" s="3">
        <v>45</v>
      </c>
      <c r="O62" s="158">
        <v>41</v>
      </c>
      <c r="P62" s="472" t="s">
        <v>591</v>
      </c>
      <c r="Q62" s="3" t="s">
        <v>320</v>
      </c>
      <c r="R62" s="259" t="s">
        <v>644</v>
      </c>
      <c r="S62" s="196" t="s">
        <v>327</v>
      </c>
      <c r="T62" s="98" t="str">
        <f t="shared" si="1"/>
        <v>7900 SolverMidi Mk7 4M</v>
      </c>
    </row>
    <row r="63" spans="2:20">
      <c r="B63" s="158">
        <v>46</v>
      </c>
      <c r="C63" s="472" t="s">
        <v>592</v>
      </c>
      <c r="D63" s="196" t="s">
        <v>316</v>
      </c>
      <c r="E63" s="477" t="s">
        <v>379</v>
      </c>
      <c r="G63" s="425" t="str">
        <f t="shared" si="2"/>
        <v>7900 SpectrumUltima PlusInk 1056 Blk 10 X 500Ml</v>
      </c>
      <c r="N63" s="3">
        <v>46</v>
      </c>
      <c r="O63" s="158">
        <v>41</v>
      </c>
      <c r="P63" s="472" t="s">
        <v>591</v>
      </c>
      <c r="Q63" s="3" t="s">
        <v>320</v>
      </c>
      <c r="R63" s="259" t="s">
        <v>644</v>
      </c>
      <c r="S63" s="196" t="s">
        <v>328</v>
      </c>
      <c r="T63" s="98" t="str">
        <f t="shared" si="1"/>
        <v>7900 SolverMidi Mk7 4M R/A</v>
      </c>
    </row>
    <row r="64" spans="2:20">
      <c r="B64" s="158">
        <v>47</v>
      </c>
      <c r="C64" s="472" t="s">
        <v>592</v>
      </c>
      <c r="D64" s="192">
        <v>7900</v>
      </c>
      <c r="E64" s="477" t="s">
        <v>643</v>
      </c>
      <c r="G64" s="425" t="str">
        <f t="shared" si="2"/>
        <v>7900Midi PlusInk 1056 Blk 10 X 500Ml</v>
      </c>
      <c r="N64" s="3">
        <v>47</v>
      </c>
      <c r="O64" s="158">
        <v>41</v>
      </c>
      <c r="P64" s="472" t="s">
        <v>591</v>
      </c>
      <c r="Q64" s="3" t="s">
        <v>320</v>
      </c>
      <c r="R64" s="259" t="s">
        <v>644</v>
      </c>
      <c r="S64" s="196" t="s">
        <v>329</v>
      </c>
      <c r="T64" s="98" t="str">
        <f t="shared" si="1"/>
        <v>7900 SolverMidi Mk7 Srra 2M</v>
      </c>
    </row>
    <row r="65" spans="2:20" ht="13.5" thickBot="1">
      <c r="B65" s="158">
        <v>48</v>
      </c>
      <c r="C65" s="472" t="s">
        <v>592</v>
      </c>
      <c r="D65" s="196" t="s">
        <v>316</v>
      </c>
      <c r="E65" s="477" t="s">
        <v>643</v>
      </c>
      <c r="G65" s="425" t="str">
        <f t="shared" si="2"/>
        <v>7900 SpectrumMidi PlusInk 1056 Blk 10 X 500Ml</v>
      </c>
      <c r="N65" s="3">
        <v>48</v>
      </c>
      <c r="O65" s="158">
        <v>41</v>
      </c>
      <c r="P65" s="472" t="s">
        <v>591</v>
      </c>
      <c r="Q65" s="3" t="s">
        <v>320</v>
      </c>
      <c r="R65" s="259" t="s">
        <v>644</v>
      </c>
      <c r="S65" s="373" t="s">
        <v>330</v>
      </c>
      <c r="T65" s="98" t="str">
        <f t="shared" si="1"/>
        <v>7900 SolverMidi Mk7 Srra 4M</v>
      </c>
    </row>
    <row r="66" spans="2:20">
      <c r="B66" s="158">
        <v>49</v>
      </c>
      <c r="C66" s="472" t="s">
        <v>592</v>
      </c>
      <c r="D66" s="478" t="s">
        <v>320</v>
      </c>
      <c r="E66" s="477" t="s">
        <v>644</v>
      </c>
      <c r="G66" s="425" t="str">
        <f t="shared" si="2"/>
        <v>7900 SolverMidiInk 1056 Blk 10 X 500Ml</v>
      </c>
      <c r="N66" s="3">
        <v>49</v>
      </c>
      <c r="O66" s="158">
        <v>49</v>
      </c>
      <c r="P66" s="472" t="s">
        <v>592</v>
      </c>
      <c r="Q66" s="3" t="s">
        <v>320</v>
      </c>
      <c r="R66" s="259" t="s">
        <v>644</v>
      </c>
      <c r="S66" s="370" t="s">
        <v>325</v>
      </c>
      <c r="T66" s="98" t="str">
        <f t="shared" si="1"/>
        <v>7900 SolverMidi Mk7 2M</v>
      </c>
    </row>
    <row r="67" spans="2:20">
      <c r="B67" s="158">
        <v>50</v>
      </c>
      <c r="C67" s="472" t="s">
        <v>592</v>
      </c>
      <c r="D67" s="478" t="s">
        <v>320</v>
      </c>
      <c r="E67" s="477" t="s">
        <v>317</v>
      </c>
      <c r="G67" s="425" t="str">
        <f t="shared" si="2"/>
        <v>7900 SolverUltimaInk 1056 Blk 10 X 500Ml</v>
      </c>
      <c r="N67" s="3">
        <v>50</v>
      </c>
      <c r="O67" s="158">
        <v>49</v>
      </c>
      <c r="P67" s="472" t="s">
        <v>592</v>
      </c>
      <c r="Q67" s="3" t="s">
        <v>320</v>
      </c>
      <c r="R67" s="259" t="s">
        <v>644</v>
      </c>
      <c r="S67" s="196" t="s">
        <v>326</v>
      </c>
      <c r="T67" s="98" t="str">
        <f t="shared" si="1"/>
        <v>7900 SolverMidi Mk7 2M R/A</v>
      </c>
    </row>
    <row r="68" spans="2:20">
      <c r="B68" s="158">
        <v>51</v>
      </c>
      <c r="C68" s="472" t="s">
        <v>592</v>
      </c>
      <c r="D68" s="476" t="s">
        <v>391</v>
      </c>
      <c r="E68" s="475" t="s">
        <v>383</v>
      </c>
      <c r="G68" s="425" t="str">
        <f t="shared" si="2"/>
        <v>4900 DCMiniInk 1056 Blk 10 X 500Ml</v>
      </c>
      <c r="N68" s="3">
        <v>51</v>
      </c>
      <c r="O68" s="158">
        <v>49</v>
      </c>
      <c r="P68" s="472" t="s">
        <v>592</v>
      </c>
      <c r="Q68" s="3" t="s">
        <v>320</v>
      </c>
      <c r="R68" s="259" t="s">
        <v>644</v>
      </c>
      <c r="S68" s="196" t="s">
        <v>327</v>
      </c>
      <c r="T68" s="98" t="str">
        <f t="shared" si="1"/>
        <v>7900 SolverMidi Mk7 4M</v>
      </c>
    </row>
    <row r="69" spans="2:20">
      <c r="B69" s="158">
        <v>52</v>
      </c>
      <c r="C69" s="472" t="s">
        <v>592</v>
      </c>
      <c r="D69" s="478" t="s">
        <v>319</v>
      </c>
      <c r="E69" s="477" t="s">
        <v>383</v>
      </c>
      <c r="G69" s="425" t="str">
        <f t="shared" si="2"/>
        <v>7900 SwiftMiniInk 1056 Blk 10 X 500Ml</v>
      </c>
      <c r="N69" s="3">
        <v>52</v>
      </c>
      <c r="O69" s="158">
        <v>49</v>
      </c>
      <c r="P69" s="472" t="s">
        <v>592</v>
      </c>
      <c r="Q69" s="3" t="s">
        <v>320</v>
      </c>
      <c r="R69" s="259" t="s">
        <v>644</v>
      </c>
      <c r="S69" s="196" t="s">
        <v>328</v>
      </c>
      <c r="T69" s="98" t="str">
        <f t="shared" si="1"/>
        <v>7900 SolverMidi Mk7 4M R/A</v>
      </c>
    </row>
    <row r="70" spans="2:20">
      <c r="B70" s="158">
        <v>53</v>
      </c>
      <c r="C70" s="472" t="s">
        <v>592</v>
      </c>
      <c r="D70" s="192">
        <v>4900</v>
      </c>
      <c r="E70" s="477" t="s">
        <v>381</v>
      </c>
      <c r="G70" s="425" t="str">
        <f t="shared" si="2"/>
        <v>4900Ultima AInk 1056 Blk 10 X 500Ml</v>
      </c>
      <c r="N70" s="3">
        <v>53</v>
      </c>
      <c r="O70" s="158">
        <v>49</v>
      </c>
      <c r="P70" s="472" t="s">
        <v>592</v>
      </c>
      <c r="Q70" s="3" t="s">
        <v>320</v>
      </c>
      <c r="R70" s="259" t="s">
        <v>644</v>
      </c>
      <c r="S70" s="196" t="s">
        <v>329</v>
      </c>
      <c r="T70" s="98" t="str">
        <f t="shared" si="1"/>
        <v>7900 SolverMidi Mk7 Srra 2M</v>
      </c>
    </row>
    <row r="71" spans="2:20" ht="13.5" thickBot="1">
      <c r="B71" s="158">
        <v>54</v>
      </c>
      <c r="C71" s="472" t="s">
        <v>592</v>
      </c>
      <c r="D71" s="478" t="s">
        <v>646</v>
      </c>
      <c r="E71" s="477" t="s">
        <v>381</v>
      </c>
      <c r="G71" s="425" t="str">
        <f t="shared" si="2"/>
        <v>4900 BCUltima AInk 1056 Blk 10 X 500Ml</v>
      </c>
      <c r="N71" s="3">
        <v>54</v>
      </c>
      <c r="O71" s="158">
        <v>49</v>
      </c>
      <c r="P71" s="472" t="s">
        <v>592</v>
      </c>
      <c r="Q71" s="3" t="s">
        <v>320</v>
      </c>
      <c r="R71" s="259" t="s">
        <v>644</v>
      </c>
      <c r="S71" s="373" t="s">
        <v>330</v>
      </c>
      <c r="T71" s="98" t="str">
        <f t="shared" si="1"/>
        <v>7900 SolverMidi Mk7 Srra 4M</v>
      </c>
    </row>
    <row r="72" spans="2:20">
      <c r="B72" s="158">
        <v>55</v>
      </c>
      <c r="C72" s="472" t="s">
        <v>592</v>
      </c>
      <c r="D72" s="478" t="s">
        <v>391</v>
      </c>
      <c r="E72" s="477" t="s">
        <v>381</v>
      </c>
      <c r="G72" s="425" t="str">
        <f t="shared" si="2"/>
        <v>4900 DCUltima AInk 1056 Blk 10 X 500Ml</v>
      </c>
      <c r="N72" s="3">
        <v>55</v>
      </c>
      <c r="O72" s="158">
        <v>60</v>
      </c>
      <c r="P72" s="472" t="s">
        <v>592</v>
      </c>
      <c r="Q72" s="3" t="s">
        <v>320</v>
      </c>
      <c r="R72" s="259" t="s">
        <v>644</v>
      </c>
      <c r="S72" s="370" t="s">
        <v>325</v>
      </c>
      <c r="T72" s="98" t="str">
        <f t="shared" si="1"/>
        <v>7900 SolverMidi Mk7 2M</v>
      </c>
    </row>
    <row r="73" spans="2:20">
      <c r="B73" s="158">
        <v>56</v>
      </c>
      <c r="C73" s="472" t="s">
        <v>592</v>
      </c>
      <c r="D73" s="192">
        <v>7900</v>
      </c>
      <c r="E73" s="477" t="s">
        <v>381</v>
      </c>
      <c r="G73" s="425" t="str">
        <f t="shared" si="2"/>
        <v>7900Ultima AInk 1056 Blk 10 X 500Ml</v>
      </c>
      <c r="N73" s="3">
        <v>56</v>
      </c>
      <c r="O73" s="158">
        <v>60</v>
      </c>
      <c r="P73" s="472" t="s">
        <v>592</v>
      </c>
      <c r="Q73" s="3" t="s">
        <v>320</v>
      </c>
      <c r="R73" s="259" t="s">
        <v>644</v>
      </c>
      <c r="S73" s="196" t="s">
        <v>326</v>
      </c>
      <c r="T73" s="98" t="str">
        <f t="shared" si="1"/>
        <v>7900 SolverMidi Mk7 2M R/A</v>
      </c>
    </row>
    <row r="74" spans="2:20">
      <c r="B74" s="158">
        <v>57</v>
      </c>
      <c r="C74" s="472" t="s">
        <v>592</v>
      </c>
      <c r="D74" s="478" t="s">
        <v>647</v>
      </c>
      <c r="E74" s="477" t="s">
        <v>381</v>
      </c>
      <c r="G74" s="425" t="str">
        <f t="shared" si="2"/>
        <v>7900 BCUltima AInk 1056 Blk 10 X 500Ml</v>
      </c>
      <c r="N74" s="3">
        <v>57</v>
      </c>
      <c r="O74" s="158">
        <v>60</v>
      </c>
      <c r="P74" s="472" t="s">
        <v>592</v>
      </c>
      <c r="Q74" s="3" t="s">
        <v>320</v>
      </c>
      <c r="R74" s="259" t="s">
        <v>644</v>
      </c>
      <c r="S74" s="196" t="s">
        <v>327</v>
      </c>
      <c r="T74" s="98" t="str">
        <f t="shared" si="1"/>
        <v>7900 SolverMidi Mk7 4M</v>
      </c>
    </row>
    <row r="75" spans="2:20">
      <c r="B75" s="158">
        <v>58</v>
      </c>
      <c r="C75" s="472" t="s">
        <v>592</v>
      </c>
      <c r="D75" s="192">
        <v>7900</v>
      </c>
      <c r="E75" s="477" t="s">
        <v>648</v>
      </c>
      <c r="G75" s="425" t="str">
        <f t="shared" si="2"/>
        <v>7900Midi AInk 1056 Blk 10 X 500Ml</v>
      </c>
      <c r="N75" s="3">
        <v>58</v>
      </c>
      <c r="O75" s="158">
        <v>60</v>
      </c>
      <c r="P75" s="472" t="s">
        <v>592</v>
      </c>
      <c r="Q75" s="3" t="s">
        <v>320</v>
      </c>
      <c r="R75" s="259" t="s">
        <v>644</v>
      </c>
      <c r="S75" s="196" t="s">
        <v>328</v>
      </c>
      <c r="T75" s="98" t="str">
        <f t="shared" si="1"/>
        <v>7900 SolverMidi Mk7 4M R/A</v>
      </c>
    </row>
    <row r="76" spans="2:20">
      <c r="B76" s="158">
        <v>59</v>
      </c>
      <c r="C76" s="472" t="s">
        <v>592</v>
      </c>
      <c r="D76" s="478" t="s">
        <v>647</v>
      </c>
      <c r="E76" s="477" t="s">
        <v>648</v>
      </c>
      <c r="G76" s="425" t="str">
        <f t="shared" si="2"/>
        <v>7900 BCMidi AInk 1056 Blk 10 X 500Ml</v>
      </c>
      <c r="N76" s="3">
        <v>59</v>
      </c>
      <c r="O76" s="158">
        <v>60</v>
      </c>
      <c r="P76" s="472" t="s">
        <v>592</v>
      </c>
      <c r="Q76" s="3" t="s">
        <v>320</v>
      </c>
      <c r="R76" s="259" t="s">
        <v>644</v>
      </c>
      <c r="S76" s="196" t="s">
        <v>329</v>
      </c>
      <c r="T76" s="98" t="str">
        <f t="shared" si="1"/>
        <v>7900 SolverMidi Mk7 Srra 2M</v>
      </c>
    </row>
    <row r="77" spans="2:20" ht="13.5" thickBot="1">
      <c r="B77" s="158">
        <v>60</v>
      </c>
      <c r="C77" s="472" t="s">
        <v>592</v>
      </c>
      <c r="D77" s="478" t="s">
        <v>320</v>
      </c>
      <c r="E77" s="477" t="s">
        <v>644</v>
      </c>
      <c r="G77" s="425" t="str">
        <f t="shared" si="2"/>
        <v>7900 SolverMidiInk 1056 Blk 10 X 500Ml</v>
      </c>
      <c r="N77" s="3">
        <v>60</v>
      </c>
      <c r="O77" s="158">
        <v>60</v>
      </c>
      <c r="P77" s="472" t="s">
        <v>592</v>
      </c>
      <c r="Q77" s="3" t="s">
        <v>320</v>
      </c>
      <c r="R77" s="259" t="s">
        <v>644</v>
      </c>
      <c r="S77" s="373" t="s">
        <v>330</v>
      </c>
      <c r="T77" s="98" t="str">
        <f t="shared" si="1"/>
        <v>7900 SolverMidi Mk7 Srra 4M</v>
      </c>
    </row>
    <row r="78" spans="2:20" ht="13.5" thickBot="1">
      <c r="B78" s="497">
        <v>61</v>
      </c>
      <c r="C78" s="481" t="s">
        <v>592</v>
      </c>
      <c r="D78" s="483" t="s">
        <v>320</v>
      </c>
      <c r="E78" s="484" t="s">
        <v>317</v>
      </c>
      <c r="G78" s="425" t="str">
        <f t="shared" si="2"/>
        <v>7900 SolverUltimaInk 1056 Blk 10 X 500Ml</v>
      </c>
      <c r="N78" s="3">
        <v>61</v>
      </c>
      <c r="O78" s="158">
        <v>73</v>
      </c>
      <c r="P78" s="472" t="s">
        <v>594</v>
      </c>
      <c r="Q78" s="3" t="s">
        <v>320</v>
      </c>
      <c r="R78" s="259" t="s">
        <v>644</v>
      </c>
      <c r="S78" s="370" t="s">
        <v>325</v>
      </c>
      <c r="T78" s="98" t="str">
        <f t="shared" si="1"/>
        <v>7900 SolverMidi Mk7 2M</v>
      </c>
    </row>
    <row r="79" spans="2:20">
      <c r="B79" s="158">
        <v>62</v>
      </c>
      <c r="C79" s="472" t="s">
        <v>593</v>
      </c>
      <c r="D79" s="196" t="s">
        <v>316</v>
      </c>
      <c r="E79" s="477" t="s">
        <v>379</v>
      </c>
      <c r="G79" s="425" t="str">
        <f t="shared" si="2"/>
        <v>7900 SpectrumUltima PlusInk 1059 Wht Easypack 2X500Ml</v>
      </c>
      <c r="N79" s="3">
        <v>62</v>
      </c>
      <c r="O79" s="158">
        <v>73</v>
      </c>
      <c r="P79" s="472" t="s">
        <v>594</v>
      </c>
      <c r="Q79" s="3" t="s">
        <v>320</v>
      </c>
      <c r="R79" s="259" t="s">
        <v>644</v>
      </c>
      <c r="S79" s="196" t="s">
        <v>326</v>
      </c>
      <c r="T79" s="98" t="str">
        <f t="shared" si="1"/>
        <v>7900 SolverMidi Mk7 2M R/A</v>
      </c>
    </row>
    <row r="80" spans="2:20" ht="13.5" thickBot="1">
      <c r="B80" s="497">
        <v>63</v>
      </c>
      <c r="C80" s="481" t="s">
        <v>593</v>
      </c>
      <c r="D80" s="373" t="s">
        <v>316</v>
      </c>
      <c r="E80" s="484" t="s">
        <v>643</v>
      </c>
      <c r="G80" s="425" t="str">
        <f t="shared" si="2"/>
        <v>7900 SpectrumMidi PlusInk 1059 Wht Easypack 2X500Ml</v>
      </c>
      <c r="N80" s="3">
        <v>63</v>
      </c>
      <c r="O80" s="158">
        <v>73</v>
      </c>
      <c r="P80" s="472" t="s">
        <v>594</v>
      </c>
      <c r="Q80" s="3" t="s">
        <v>320</v>
      </c>
      <c r="R80" s="259" t="s">
        <v>644</v>
      </c>
      <c r="S80" s="196" t="s">
        <v>327</v>
      </c>
      <c r="T80" s="98" t="str">
        <f t="shared" si="1"/>
        <v>7900 SolverMidi Mk7 4M</v>
      </c>
    </row>
    <row r="81" spans="2:20">
      <c r="B81" s="499">
        <v>64</v>
      </c>
      <c r="C81" s="486" t="s">
        <v>594</v>
      </c>
      <c r="D81" s="1">
        <v>7900</v>
      </c>
      <c r="E81" s="475" t="s">
        <v>643</v>
      </c>
      <c r="G81" s="425" t="str">
        <f t="shared" si="2"/>
        <v>7900Midi PlusInk 1070 Blk 10 X 500Ml</v>
      </c>
      <c r="N81" s="3">
        <v>64</v>
      </c>
      <c r="O81" s="158">
        <v>73</v>
      </c>
      <c r="P81" s="472" t="s">
        <v>594</v>
      </c>
      <c r="Q81" s="3" t="s">
        <v>320</v>
      </c>
      <c r="R81" s="259" t="s">
        <v>644</v>
      </c>
      <c r="S81" s="196" t="s">
        <v>328</v>
      </c>
      <c r="T81" s="98" t="str">
        <f t="shared" si="1"/>
        <v>7900 SolverMidi Mk7 4M R/A</v>
      </c>
    </row>
    <row r="82" spans="2:20">
      <c r="B82" s="158">
        <v>65</v>
      </c>
      <c r="C82" s="472" t="s">
        <v>594</v>
      </c>
      <c r="D82" s="192">
        <v>4900</v>
      </c>
      <c r="E82" s="477" t="s">
        <v>379</v>
      </c>
      <c r="G82" s="425" t="str">
        <f t="shared" si="2"/>
        <v>4900Ultima PlusInk 1070 Blk 10 X 500Ml</v>
      </c>
      <c r="N82" s="3">
        <v>65</v>
      </c>
      <c r="O82" s="158">
        <v>73</v>
      </c>
      <c r="P82" s="472" t="s">
        <v>594</v>
      </c>
      <c r="Q82" s="3" t="s">
        <v>320</v>
      </c>
      <c r="R82" s="259" t="s">
        <v>644</v>
      </c>
      <c r="S82" s="196" t="s">
        <v>329</v>
      </c>
      <c r="T82" s="98" t="str">
        <f t="shared" si="1"/>
        <v>7900 SolverMidi Mk7 Srra 2M</v>
      </c>
    </row>
    <row r="83" spans="2:20" ht="13.5" thickBot="1">
      <c r="B83" s="158">
        <v>66</v>
      </c>
      <c r="C83" s="472" t="s">
        <v>594</v>
      </c>
      <c r="D83" s="196" t="s">
        <v>391</v>
      </c>
      <c r="E83" s="477" t="s">
        <v>379</v>
      </c>
      <c r="G83" s="425" t="str">
        <f t="shared" si="2"/>
        <v>4900 DCUltima PlusInk 1070 Blk 10 X 500Ml</v>
      </c>
      <c r="N83" s="3">
        <v>66</v>
      </c>
      <c r="O83" s="158">
        <v>73</v>
      </c>
      <c r="P83" s="472" t="s">
        <v>594</v>
      </c>
      <c r="Q83" s="3" t="s">
        <v>320</v>
      </c>
      <c r="R83" s="259" t="s">
        <v>644</v>
      </c>
      <c r="S83" s="373" t="s">
        <v>330</v>
      </c>
      <c r="T83" s="98" t="str">
        <f t="shared" ref="T83:T146" si="3">Q83&amp;S83</f>
        <v>7900 SolverMidi Mk7 Srra 4M</v>
      </c>
    </row>
    <row r="84" spans="2:20">
      <c r="B84" s="158">
        <v>67</v>
      </c>
      <c r="C84" s="472" t="s">
        <v>594</v>
      </c>
      <c r="D84" s="192">
        <v>7900</v>
      </c>
      <c r="E84" s="477" t="s">
        <v>379</v>
      </c>
      <c r="G84" s="425" t="str">
        <f t="shared" si="2"/>
        <v>7900Ultima PlusInk 1070 Blk 10 X 500Ml</v>
      </c>
      <c r="N84" s="3">
        <v>67</v>
      </c>
      <c r="O84" s="158">
        <v>77</v>
      </c>
      <c r="P84" s="472" t="s">
        <v>595</v>
      </c>
      <c r="Q84" s="3">
        <v>7900</v>
      </c>
      <c r="R84" s="259" t="s">
        <v>644</v>
      </c>
      <c r="S84" s="370" t="s">
        <v>325</v>
      </c>
      <c r="T84" s="98" t="str">
        <f t="shared" si="3"/>
        <v>7900Midi Mk7 2M</v>
      </c>
    </row>
    <row r="85" spans="2:20">
      <c r="B85" s="158">
        <v>68</v>
      </c>
      <c r="C85" s="472" t="s">
        <v>594</v>
      </c>
      <c r="D85" s="196" t="s">
        <v>316</v>
      </c>
      <c r="E85" s="477" t="s">
        <v>379</v>
      </c>
      <c r="G85" s="425" t="str">
        <f t="shared" si="2"/>
        <v>7900 SpectrumUltima PlusInk 1070 Blk 10 X 500Ml</v>
      </c>
      <c r="N85" s="3">
        <v>68</v>
      </c>
      <c r="O85" s="158">
        <v>77</v>
      </c>
      <c r="P85" s="472" t="s">
        <v>595</v>
      </c>
      <c r="Q85" s="3">
        <v>7900</v>
      </c>
      <c r="R85" s="259" t="s">
        <v>644</v>
      </c>
      <c r="S85" s="196" t="s">
        <v>326</v>
      </c>
      <c r="T85" s="98" t="str">
        <f t="shared" si="3"/>
        <v>7900Midi Mk7 2M R/A</v>
      </c>
    </row>
    <row r="86" spans="2:20">
      <c r="B86" s="158">
        <v>69</v>
      </c>
      <c r="C86" s="472" t="s">
        <v>594</v>
      </c>
      <c r="D86" s="192">
        <v>4900</v>
      </c>
      <c r="E86" s="477" t="s">
        <v>643</v>
      </c>
      <c r="G86" s="425" t="str">
        <f t="shared" si="2"/>
        <v>4900Midi PlusInk 1070 Blk 10 X 500Ml</v>
      </c>
      <c r="N86" s="3">
        <v>69</v>
      </c>
      <c r="O86" s="158">
        <v>77</v>
      </c>
      <c r="P86" s="472" t="s">
        <v>595</v>
      </c>
      <c r="Q86" s="3">
        <v>7900</v>
      </c>
      <c r="R86" s="259" t="s">
        <v>644</v>
      </c>
      <c r="S86" s="196" t="s">
        <v>327</v>
      </c>
      <c r="T86" s="98" t="str">
        <f t="shared" si="3"/>
        <v>7900Midi Mk7 4M</v>
      </c>
    </row>
    <row r="87" spans="2:20">
      <c r="B87" s="158">
        <v>70</v>
      </c>
      <c r="C87" s="472" t="s">
        <v>594</v>
      </c>
      <c r="D87" s="196" t="s">
        <v>391</v>
      </c>
      <c r="E87" s="477" t="s">
        <v>643</v>
      </c>
      <c r="G87" s="425" t="str">
        <f t="shared" si="2"/>
        <v>4900 DCMidi PlusInk 1070 Blk 10 X 500Ml</v>
      </c>
      <c r="N87" s="3">
        <v>70</v>
      </c>
      <c r="O87" s="158">
        <v>77</v>
      </c>
      <c r="P87" s="472" t="s">
        <v>595</v>
      </c>
      <c r="Q87" s="3">
        <v>7900</v>
      </c>
      <c r="R87" s="259" t="s">
        <v>644</v>
      </c>
      <c r="S87" s="196" t="s">
        <v>328</v>
      </c>
      <c r="T87" s="98" t="str">
        <f t="shared" si="3"/>
        <v>7900Midi Mk7 4M R/A</v>
      </c>
    </row>
    <row r="88" spans="2:20">
      <c r="B88" s="158">
        <v>71</v>
      </c>
      <c r="C88" s="472" t="s">
        <v>594</v>
      </c>
      <c r="D88" s="192">
        <v>7900</v>
      </c>
      <c r="E88" s="477" t="s">
        <v>643</v>
      </c>
      <c r="G88" s="425" t="str">
        <f t="shared" si="2"/>
        <v>7900Midi PlusInk 1070 Blk 10 X 500Ml</v>
      </c>
      <c r="N88" s="3">
        <v>71</v>
      </c>
      <c r="O88" s="158">
        <v>77</v>
      </c>
      <c r="P88" s="472" t="s">
        <v>595</v>
      </c>
      <c r="Q88" s="3">
        <v>7900</v>
      </c>
      <c r="R88" s="259" t="s">
        <v>644</v>
      </c>
      <c r="S88" s="196" t="s">
        <v>329</v>
      </c>
      <c r="T88" s="98" t="str">
        <f t="shared" si="3"/>
        <v>7900Midi Mk7 Srra 2M</v>
      </c>
    </row>
    <row r="89" spans="2:20" ht="13.5" thickBot="1">
      <c r="B89" s="158">
        <v>72</v>
      </c>
      <c r="C89" s="472" t="s">
        <v>594</v>
      </c>
      <c r="D89" s="196" t="s">
        <v>316</v>
      </c>
      <c r="E89" s="477" t="s">
        <v>643</v>
      </c>
      <c r="G89" s="425" t="str">
        <f t="shared" si="2"/>
        <v>7900 SpectrumMidi PlusInk 1070 Blk 10 X 500Ml</v>
      </c>
      <c r="N89" s="3">
        <v>72</v>
      </c>
      <c r="O89" s="158">
        <v>77</v>
      </c>
      <c r="P89" s="472" t="s">
        <v>595</v>
      </c>
      <c r="Q89" s="3">
        <v>7900</v>
      </c>
      <c r="R89" s="259" t="s">
        <v>644</v>
      </c>
      <c r="S89" s="373" t="s">
        <v>330</v>
      </c>
      <c r="T89" s="98" t="str">
        <f t="shared" si="3"/>
        <v>7900Midi Mk7 Srra 4M</v>
      </c>
    </row>
    <row r="90" spans="2:20" ht="13.5" thickBot="1">
      <c r="B90" s="497">
        <v>73</v>
      </c>
      <c r="C90" s="481" t="s">
        <v>594</v>
      </c>
      <c r="D90" s="373" t="s">
        <v>320</v>
      </c>
      <c r="E90" s="484" t="s">
        <v>644</v>
      </c>
      <c r="G90" s="425" t="str">
        <f t="shared" si="2"/>
        <v>7900 SolverMidiInk 1070 Blk 10 X 500Ml</v>
      </c>
      <c r="N90" s="3">
        <v>73</v>
      </c>
      <c r="O90" s="158">
        <v>87</v>
      </c>
      <c r="P90" s="472" t="s">
        <v>595</v>
      </c>
      <c r="Q90" s="3" t="s">
        <v>320</v>
      </c>
      <c r="R90" s="259" t="s">
        <v>644</v>
      </c>
      <c r="S90" s="370" t="s">
        <v>325</v>
      </c>
      <c r="T90" s="98" t="str">
        <f t="shared" si="3"/>
        <v>7900 SolverMidi Mk7 2M</v>
      </c>
    </row>
    <row r="91" spans="2:20">
      <c r="B91" s="158">
        <v>74</v>
      </c>
      <c r="C91" s="472" t="s">
        <v>595</v>
      </c>
      <c r="D91" s="480">
        <v>4900</v>
      </c>
      <c r="E91" s="487" t="s">
        <v>317</v>
      </c>
      <c r="G91" s="425" t="str">
        <f t="shared" si="2"/>
        <v>4900UltimaInk 1240 Blk 10 X 500Ml</v>
      </c>
      <c r="N91" s="3">
        <v>74</v>
      </c>
      <c r="O91" s="158">
        <v>87</v>
      </c>
      <c r="P91" s="472" t="s">
        <v>595</v>
      </c>
      <c r="Q91" s="3" t="s">
        <v>320</v>
      </c>
      <c r="R91" s="259" t="s">
        <v>644</v>
      </c>
      <c r="S91" s="196" t="s">
        <v>326</v>
      </c>
      <c r="T91" s="98" t="str">
        <f t="shared" si="3"/>
        <v>7900 SolverMidi Mk7 2M R/A</v>
      </c>
    </row>
    <row r="92" spans="2:20">
      <c r="B92" s="158">
        <v>75</v>
      </c>
      <c r="C92" s="472" t="s">
        <v>595</v>
      </c>
      <c r="D92" s="478" t="s">
        <v>391</v>
      </c>
      <c r="E92" s="477" t="s">
        <v>317</v>
      </c>
      <c r="G92" s="425" t="str">
        <f t="shared" si="2"/>
        <v>4900 DCUltimaInk 1240 Blk 10 X 500Ml</v>
      </c>
      <c r="N92" s="3">
        <v>75</v>
      </c>
      <c r="O92" s="158">
        <v>87</v>
      </c>
      <c r="P92" s="472" t="s">
        <v>595</v>
      </c>
      <c r="Q92" s="3" t="s">
        <v>320</v>
      </c>
      <c r="R92" s="259" t="s">
        <v>644</v>
      </c>
      <c r="S92" s="196" t="s">
        <v>327</v>
      </c>
      <c r="T92" s="98" t="str">
        <f t="shared" si="3"/>
        <v>7900 SolverMidi Mk7 4M</v>
      </c>
    </row>
    <row r="93" spans="2:20">
      <c r="B93" s="158">
        <v>76</v>
      </c>
      <c r="C93" s="472" t="s">
        <v>595</v>
      </c>
      <c r="D93" s="192">
        <v>7900</v>
      </c>
      <c r="E93" s="477" t="s">
        <v>317</v>
      </c>
      <c r="G93" s="425" t="str">
        <f t="shared" si="2"/>
        <v>7900UltimaInk 1240 Blk 10 X 500Ml</v>
      </c>
      <c r="N93" s="3">
        <v>76</v>
      </c>
      <c r="O93" s="158">
        <v>87</v>
      </c>
      <c r="P93" s="472" t="s">
        <v>595</v>
      </c>
      <c r="Q93" s="3" t="s">
        <v>320</v>
      </c>
      <c r="R93" s="259" t="s">
        <v>644</v>
      </c>
      <c r="S93" s="196" t="s">
        <v>328</v>
      </c>
      <c r="T93" s="98" t="str">
        <f t="shared" si="3"/>
        <v>7900 SolverMidi Mk7 4M R/A</v>
      </c>
    </row>
    <row r="94" spans="2:20">
      <c r="B94" s="158">
        <v>77</v>
      </c>
      <c r="C94" s="472" t="s">
        <v>595</v>
      </c>
      <c r="D94" s="192">
        <v>7900</v>
      </c>
      <c r="E94" s="473" t="s">
        <v>644</v>
      </c>
      <c r="G94" s="425" t="str">
        <f t="shared" si="2"/>
        <v>7900MidiInk 1240 Blk 10 X 500Ml</v>
      </c>
      <c r="N94" s="3">
        <v>77</v>
      </c>
      <c r="O94" s="158">
        <v>87</v>
      </c>
      <c r="P94" s="472" t="s">
        <v>595</v>
      </c>
      <c r="Q94" s="3" t="s">
        <v>320</v>
      </c>
      <c r="R94" s="259" t="s">
        <v>644</v>
      </c>
      <c r="S94" s="196" t="s">
        <v>329</v>
      </c>
      <c r="T94" s="98" t="str">
        <f t="shared" si="3"/>
        <v>7900 SolverMidi Mk7 Srra 2M</v>
      </c>
    </row>
    <row r="95" spans="2:20" ht="13.5" thickBot="1">
      <c r="B95" s="158">
        <v>78</v>
      </c>
      <c r="C95" s="472" t="s">
        <v>595</v>
      </c>
      <c r="D95" s="192">
        <v>4900</v>
      </c>
      <c r="E95" s="473" t="s">
        <v>379</v>
      </c>
      <c r="G95" s="425" t="str">
        <f t="shared" si="2"/>
        <v>4900Ultima PlusInk 1240 Blk 10 X 500Ml</v>
      </c>
      <c r="N95" s="3">
        <v>78</v>
      </c>
      <c r="O95" s="158">
        <v>87</v>
      </c>
      <c r="P95" s="472" t="s">
        <v>595</v>
      </c>
      <c r="Q95" s="3" t="s">
        <v>320</v>
      </c>
      <c r="R95" s="259" t="s">
        <v>644</v>
      </c>
      <c r="S95" s="373" t="s">
        <v>330</v>
      </c>
      <c r="T95" s="98" t="str">
        <f t="shared" si="3"/>
        <v>7900 SolverMidi Mk7 Srra 4M</v>
      </c>
    </row>
    <row r="96" spans="2:20">
      <c r="B96" s="158">
        <v>79</v>
      </c>
      <c r="C96" s="472" t="s">
        <v>595</v>
      </c>
      <c r="D96" s="196" t="s">
        <v>391</v>
      </c>
      <c r="E96" s="473" t="s">
        <v>379</v>
      </c>
      <c r="G96" s="425" t="str">
        <f t="shared" si="2"/>
        <v>4900 DCUltima PlusInk 1240 Blk 10 X 500Ml</v>
      </c>
      <c r="N96" s="3">
        <v>79</v>
      </c>
      <c r="O96" s="158">
        <v>109</v>
      </c>
      <c r="P96" s="472" t="s">
        <v>597</v>
      </c>
      <c r="Q96" s="3">
        <v>7900</v>
      </c>
      <c r="R96" s="259" t="s">
        <v>644</v>
      </c>
      <c r="S96" s="370" t="s">
        <v>325</v>
      </c>
      <c r="T96" s="98" t="str">
        <f t="shared" si="3"/>
        <v>7900Midi Mk7 2M</v>
      </c>
    </row>
    <row r="97" spans="2:20">
      <c r="B97" s="158">
        <v>80</v>
      </c>
      <c r="C97" s="472" t="s">
        <v>595</v>
      </c>
      <c r="D97" s="192">
        <v>7900</v>
      </c>
      <c r="E97" s="473" t="s">
        <v>379</v>
      </c>
      <c r="G97" s="425" t="str">
        <f t="shared" si="2"/>
        <v>7900Ultima PlusInk 1240 Blk 10 X 500Ml</v>
      </c>
      <c r="N97" s="3">
        <v>80</v>
      </c>
      <c r="O97" s="158">
        <v>109</v>
      </c>
      <c r="P97" s="472" t="s">
        <v>597</v>
      </c>
      <c r="Q97" s="3">
        <v>7900</v>
      </c>
      <c r="R97" s="259" t="s">
        <v>644</v>
      </c>
      <c r="S97" s="196" t="s">
        <v>326</v>
      </c>
      <c r="T97" s="98" t="str">
        <f t="shared" si="3"/>
        <v>7900Midi Mk7 2M R/A</v>
      </c>
    </row>
    <row r="98" spans="2:20">
      <c r="B98" s="158">
        <v>81</v>
      </c>
      <c r="C98" s="472" t="s">
        <v>595</v>
      </c>
      <c r="D98" s="196" t="s">
        <v>316</v>
      </c>
      <c r="E98" s="473" t="s">
        <v>379</v>
      </c>
      <c r="G98" s="425" t="str">
        <f t="shared" si="2"/>
        <v>7900 SpectrumUltima PlusInk 1240 Blk 10 X 500Ml</v>
      </c>
      <c r="N98" s="3">
        <v>81</v>
      </c>
      <c r="O98" s="158">
        <v>109</v>
      </c>
      <c r="P98" s="472" t="s">
        <v>597</v>
      </c>
      <c r="Q98" s="3">
        <v>7900</v>
      </c>
      <c r="R98" s="259" t="s">
        <v>644</v>
      </c>
      <c r="S98" s="196" t="s">
        <v>327</v>
      </c>
      <c r="T98" s="98" t="str">
        <f t="shared" si="3"/>
        <v>7900Midi Mk7 4M</v>
      </c>
    </row>
    <row r="99" spans="2:20">
      <c r="B99" s="158">
        <v>82</v>
      </c>
      <c r="C99" s="472" t="s">
        <v>595</v>
      </c>
      <c r="D99" s="192">
        <v>7900</v>
      </c>
      <c r="E99" s="473" t="s">
        <v>643</v>
      </c>
      <c r="G99" s="425" t="str">
        <f t="shared" si="2"/>
        <v>7900Midi PlusInk 1240 Blk 10 X 500Ml</v>
      </c>
      <c r="N99" s="3">
        <v>82</v>
      </c>
      <c r="O99" s="158">
        <v>109</v>
      </c>
      <c r="P99" s="472" t="s">
        <v>597</v>
      </c>
      <c r="Q99" s="3">
        <v>7900</v>
      </c>
      <c r="R99" s="259" t="s">
        <v>644</v>
      </c>
      <c r="S99" s="196" t="s">
        <v>328</v>
      </c>
      <c r="T99" s="98" t="str">
        <f t="shared" si="3"/>
        <v>7900Midi Mk7 4M R/A</v>
      </c>
    </row>
    <row r="100" spans="2:20">
      <c r="B100" s="158">
        <v>83</v>
      </c>
      <c r="C100" s="472" t="s">
        <v>595</v>
      </c>
      <c r="D100" s="196" t="s">
        <v>316</v>
      </c>
      <c r="E100" s="473" t="s">
        <v>643</v>
      </c>
      <c r="G100" s="425" t="str">
        <f t="shared" si="2"/>
        <v>7900 SpectrumMidi PlusInk 1240 Blk 10 X 500Ml</v>
      </c>
      <c r="N100" s="3">
        <v>83</v>
      </c>
      <c r="O100" s="158">
        <v>109</v>
      </c>
      <c r="P100" s="472" t="s">
        <v>597</v>
      </c>
      <c r="Q100" s="3">
        <v>7900</v>
      </c>
      <c r="R100" s="259" t="s">
        <v>644</v>
      </c>
      <c r="S100" s="196" t="s">
        <v>329</v>
      </c>
      <c r="T100" s="98" t="str">
        <f t="shared" si="3"/>
        <v>7900Midi Mk7 Srra 2M</v>
      </c>
    </row>
    <row r="101" spans="2:20" ht="13.5" thickBot="1">
      <c r="B101" s="158">
        <v>84</v>
      </c>
      <c r="C101" s="472" t="s">
        <v>595</v>
      </c>
      <c r="D101" s="417" t="s">
        <v>391</v>
      </c>
      <c r="E101" s="473" t="s">
        <v>383</v>
      </c>
      <c r="G101" s="425" t="str">
        <f t="shared" si="2"/>
        <v>4900 DCMiniInk 1240 Blk 10 X 500Ml</v>
      </c>
      <c r="N101" s="3">
        <v>84</v>
      </c>
      <c r="O101" s="158">
        <v>109</v>
      </c>
      <c r="P101" s="472" t="s">
        <v>597</v>
      </c>
      <c r="Q101" s="3">
        <v>7900</v>
      </c>
      <c r="R101" s="259" t="s">
        <v>644</v>
      </c>
      <c r="S101" s="373" t="s">
        <v>330</v>
      </c>
      <c r="T101" s="98" t="str">
        <f t="shared" si="3"/>
        <v>7900Midi Mk7 Srra 4M</v>
      </c>
    </row>
    <row r="102" spans="2:20">
      <c r="B102" s="158">
        <v>85</v>
      </c>
      <c r="C102" s="472" t="s">
        <v>595</v>
      </c>
      <c r="D102" s="417" t="s">
        <v>319</v>
      </c>
      <c r="E102" s="473" t="s">
        <v>383</v>
      </c>
      <c r="G102" s="425" t="str">
        <f t="shared" si="2"/>
        <v>7900 SwiftMiniInk 1240 Blk 10 X 500Ml</v>
      </c>
      <c r="N102" s="3">
        <v>85</v>
      </c>
      <c r="O102" s="158">
        <v>122</v>
      </c>
      <c r="P102" s="472" t="s">
        <v>598</v>
      </c>
      <c r="Q102" s="3">
        <v>7900</v>
      </c>
      <c r="R102" s="259" t="s">
        <v>644</v>
      </c>
      <c r="S102" s="370" t="s">
        <v>325</v>
      </c>
      <c r="T102" s="98" t="str">
        <f t="shared" si="3"/>
        <v>7900Midi Mk7 2M</v>
      </c>
    </row>
    <row r="103" spans="2:20">
      <c r="B103" s="158">
        <v>86</v>
      </c>
      <c r="C103" s="472" t="s">
        <v>595</v>
      </c>
      <c r="D103" s="1">
        <v>7900</v>
      </c>
      <c r="E103" s="473" t="s">
        <v>649</v>
      </c>
      <c r="G103" s="425" t="str">
        <f t="shared" si="2"/>
        <v>7900MicroInk 1240 Blk 10 X 500Ml</v>
      </c>
      <c r="N103" s="3">
        <v>86</v>
      </c>
      <c r="O103" s="158">
        <v>122</v>
      </c>
      <c r="P103" s="472" t="s">
        <v>598</v>
      </c>
      <c r="Q103" s="3">
        <v>7900</v>
      </c>
      <c r="R103" s="259" t="s">
        <v>644</v>
      </c>
      <c r="S103" s="196" t="s">
        <v>326</v>
      </c>
      <c r="T103" s="98" t="str">
        <f t="shared" si="3"/>
        <v>7900Midi Mk7 2M R/A</v>
      </c>
    </row>
    <row r="104" spans="2:20">
      <c r="B104" s="158">
        <v>87</v>
      </c>
      <c r="C104" s="472" t="s">
        <v>595</v>
      </c>
      <c r="D104" s="478" t="s">
        <v>320</v>
      </c>
      <c r="E104" s="473" t="s">
        <v>644</v>
      </c>
      <c r="G104" s="425" t="str">
        <f t="shared" si="2"/>
        <v>7900 SolverMidiInk 1240 Blk 10 X 500Ml</v>
      </c>
      <c r="N104" s="3">
        <v>87</v>
      </c>
      <c r="O104" s="158">
        <v>122</v>
      </c>
      <c r="P104" s="472" t="s">
        <v>598</v>
      </c>
      <c r="Q104" s="3">
        <v>7900</v>
      </c>
      <c r="R104" s="259" t="s">
        <v>644</v>
      </c>
      <c r="S104" s="196" t="s">
        <v>327</v>
      </c>
      <c r="T104" s="98" t="str">
        <f t="shared" si="3"/>
        <v>7900Midi Mk7 4M</v>
      </c>
    </row>
    <row r="105" spans="2:20">
      <c r="B105" s="158">
        <v>88</v>
      </c>
      <c r="C105" s="472" t="s">
        <v>595</v>
      </c>
      <c r="D105" s="478" t="s">
        <v>320</v>
      </c>
      <c r="E105" s="473" t="s">
        <v>317</v>
      </c>
      <c r="G105" s="425" t="str">
        <f t="shared" si="2"/>
        <v>7900 SolverUltimaInk 1240 Blk 10 X 500Ml</v>
      </c>
      <c r="N105" s="3">
        <v>88</v>
      </c>
      <c r="O105" s="158">
        <v>122</v>
      </c>
      <c r="P105" s="472" t="s">
        <v>598</v>
      </c>
      <c r="Q105" s="3">
        <v>7900</v>
      </c>
      <c r="R105" s="259" t="s">
        <v>644</v>
      </c>
      <c r="S105" s="196" t="s">
        <v>328</v>
      </c>
      <c r="T105" s="98" t="str">
        <f t="shared" si="3"/>
        <v>7900Midi Mk7 4M R/A</v>
      </c>
    </row>
    <row r="106" spans="2:20">
      <c r="B106" s="158">
        <v>89</v>
      </c>
      <c r="C106" s="472" t="s">
        <v>595</v>
      </c>
      <c r="D106" s="478" t="s">
        <v>320</v>
      </c>
      <c r="E106" s="473" t="s">
        <v>383</v>
      </c>
      <c r="G106" s="425" t="str">
        <f t="shared" si="2"/>
        <v>7900 SolverMiniInk 1240 Blk 10 X 500Ml</v>
      </c>
      <c r="N106" s="3">
        <v>89</v>
      </c>
      <c r="O106" s="158">
        <v>122</v>
      </c>
      <c r="P106" s="472" t="s">
        <v>598</v>
      </c>
      <c r="Q106" s="3">
        <v>7900</v>
      </c>
      <c r="R106" s="259" t="s">
        <v>644</v>
      </c>
      <c r="S106" s="196" t="s">
        <v>329</v>
      </c>
      <c r="T106" s="98" t="str">
        <f t="shared" si="3"/>
        <v>7900Midi Mk7 Srra 2M</v>
      </c>
    </row>
    <row r="107" spans="2:20" ht="13.5" thickBot="1">
      <c r="B107" s="497">
        <v>90</v>
      </c>
      <c r="C107" s="481" t="s">
        <v>595</v>
      </c>
      <c r="D107" s="483" t="s">
        <v>320</v>
      </c>
      <c r="E107" s="482" t="s">
        <v>649</v>
      </c>
      <c r="G107" s="425" t="str">
        <f t="shared" si="2"/>
        <v>7900 SolverMicroInk 1240 Blk 10 X 500Ml</v>
      </c>
      <c r="N107" s="3">
        <v>90</v>
      </c>
      <c r="O107" s="158">
        <v>122</v>
      </c>
      <c r="P107" s="472" t="s">
        <v>598</v>
      </c>
      <c r="Q107" s="3">
        <v>7900</v>
      </c>
      <c r="R107" s="259" t="s">
        <v>644</v>
      </c>
      <c r="S107" s="373" t="s">
        <v>330</v>
      </c>
      <c r="T107" s="98" t="str">
        <f t="shared" si="3"/>
        <v>7900Midi Mk7 Srra 4M</v>
      </c>
    </row>
    <row r="108" spans="2:20">
      <c r="B108" s="498">
        <v>91</v>
      </c>
      <c r="C108" s="479" t="s">
        <v>596</v>
      </c>
      <c r="D108" s="491">
        <v>4900</v>
      </c>
      <c r="E108" s="492" t="s">
        <v>379</v>
      </c>
      <c r="G108" s="425" t="str">
        <f t="shared" si="2"/>
        <v>4900Ultima PlusInk 1290 Blk To Blu 10 X 500Ml</v>
      </c>
      <c r="N108" s="3">
        <v>91</v>
      </c>
      <c r="O108" s="158">
        <v>129</v>
      </c>
      <c r="P108" s="472" t="s">
        <v>598</v>
      </c>
      <c r="Q108" s="3" t="s">
        <v>320</v>
      </c>
      <c r="R108" s="259" t="s">
        <v>644</v>
      </c>
      <c r="S108" s="370" t="s">
        <v>325</v>
      </c>
      <c r="T108" s="98" t="str">
        <f t="shared" si="3"/>
        <v>7900 SolverMidi Mk7 2M</v>
      </c>
    </row>
    <row r="109" spans="2:20">
      <c r="B109" s="158">
        <v>92</v>
      </c>
      <c r="C109" s="472" t="s">
        <v>596</v>
      </c>
      <c r="D109" s="478" t="s">
        <v>391</v>
      </c>
      <c r="E109" s="473" t="s">
        <v>379</v>
      </c>
      <c r="G109" s="425" t="str">
        <f t="shared" si="2"/>
        <v>4900 DCUltima PlusInk 1290 Blk To Blu 10 X 500Ml</v>
      </c>
      <c r="N109" s="3">
        <v>92</v>
      </c>
      <c r="O109" s="158">
        <v>129</v>
      </c>
      <c r="P109" s="472" t="s">
        <v>598</v>
      </c>
      <c r="Q109" s="3" t="s">
        <v>320</v>
      </c>
      <c r="R109" s="259" t="s">
        <v>644</v>
      </c>
      <c r="S109" s="196" t="s">
        <v>326</v>
      </c>
      <c r="T109" s="98" t="str">
        <f t="shared" si="3"/>
        <v>7900 SolverMidi Mk7 2M R/A</v>
      </c>
    </row>
    <row r="110" spans="2:20">
      <c r="B110" s="158">
        <v>93</v>
      </c>
      <c r="C110" s="472" t="s">
        <v>596</v>
      </c>
      <c r="D110" s="478">
        <v>7900</v>
      </c>
      <c r="E110" s="473" t="s">
        <v>379</v>
      </c>
      <c r="G110" s="425" t="str">
        <f t="shared" si="2"/>
        <v>7900Ultima PlusInk 1290 Blk To Blu 10 X 500Ml</v>
      </c>
      <c r="N110" s="3">
        <v>93</v>
      </c>
      <c r="O110" s="158">
        <v>129</v>
      </c>
      <c r="P110" s="472" t="s">
        <v>598</v>
      </c>
      <c r="Q110" s="3" t="s">
        <v>320</v>
      </c>
      <c r="R110" s="259" t="s">
        <v>644</v>
      </c>
      <c r="S110" s="196" t="s">
        <v>327</v>
      </c>
      <c r="T110" s="98" t="str">
        <f t="shared" si="3"/>
        <v>7900 SolverMidi Mk7 4M</v>
      </c>
    </row>
    <row r="111" spans="2:20">
      <c r="B111" s="158">
        <v>94</v>
      </c>
      <c r="C111" s="472" t="s">
        <v>596</v>
      </c>
      <c r="D111" s="478" t="s">
        <v>316</v>
      </c>
      <c r="E111" s="473" t="s">
        <v>379</v>
      </c>
      <c r="G111" s="425" t="str">
        <f t="shared" si="2"/>
        <v>7900 SpectrumUltima PlusInk 1290 Blk To Blu 10 X 500Ml</v>
      </c>
      <c r="N111" s="3">
        <v>94</v>
      </c>
      <c r="O111" s="158">
        <v>129</v>
      </c>
      <c r="P111" s="472" t="s">
        <v>598</v>
      </c>
      <c r="Q111" s="3" t="s">
        <v>320</v>
      </c>
      <c r="R111" s="259" t="s">
        <v>644</v>
      </c>
      <c r="S111" s="196" t="s">
        <v>328</v>
      </c>
      <c r="T111" s="98" t="str">
        <f t="shared" si="3"/>
        <v>7900 SolverMidi Mk7 4M R/A</v>
      </c>
    </row>
    <row r="112" spans="2:20">
      <c r="B112" s="158">
        <v>95</v>
      </c>
      <c r="C112" s="472" t="s">
        <v>596</v>
      </c>
      <c r="D112" s="478">
        <v>7900</v>
      </c>
      <c r="E112" s="473" t="s">
        <v>643</v>
      </c>
      <c r="G112" s="425" t="str">
        <f t="shared" ref="G112:G175" si="4">D112&amp;E112&amp;C112</f>
        <v>7900Midi PlusInk 1290 Blk To Blu 10 X 500Ml</v>
      </c>
      <c r="N112" s="3">
        <v>95</v>
      </c>
      <c r="O112" s="158">
        <v>129</v>
      </c>
      <c r="P112" s="472" t="s">
        <v>598</v>
      </c>
      <c r="Q112" s="3" t="s">
        <v>320</v>
      </c>
      <c r="R112" s="259" t="s">
        <v>644</v>
      </c>
      <c r="S112" s="196" t="s">
        <v>329</v>
      </c>
      <c r="T112" s="98" t="str">
        <f t="shared" si="3"/>
        <v>7900 SolverMidi Mk7 Srra 2M</v>
      </c>
    </row>
    <row r="113" spans="2:20" ht="13.5" thickBot="1">
      <c r="B113" s="158">
        <v>96</v>
      </c>
      <c r="C113" s="472" t="s">
        <v>596</v>
      </c>
      <c r="D113" s="478" t="s">
        <v>316</v>
      </c>
      <c r="E113" s="473" t="s">
        <v>643</v>
      </c>
      <c r="G113" s="425" t="str">
        <f t="shared" si="4"/>
        <v>7900 SpectrumMidi PlusInk 1290 Blk To Blu 10 X 500Ml</v>
      </c>
      <c r="N113" s="3">
        <v>96</v>
      </c>
      <c r="O113" s="158">
        <v>129</v>
      </c>
      <c r="P113" s="472" t="s">
        <v>598</v>
      </c>
      <c r="Q113" s="3" t="s">
        <v>320</v>
      </c>
      <c r="R113" s="259" t="s">
        <v>644</v>
      </c>
      <c r="S113" s="373" t="s">
        <v>330</v>
      </c>
      <c r="T113" s="98" t="str">
        <f t="shared" si="3"/>
        <v>7900 SolverMidi Mk7 Srra 4M</v>
      </c>
    </row>
    <row r="114" spans="2:20">
      <c r="B114" s="158">
        <v>97</v>
      </c>
      <c r="C114" s="472" t="s">
        <v>596</v>
      </c>
      <c r="D114" s="491">
        <v>4900</v>
      </c>
      <c r="E114" s="491" t="s">
        <v>381</v>
      </c>
      <c r="G114" s="425" t="str">
        <f t="shared" si="4"/>
        <v>4900Ultima AInk 1290 Blk To Blu 10 X 500Ml</v>
      </c>
      <c r="N114" s="3">
        <v>97</v>
      </c>
      <c r="O114" s="158">
        <v>134</v>
      </c>
      <c r="P114" s="472" t="s">
        <v>599</v>
      </c>
      <c r="Q114" s="3">
        <v>7900</v>
      </c>
      <c r="R114" s="259" t="s">
        <v>644</v>
      </c>
      <c r="S114" s="370" t="s">
        <v>325</v>
      </c>
      <c r="T114" s="98" t="str">
        <f t="shared" si="3"/>
        <v>7900Midi Mk7 2M</v>
      </c>
    </row>
    <row r="115" spans="2:20">
      <c r="B115" s="158">
        <v>98</v>
      </c>
      <c r="C115" s="472" t="s">
        <v>596</v>
      </c>
      <c r="D115" s="478" t="s">
        <v>391</v>
      </c>
      <c r="E115" s="478" t="s">
        <v>381</v>
      </c>
      <c r="G115" s="425" t="str">
        <f t="shared" si="4"/>
        <v>4900 DCUltima AInk 1290 Blk To Blu 10 X 500Ml</v>
      </c>
      <c r="N115" s="3">
        <v>98</v>
      </c>
      <c r="O115" s="158">
        <v>134</v>
      </c>
      <c r="P115" s="472" t="s">
        <v>599</v>
      </c>
      <c r="Q115" s="3">
        <v>7900</v>
      </c>
      <c r="R115" s="259" t="s">
        <v>644</v>
      </c>
      <c r="S115" s="196" t="s">
        <v>326</v>
      </c>
      <c r="T115" s="98" t="str">
        <f t="shared" si="3"/>
        <v>7900Midi Mk7 2M R/A</v>
      </c>
    </row>
    <row r="116" spans="2:20">
      <c r="B116" s="158">
        <v>99</v>
      </c>
      <c r="C116" s="472" t="s">
        <v>596</v>
      </c>
      <c r="D116" s="478" t="s">
        <v>646</v>
      </c>
      <c r="E116" s="478" t="s">
        <v>381</v>
      </c>
      <c r="G116" s="425" t="str">
        <f t="shared" si="4"/>
        <v>4900 BCUltima AInk 1290 Blk To Blu 10 X 500Ml</v>
      </c>
      <c r="N116" s="3">
        <v>99</v>
      </c>
      <c r="O116" s="158">
        <v>134</v>
      </c>
      <c r="P116" s="472" t="s">
        <v>599</v>
      </c>
      <c r="Q116" s="3">
        <v>7900</v>
      </c>
      <c r="R116" s="259" t="s">
        <v>644</v>
      </c>
      <c r="S116" s="196" t="s">
        <v>327</v>
      </c>
      <c r="T116" s="98" t="str">
        <f t="shared" si="3"/>
        <v>7900Midi Mk7 4M</v>
      </c>
    </row>
    <row r="117" spans="2:20">
      <c r="B117" s="158">
        <v>100</v>
      </c>
      <c r="C117" s="472" t="s">
        <v>596</v>
      </c>
      <c r="D117" s="478">
        <v>7900</v>
      </c>
      <c r="E117" s="478" t="s">
        <v>381</v>
      </c>
      <c r="G117" s="425" t="str">
        <f t="shared" si="4"/>
        <v>7900Ultima AInk 1290 Blk To Blu 10 X 500Ml</v>
      </c>
      <c r="N117" s="3">
        <v>100</v>
      </c>
      <c r="O117" s="158">
        <v>134</v>
      </c>
      <c r="P117" s="472" t="s">
        <v>599</v>
      </c>
      <c r="Q117" s="3">
        <v>7900</v>
      </c>
      <c r="R117" s="259" t="s">
        <v>644</v>
      </c>
      <c r="S117" s="196" t="s">
        <v>328</v>
      </c>
      <c r="T117" s="98" t="str">
        <f t="shared" si="3"/>
        <v>7900Midi Mk7 4M R/A</v>
      </c>
    </row>
    <row r="118" spans="2:20">
      <c r="B118" s="158">
        <v>101</v>
      </c>
      <c r="C118" s="472" t="s">
        <v>596</v>
      </c>
      <c r="D118" s="478" t="s">
        <v>647</v>
      </c>
      <c r="E118" s="478" t="s">
        <v>381</v>
      </c>
      <c r="G118" s="425" t="str">
        <f t="shared" si="4"/>
        <v>7900 BCUltima AInk 1290 Blk To Blu 10 X 500Ml</v>
      </c>
      <c r="N118" s="3">
        <v>101</v>
      </c>
      <c r="O118" s="158">
        <v>134</v>
      </c>
      <c r="P118" s="472" t="s">
        <v>599</v>
      </c>
      <c r="Q118" s="3">
        <v>7900</v>
      </c>
      <c r="R118" s="259" t="s">
        <v>644</v>
      </c>
      <c r="S118" s="196" t="s">
        <v>329</v>
      </c>
      <c r="T118" s="98" t="str">
        <f t="shared" si="3"/>
        <v>7900Midi Mk7 Srra 2M</v>
      </c>
    </row>
    <row r="119" spans="2:20" ht="13.5" thickBot="1">
      <c r="B119" s="158">
        <v>102</v>
      </c>
      <c r="C119" s="472" t="s">
        <v>596</v>
      </c>
      <c r="D119" s="478">
        <v>7900</v>
      </c>
      <c r="E119" s="478" t="s">
        <v>648</v>
      </c>
      <c r="G119" s="425" t="str">
        <f t="shared" si="4"/>
        <v>7900Midi AInk 1290 Blk To Blu 10 X 500Ml</v>
      </c>
      <c r="N119" s="3">
        <v>102</v>
      </c>
      <c r="O119" s="158">
        <v>134</v>
      </c>
      <c r="P119" s="472" t="s">
        <v>599</v>
      </c>
      <c r="Q119" s="3">
        <v>7900</v>
      </c>
      <c r="R119" s="259" t="s">
        <v>644</v>
      </c>
      <c r="S119" s="373" t="s">
        <v>330</v>
      </c>
      <c r="T119" s="98" t="str">
        <f t="shared" si="3"/>
        <v>7900Midi Mk7 Srra 4M</v>
      </c>
    </row>
    <row r="120" spans="2:20">
      <c r="B120" s="158">
        <v>103</v>
      </c>
      <c r="C120" s="472" t="s">
        <v>596</v>
      </c>
      <c r="D120" s="478" t="s">
        <v>647</v>
      </c>
      <c r="E120" s="478" t="s">
        <v>648</v>
      </c>
      <c r="G120" s="425" t="str">
        <f t="shared" si="4"/>
        <v>7900 BCMidi AInk 1290 Blk To Blu 10 X 500Ml</v>
      </c>
      <c r="N120" s="3">
        <v>103</v>
      </c>
      <c r="O120" s="158">
        <v>141</v>
      </c>
      <c r="P120" s="472" t="s">
        <v>599</v>
      </c>
      <c r="Q120" s="3" t="s">
        <v>320</v>
      </c>
      <c r="R120" s="259" t="s">
        <v>644</v>
      </c>
      <c r="S120" s="370" t="s">
        <v>325</v>
      </c>
      <c r="T120" s="98" t="str">
        <f t="shared" si="3"/>
        <v>7900 SolverMidi Mk7 2M</v>
      </c>
    </row>
    <row r="121" spans="2:20">
      <c r="B121" s="158">
        <v>104</v>
      </c>
      <c r="C121" s="472" t="s">
        <v>596</v>
      </c>
      <c r="D121" s="478" t="s">
        <v>320</v>
      </c>
      <c r="E121" s="478" t="s">
        <v>381</v>
      </c>
      <c r="G121" s="425" t="str">
        <f t="shared" si="4"/>
        <v>7900 SolverUltima AInk 1290 Blk To Blu 10 X 500Ml</v>
      </c>
      <c r="N121" s="3">
        <v>104</v>
      </c>
      <c r="O121" s="158">
        <v>141</v>
      </c>
      <c r="P121" s="472" t="s">
        <v>599</v>
      </c>
      <c r="Q121" s="3" t="s">
        <v>320</v>
      </c>
      <c r="R121" s="259" t="s">
        <v>644</v>
      </c>
      <c r="S121" s="196" t="s">
        <v>326</v>
      </c>
      <c r="T121" s="98" t="str">
        <f t="shared" si="3"/>
        <v>7900 SolverMidi Mk7 2M R/A</v>
      </c>
    </row>
    <row r="122" spans="2:20" ht="13.5" thickBot="1">
      <c r="B122" s="497">
        <v>105</v>
      </c>
      <c r="C122" s="481" t="s">
        <v>596</v>
      </c>
      <c r="D122" s="483" t="s">
        <v>320</v>
      </c>
      <c r="E122" s="483" t="s">
        <v>648</v>
      </c>
      <c r="G122" s="425" t="str">
        <f t="shared" si="4"/>
        <v>7900 SolverMidi AInk 1290 Blk To Blu 10 X 500Ml</v>
      </c>
      <c r="N122" s="3">
        <v>105</v>
      </c>
      <c r="O122" s="158">
        <v>141</v>
      </c>
      <c r="P122" s="472" t="s">
        <v>599</v>
      </c>
      <c r="Q122" s="3" t="s">
        <v>320</v>
      </c>
      <c r="R122" s="259" t="s">
        <v>644</v>
      </c>
      <c r="S122" s="196" t="s">
        <v>327</v>
      </c>
      <c r="T122" s="98" t="str">
        <f t="shared" si="3"/>
        <v>7900 SolverMidi Mk7 4M</v>
      </c>
    </row>
    <row r="123" spans="2:20">
      <c r="B123" s="158">
        <v>106</v>
      </c>
      <c r="C123" s="472" t="s">
        <v>597</v>
      </c>
      <c r="D123" s="491">
        <v>4900</v>
      </c>
      <c r="E123" s="491" t="s">
        <v>317</v>
      </c>
      <c r="G123" s="425" t="str">
        <f t="shared" si="4"/>
        <v>4900UltimaInk 1405 Blk 10 X 500Ml</v>
      </c>
      <c r="N123" s="3">
        <v>106</v>
      </c>
      <c r="O123" s="158">
        <v>141</v>
      </c>
      <c r="P123" s="472" t="s">
        <v>599</v>
      </c>
      <c r="Q123" s="3" t="s">
        <v>320</v>
      </c>
      <c r="R123" s="259" t="s">
        <v>644</v>
      </c>
      <c r="S123" s="196" t="s">
        <v>328</v>
      </c>
      <c r="T123" s="98" t="str">
        <f t="shared" si="3"/>
        <v>7900 SolverMidi Mk7 4M R/A</v>
      </c>
    </row>
    <row r="124" spans="2:20">
      <c r="B124" s="158">
        <v>107</v>
      </c>
      <c r="C124" s="472" t="s">
        <v>597</v>
      </c>
      <c r="D124" s="196" t="s">
        <v>391</v>
      </c>
      <c r="E124" s="478" t="s">
        <v>317</v>
      </c>
      <c r="G124" s="425" t="str">
        <f t="shared" si="4"/>
        <v>4900 DCUltimaInk 1405 Blk 10 X 500Ml</v>
      </c>
      <c r="N124" s="3">
        <v>107</v>
      </c>
      <c r="O124" s="158">
        <v>141</v>
      </c>
      <c r="P124" s="472" t="s">
        <v>599</v>
      </c>
      <c r="Q124" s="3" t="s">
        <v>320</v>
      </c>
      <c r="R124" s="259" t="s">
        <v>644</v>
      </c>
      <c r="S124" s="196" t="s">
        <v>329</v>
      </c>
      <c r="T124" s="98" t="str">
        <f t="shared" si="3"/>
        <v>7900 SolverMidi Mk7 Srra 2M</v>
      </c>
    </row>
    <row r="125" spans="2:20" ht="13.5" thickBot="1">
      <c r="B125" s="158">
        <v>108</v>
      </c>
      <c r="C125" s="472" t="s">
        <v>597</v>
      </c>
      <c r="D125" s="192">
        <v>7900</v>
      </c>
      <c r="E125" s="478" t="s">
        <v>317</v>
      </c>
      <c r="G125" s="425" t="str">
        <f t="shared" si="4"/>
        <v>7900UltimaInk 1405 Blk 10 X 500Ml</v>
      </c>
      <c r="N125" s="3">
        <v>108</v>
      </c>
      <c r="O125" s="158">
        <v>141</v>
      </c>
      <c r="P125" s="472" t="s">
        <v>599</v>
      </c>
      <c r="Q125" s="3" t="s">
        <v>320</v>
      </c>
      <c r="R125" s="259" t="s">
        <v>644</v>
      </c>
      <c r="S125" s="373" t="s">
        <v>330</v>
      </c>
      <c r="T125" s="98" t="str">
        <f t="shared" si="3"/>
        <v>7900 SolverMidi Mk7 Srra 4M</v>
      </c>
    </row>
    <row r="126" spans="2:20">
      <c r="B126" s="158">
        <v>109</v>
      </c>
      <c r="C126" s="472" t="s">
        <v>597</v>
      </c>
      <c r="D126" s="192">
        <v>7900</v>
      </c>
      <c r="E126" s="478" t="s">
        <v>644</v>
      </c>
      <c r="G126" s="425" t="str">
        <f t="shared" si="4"/>
        <v>7900MidiInk 1405 Blk 10 X 500Ml</v>
      </c>
      <c r="N126" s="3">
        <v>109</v>
      </c>
      <c r="O126" s="158">
        <v>157</v>
      </c>
      <c r="P126" s="472" t="s">
        <v>602</v>
      </c>
      <c r="Q126" s="3">
        <v>7900</v>
      </c>
      <c r="R126" s="259" t="s">
        <v>644</v>
      </c>
      <c r="S126" s="370" t="s">
        <v>325</v>
      </c>
      <c r="T126" s="98" t="str">
        <f t="shared" si="3"/>
        <v>7900Midi Mk7 2M</v>
      </c>
    </row>
    <row r="127" spans="2:20">
      <c r="B127" s="158">
        <v>110</v>
      </c>
      <c r="C127" s="472" t="s">
        <v>597</v>
      </c>
      <c r="D127" s="478">
        <v>4900</v>
      </c>
      <c r="E127" s="478" t="s">
        <v>379</v>
      </c>
      <c r="G127" s="425" t="str">
        <f t="shared" si="4"/>
        <v>4900Ultima PlusInk 1405 Blk 10 X 500Ml</v>
      </c>
      <c r="N127" s="3">
        <v>110</v>
      </c>
      <c r="O127" s="158">
        <v>157</v>
      </c>
      <c r="P127" s="472" t="s">
        <v>602</v>
      </c>
      <c r="Q127" s="3">
        <v>7900</v>
      </c>
      <c r="R127" s="259" t="s">
        <v>644</v>
      </c>
      <c r="S127" s="196" t="s">
        <v>326</v>
      </c>
      <c r="T127" s="98" t="str">
        <f t="shared" si="3"/>
        <v>7900Midi Mk7 2M R/A</v>
      </c>
    </row>
    <row r="128" spans="2:20">
      <c r="B128" s="158">
        <v>111</v>
      </c>
      <c r="C128" s="472" t="s">
        <v>597</v>
      </c>
      <c r="D128" s="196" t="s">
        <v>391</v>
      </c>
      <c r="E128" s="478" t="s">
        <v>379</v>
      </c>
      <c r="G128" s="425" t="str">
        <f t="shared" si="4"/>
        <v>4900 DCUltima PlusInk 1405 Blk 10 X 500Ml</v>
      </c>
      <c r="N128" s="3">
        <v>111</v>
      </c>
      <c r="O128" s="158">
        <v>157</v>
      </c>
      <c r="P128" s="472" t="s">
        <v>602</v>
      </c>
      <c r="Q128" s="3">
        <v>7900</v>
      </c>
      <c r="R128" s="259" t="s">
        <v>644</v>
      </c>
      <c r="S128" s="196" t="s">
        <v>327</v>
      </c>
      <c r="T128" s="98" t="str">
        <f t="shared" si="3"/>
        <v>7900Midi Mk7 4M</v>
      </c>
    </row>
    <row r="129" spans="2:20">
      <c r="B129" s="158">
        <v>112</v>
      </c>
      <c r="C129" s="472" t="s">
        <v>597</v>
      </c>
      <c r="D129" s="192">
        <v>7900</v>
      </c>
      <c r="E129" s="478" t="s">
        <v>379</v>
      </c>
      <c r="G129" s="425" t="str">
        <f t="shared" si="4"/>
        <v>7900Ultima PlusInk 1405 Blk 10 X 500Ml</v>
      </c>
      <c r="N129" s="3">
        <v>112</v>
      </c>
      <c r="O129" s="158">
        <v>157</v>
      </c>
      <c r="P129" s="472" t="s">
        <v>602</v>
      </c>
      <c r="Q129" s="3">
        <v>7900</v>
      </c>
      <c r="R129" s="259" t="s">
        <v>644</v>
      </c>
      <c r="S129" s="196" t="s">
        <v>328</v>
      </c>
      <c r="T129" s="98" t="str">
        <f t="shared" si="3"/>
        <v>7900Midi Mk7 4M R/A</v>
      </c>
    </row>
    <row r="130" spans="2:20">
      <c r="B130" s="158">
        <v>113</v>
      </c>
      <c r="C130" s="472" t="s">
        <v>597</v>
      </c>
      <c r="D130" s="196" t="s">
        <v>316</v>
      </c>
      <c r="E130" s="478" t="s">
        <v>379</v>
      </c>
      <c r="G130" s="425" t="str">
        <f t="shared" si="4"/>
        <v>7900 SpectrumUltima PlusInk 1405 Blk 10 X 500Ml</v>
      </c>
      <c r="N130" s="3">
        <v>113</v>
      </c>
      <c r="O130" s="158">
        <v>157</v>
      </c>
      <c r="P130" s="472" t="s">
        <v>602</v>
      </c>
      <c r="Q130" s="3">
        <v>7900</v>
      </c>
      <c r="R130" s="259" t="s">
        <v>644</v>
      </c>
      <c r="S130" s="196" t="s">
        <v>329</v>
      </c>
      <c r="T130" s="98" t="str">
        <f t="shared" si="3"/>
        <v>7900Midi Mk7 Srra 2M</v>
      </c>
    </row>
    <row r="131" spans="2:20" ht="13.5" thickBot="1">
      <c r="B131" s="158">
        <v>114</v>
      </c>
      <c r="C131" s="472" t="s">
        <v>597</v>
      </c>
      <c r="D131" s="192">
        <v>7900</v>
      </c>
      <c r="E131" s="478" t="s">
        <v>643</v>
      </c>
      <c r="G131" s="425" t="str">
        <f t="shared" si="4"/>
        <v>7900Midi PlusInk 1405 Blk 10 X 500Ml</v>
      </c>
      <c r="N131" s="3">
        <v>114</v>
      </c>
      <c r="O131" s="158">
        <v>157</v>
      </c>
      <c r="P131" s="472" t="s">
        <v>602</v>
      </c>
      <c r="Q131" s="3">
        <v>7900</v>
      </c>
      <c r="R131" s="259" t="s">
        <v>644</v>
      </c>
      <c r="S131" s="373" t="s">
        <v>330</v>
      </c>
      <c r="T131" s="98" t="str">
        <f t="shared" si="3"/>
        <v>7900Midi Mk7 Srra 4M</v>
      </c>
    </row>
    <row r="132" spans="2:20">
      <c r="B132" s="158">
        <v>115</v>
      </c>
      <c r="C132" s="472" t="s">
        <v>597</v>
      </c>
      <c r="D132" s="196" t="s">
        <v>316</v>
      </c>
      <c r="E132" s="478" t="s">
        <v>643</v>
      </c>
      <c r="G132" s="425" t="str">
        <f t="shared" si="4"/>
        <v>7900 SpectrumMidi PlusInk 1405 Blk 10 X 500Ml</v>
      </c>
      <c r="N132" s="3">
        <v>115</v>
      </c>
      <c r="O132" s="158">
        <v>58</v>
      </c>
      <c r="P132" s="472" t="s">
        <v>592</v>
      </c>
      <c r="Q132" s="3">
        <v>7900</v>
      </c>
      <c r="R132" s="259" t="s">
        <v>648</v>
      </c>
      <c r="S132" s="370" t="s">
        <v>335</v>
      </c>
      <c r="T132" s="98" t="str">
        <f t="shared" si="3"/>
        <v>7900Midi A Mk7 2M</v>
      </c>
    </row>
    <row r="133" spans="2:20">
      <c r="B133" s="158">
        <v>116</v>
      </c>
      <c r="C133" s="472" t="s">
        <v>597</v>
      </c>
      <c r="D133" s="196" t="s">
        <v>391</v>
      </c>
      <c r="E133" s="478" t="s">
        <v>383</v>
      </c>
      <c r="G133" s="425" t="str">
        <f t="shared" si="4"/>
        <v>4900 DCMiniInk 1405 Blk 10 X 500Ml</v>
      </c>
      <c r="N133" s="3">
        <v>116</v>
      </c>
      <c r="O133" s="158">
        <v>58</v>
      </c>
      <c r="P133" s="472" t="s">
        <v>592</v>
      </c>
      <c r="Q133" s="3">
        <v>7900</v>
      </c>
      <c r="R133" s="259" t="s">
        <v>648</v>
      </c>
      <c r="S133" s="196" t="s">
        <v>336</v>
      </c>
      <c r="T133" s="98" t="str">
        <f t="shared" si="3"/>
        <v>7900Midi A Mk7 2M R/A</v>
      </c>
    </row>
    <row r="134" spans="2:20">
      <c r="B134" s="158">
        <v>117</v>
      </c>
      <c r="C134" s="472" t="s">
        <v>597</v>
      </c>
      <c r="D134" s="196" t="s">
        <v>319</v>
      </c>
      <c r="E134" s="478" t="s">
        <v>383</v>
      </c>
      <c r="G134" s="425" t="str">
        <f t="shared" si="4"/>
        <v>7900 SwiftMiniInk 1405 Blk 10 X 500Ml</v>
      </c>
      <c r="N134" s="3">
        <v>117</v>
      </c>
      <c r="O134" s="158">
        <v>58</v>
      </c>
      <c r="P134" s="472" t="s">
        <v>592</v>
      </c>
      <c r="Q134" s="3">
        <v>7900</v>
      </c>
      <c r="R134" s="259" t="s">
        <v>648</v>
      </c>
      <c r="S134" s="196" t="s">
        <v>337</v>
      </c>
      <c r="T134" s="98" t="str">
        <f t="shared" si="3"/>
        <v>7900Midi A Mk7 4M</v>
      </c>
    </row>
    <row r="135" spans="2:20" ht="13.5" thickBot="1">
      <c r="B135" s="497">
        <v>118</v>
      </c>
      <c r="C135" s="481" t="s">
        <v>597</v>
      </c>
      <c r="D135" s="493">
        <v>7900</v>
      </c>
      <c r="E135" s="483" t="s">
        <v>649</v>
      </c>
      <c r="G135" s="425" t="str">
        <f t="shared" si="4"/>
        <v>7900MicroInk 1405 Blk 10 X 500Ml</v>
      </c>
      <c r="N135" s="3">
        <v>118</v>
      </c>
      <c r="O135" s="158">
        <v>58</v>
      </c>
      <c r="P135" s="472" t="s">
        <v>592</v>
      </c>
      <c r="Q135" s="3">
        <v>7900</v>
      </c>
      <c r="R135" s="259" t="s">
        <v>648</v>
      </c>
      <c r="S135" s="373" t="s">
        <v>338</v>
      </c>
      <c r="T135" s="98" t="str">
        <f t="shared" si="3"/>
        <v>7900Midi A Mk7 4M R/A</v>
      </c>
    </row>
    <row r="136" spans="2:20">
      <c r="B136" s="498">
        <v>119</v>
      </c>
      <c r="C136" s="479" t="s">
        <v>598</v>
      </c>
      <c r="D136" s="480">
        <v>4900</v>
      </c>
      <c r="E136" s="491" t="s">
        <v>317</v>
      </c>
      <c r="G136" s="425" t="str">
        <f t="shared" si="4"/>
        <v>4900UltimaInk 3103 Black 10 X 500Ml</v>
      </c>
      <c r="N136" s="3">
        <v>119</v>
      </c>
      <c r="O136" s="158">
        <v>59</v>
      </c>
      <c r="P136" s="472" t="s">
        <v>592</v>
      </c>
      <c r="Q136" s="3" t="s">
        <v>647</v>
      </c>
      <c r="R136" s="259" t="s">
        <v>648</v>
      </c>
      <c r="S136" s="370" t="s">
        <v>335</v>
      </c>
      <c r="T136" s="98" t="str">
        <f t="shared" si="3"/>
        <v>7900 BCMidi A Mk7 2M</v>
      </c>
    </row>
    <row r="137" spans="2:20">
      <c r="B137" s="158">
        <v>120</v>
      </c>
      <c r="C137" s="472" t="s">
        <v>598</v>
      </c>
      <c r="D137" s="196" t="s">
        <v>391</v>
      </c>
      <c r="E137" s="478" t="s">
        <v>317</v>
      </c>
      <c r="G137" s="425" t="str">
        <f t="shared" si="4"/>
        <v>4900 DCUltimaInk 3103 Black 10 X 500Ml</v>
      </c>
      <c r="N137" s="3">
        <v>120</v>
      </c>
      <c r="O137" s="158">
        <v>59</v>
      </c>
      <c r="P137" s="472" t="s">
        <v>592</v>
      </c>
      <c r="Q137" s="3" t="s">
        <v>647</v>
      </c>
      <c r="R137" s="259" t="s">
        <v>648</v>
      </c>
      <c r="S137" s="196" t="s">
        <v>336</v>
      </c>
      <c r="T137" s="98" t="str">
        <f t="shared" si="3"/>
        <v>7900 BCMidi A Mk7 2M R/A</v>
      </c>
    </row>
    <row r="138" spans="2:20">
      <c r="B138" s="158">
        <v>121</v>
      </c>
      <c r="C138" s="472" t="s">
        <v>598</v>
      </c>
      <c r="D138" s="192">
        <v>7900</v>
      </c>
      <c r="E138" s="478" t="s">
        <v>317</v>
      </c>
      <c r="G138" s="425" t="str">
        <f t="shared" si="4"/>
        <v>7900UltimaInk 3103 Black 10 X 500Ml</v>
      </c>
      <c r="N138" s="3">
        <v>121</v>
      </c>
      <c r="O138" s="158">
        <v>59</v>
      </c>
      <c r="P138" s="472" t="s">
        <v>592</v>
      </c>
      <c r="Q138" s="3" t="s">
        <v>647</v>
      </c>
      <c r="R138" s="259" t="s">
        <v>648</v>
      </c>
      <c r="S138" s="196" t="s">
        <v>337</v>
      </c>
      <c r="T138" s="98" t="str">
        <f t="shared" si="3"/>
        <v>7900 BCMidi A Mk7 4M</v>
      </c>
    </row>
    <row r="139" spans="2:20" ht="13.5" thickBot="1">
      <c r="B139" s="158">
        <v>122</v>
      </c>
      <c r="C139" s="472" t="s">
        <v>598</v>
      </c>
      <c r="D139" s="192">
        <v>7900</v>
      </c>
      <c r="E139" s="478" t="s">
        <v>644</v>
      </c>
      <c r="G139" s="425" t="str">
        <f t="shared" si="4"/>
        <v>7900MidiInk 3103 Black 10 X 500Ml</v>
      </c>
      <c r="N139" s="3">
        <v>122</v>
      </c>
      <c r="O139" s="158">
        <v>59</v>
      </c>
      <c r="P139" s="472" t="s">
        <v>592</v>
      </c>
      <c r="Q139" s="3" t="s">
        <v>647</v>
      </c>
      <c r="R139" s="259" t="s">
        <v>648</v>
      </c>
      <c r="S139" s="373" t="s">
        <v>338</v>
      </c>
      <c r="T139" s="98" t="str">
        <f t="shared" si="3"/>
        <v>7900 BCMidi A Mk7 4M R/A</v>
      </c>
    </row>
    <row r="140" spans="2:20">
      <c r="B140" s="158">
        <v>123</v>
      </c>
      <c r="C140" s="472" t="s">
        <v>598</v>
      </c>
      <c r="D140" s="192">
        <v>4900</v>
      </c>
      <c r="E140" s="478" t="s">
        <v>379</v>
      </c>
      <c r="G140" s="425" t="str">
        <f t="shared" si="4"/>
        <v>4900Ultima PlusInk 3103 Black 10 X 500Ml</v>
      </c>
      <c r="N140" s="3">
        <v>123</v>
      </c>
      <c r="O140" s="158">
        <v>102</v>
      </c>
      <c r="P140" s="472" t="s">
        <v>596</v>
      </c>
      <c r="Q140" s="3">
        <v>7900</v>
      </c>
      <c r="R140" s="259" t="s">
        <v>648</v>
      </c>
      <c r="S140" s="370" t="s">
        <v>335</v>
      </c>
      <c r="T140" s="98" t="str">
        <f t="shared" si="3"/>
        <v>7900Midi A Mk7 2M</v>
      </c>
    </row>
    <row r="141" spans="2:20">
      <c r="B141" s="158">
        <v>124</v>
      </c>
      <c r="C141" s="472" t="s">
        <v>598</v>
      </c>
      <c r="D141" s="196" t="s">
        <v>391</v>
      </c>
      <c r="E141" s="478" t="s">
        <v>379</v>
      </c>
      <c r="G141" s="425" t="str">
        <f t="shared" si="4"/>
        <v>4900 DCUltima PlusInk 3103 Black 10 X 500Ml</v>
      </c>
      <c r="N141" s="3">
        <v>124</v>
      </c>
      <c r="O141" s="158">
        <v>102</v>
      </c>
      <c r="P141" s="472" t="s">
        <v>596</v>
      </c>
      <c r="Q141" s="3">
        <v>7900</v>
      </c>
      <c r="R141" s="259" t="s">
        <v>648</v>
      </c>
      <c r="S141" s="196" t="s">
        <v>336</v>
      </c>
      <c r="T141" s="98" t="str">
        <f t="shared" si="3"/>
        <v>7900Midi A Mk7 2M R/A</v>
      </c>
    </row>
    <row r="142" spans="2:20">
      <c r="B142" s="158">
        <v>125</v>
      </c>
      <c r="C142" s="472" t="s">
        <v>598</v>
      </c>
      <c r="D142" s="192">
        <v>7900</v>
      </c>
      <c r="E142" s="478" t="s">
        <v>379</v>
      </c>
      <c r="G142" s="425" t="str">
        <f t="shared" si="4"/>
        <v>7900Ultima PlusInk 3103 Black 10 X 500Ml</v>
      </c>
      <c r="N142" s="3">
        <v>125</v>
      </c>
      <c r="O142" s="158">
        <v>102</v>
      </c>
      <c r="P142" s="472" t="s">
        <v>596</v>
      </c>
      <c r="Q142" s="3">
        <v>7900</v>
      </c>
      <c r="R142" s="259" t="s">
        <v>648</v>
      </c>
      <c r="S142" s="196" t="s">
        <v>337</v>
      </c>
      <c r="T142" s="98" t="str">
        <f t="shared" si="3"/>
        <v>7900Midi A Mk7 4M</v>
      </c>
    </row>
    <row r="143" spans="2:20" ht="13.5" thickBot="1">
      <c r="B143" s="158">
        <v>126</v>
      </c>
      <c r="C143" s="472" t="s">
        <v>598</v>
      </c>
      <c r="D143" s="196" t="s">
        <v>316</v>
      </c>
      <c r="E143" s="478" t="s">
        <v>379</v>
      </c>
      <c r="G143" s="425" t="str">
        <f t="shared" si="4"/>
        <v>7900 SpectrumUltima PlusInk 3103 Black 10 X 500Ml</v>
      </c>
      <c r="N143" s="3">
        <v>126</v>
      </c>
      <c r="O143" s="158">
        <v>102</v>
      </c>
      <c r="P143" s="472" t="s">
        <v>596</v>
      </c>
      <c r="Q143" s="3">
        <v>7900</v>
      </c>
      <c r="R143" s="259" t="s">
        <v>648</v>
      </c>
      <c r="S143" s="373" t="s">
        <v>338</v>
      </c>
      <c r="T143" s="98" t="str">
        <f t="shared" si="3"/>
        <v>7900Midi A Mk7 4M R/A</v>
      </c>
    </row>
    <row r="144" spans="2:20">
      <c r="B144" s="158">
        <v>127</v>
      </c>
      <c r="C144" s="472" t="s">
        <v>598</v>
      </c>
      <c r="D144" s="192">
        <v>7900</v>
      </c>
      <c r="E144" s="478" t="s">
        <v>643</v>
      </c>
      <c r="G144" s="425" t="str">
        <f t="shared" si="4"/>
        <v>7900Midi PlusInk 3103 Black 10 X 500Ml</v>
      </c>
      <c r="N144" s="3">
        <v>127</v>
      </c>
      <c r="O144" s="158">
        <v>103</v>
      </c>
      <c r="P144" s="472" t="s">
        <v>596</v>
      </c>
      <c r="Q144" s="3" t="s">
        <v>647</v>
      </c>
      <c r="R144" s="259" t="s">
        <v>648</v>
      </c>
      <c r="S144" s="370" t="s">
        <v>335</v>
      </c>
      <c r="T144" s="98" t="str">
        <f t="shared" si="3"/>
        <v>7900 BCMidi A Mk7 2M</v>
      </c>
    </row>
    <row r="145" spans="2:20">
      <c r="B145" s="158">
        <v>128</v>
      </c>
      <c r="C145" s="472" t="s">
        <v>598</v>
      </c>
      <c r="D145" s="196" t="s">
        <v>316</v>
      </c>
      <c r="E145" s="478" t="s">
        <v>643</v>
      </c>
      <c r="G145" s="425" t="str">
        <f t="shared" si="4"/>
        <v>7900 SpectrumMidi PlusInk 3103 Black 10 X 500Ml</v>
      </c>
      <c r="N145" s="3">
        <v>128</v>
      </c>
      <c r="O145" s="158">
        <v>103</v>
      </c>
      <c r="P145" s="472" t="s">
        <v>596</v>
      </c>
      <c r="Q145" s="3" t="s">
        <v>647</v>
      </c>
      <c r="R145" s="259" t="s">
        <v>648</v>
      </c>
      <c r="S145" s="196" t="s">
        <v>336</v>
      </c>
      <c r="T145" s="98" t="str">
        <f t="shared" si="3"/>
        <v>7900 BCMidi A Mk7 2M R/A</v>
      </c>
    </row>
    <row r="146" spans="2:20">
      <c r="B146" s="158">
        <v>129</v>
      </c>
      <c r="C146" s="472" t="s">
        <v>598</v>
      </c>
      <c r="D146" s="478" t="s">
        <v>320</v>
      </c>
      <c r="E146" s="478" t="s">
        <v>644</v>
      </c>
      <c r="G146" s="425" t="str">
        <f t="shared" si="4"/>
        <v>7900 SolverMidiInk 3103 Black 10 X 500Ml</v>
      </c>
      <c r="N146" s="3">
        <v>129</v>
      </c>
      <c r="O146" s="158">
        <v>103</v>
      </c>
      <c r="P146" s="472" t="s">
        <v>596</v>
      </c>
      <c r="Q146" s="3" t="s">
        <v>647</v>
      </c>
      <c r="R146" s="259" t="s">
        <v>648</v>
      </c>
      <c r="S146" s="196" t="s">
        <v>337</v>
      </c>
      <c r="T146" s="98" t="str">
        <f t="shared" si="3"/>
        <v>7900 BCMidi A Mk7 4M</v>
      </c>
    </row>
    <row r="147" spans="2:20" ht="13.5" thickBot="1">
      <c r="B147" s="497">
        <v>130</v>
      </c>
      <c r="C147" s="481" t="s">
        <v>598</v>
      </c>
      <c r="D147" s="483" t="s">
        <v>320</v>
      </c>
      <c r="E147" s="483" t="s">
        <v>317</v>
      </c>
      <c r="G147" s="425" t="str">
        <f t="shared" si="4"/>
        <v>7900 SolverUltimaInk 3103 Black 10 X 500Ml</v>
      </c>
      <c r="N147" s="3">
        <v>130</v>
      </c>
      <c r="O147" s="158">
        <v>103</v>
      </c>
      <c r="P147" s="472" t="s">
        <v>596</v>
      </c>
      <c r="Q147" s="3" t="s">
        <v>647</v>
      </c>
      <c r="R147" s="259" t="s">
        <v>648</v>
      </c>
      <c r="S147" s="373" t="s">
        <v>338</v>
      </c>
      <c r="T147" s="98" t="str">
        <f t="shared" ref="T147:T210" si="5">Q147&amp;S147</f>
        <v>7900 BCMidi A Mk7 4M R/A</v>
      </c>
    </row>
    <row r="148" spans="2:20">
      <c r="B148" s="158">
        <v>131</v>
      </c>
      <c r="C148" s="472" t="s">
        <v>599</v>
      </c>
      <c r="D148" s="480">
        <v>4900</v>
      </c>
      <c r="E148" s="491" t="s">
        <v>317</v>
      </c>
      <c r="G148" s="425" t="str">
        <f t="shared" si="4"/>
        <v>4900UltimaInk 3123 Blu Easypack 2X500Ml</v>
      </c>
      <c r="N148" s="3">
        <v>131</v>
      </c>
      <c r="O148" s="158">
        <v>105</v>
      </c>
      <c r="P148" s="472" t="s">
        <v>596</v>
      </c>
      <c r="Q148" s="3" t="s">
        <v>320</v>
      </c>
      <c r="R148" s="259" t="s">
        <v>648</v>
      </c>
      <c r="S148" s="370" t="s">
        <v>335</v>
      </c>
      <c r="T148" s="98" t="str">
        <f t="shared" si="5"/>
        <v>7900 SolverMidi A Mk7 2M</v>
      </c>
    </row>
    <row r="149" spans="2:20">
      <c r="B149" s="158">
        <v>132</v>
      </c>
      <c r="C149" s="472" t="s">
        <v>599</v>
      </c>
      <c r="D149" s="196" t="s">
        <v>391</v>
      </c>
      <c r="E149" s="478" t="s">
        <v>317</v>
      </c>
      <c r="G149" s="425" t="str">
        <f t="shared" si="4"/>
        <v>4900 DCUltimaInk 3123 Blu Easypack 2X500Ml</v>
      </c>
      <c r="N149" s="3">
        <v>132</v>
      </c>
      <c r="O149" s="158">
        <v>105</v>
      </c>
      <c r="P149" s="472" t="s">
        <v>596</v>
      </c>
      <c r="Q149" s="3" t="s">
        <v>320</v>
      </c>
      <c r="R149" s="259" t="s">
        <v>648</v>
      </c>
      <c r="S149" s="196" t="s">
        <v>336</v>
      </c>
      <c r="T149" s="98" t="str">
        <f t="shared" si="5"/>
        <v>7900 SolverMidi A Mk7 2M R/A</v>
      </c>
    </row>
    <row r="150" spans="2:20">
      <c r="B150" s="158">
        <v>133</v>
      </c>
      <c r="C150" s="472" t="s">
        <v>599</v>
      </c>
      <c r="D150" s="192">
        <v>7900</v>
      </c>
      <c r="E150" s="478" t="s">
        <v>317</v>
      </c>
      <c r="G150" s="425" t="str">
        <f t="shared" si="4"/>
        <v>7900UltimaInk 3123 Blu Easypack 2X500Ml</v>
      </c>
      <c r="N150" s="3">
        <v>133</v>
      </c>
      <c r="O150" s="158">
        <v>105</v>
      </c>
      <c r="P150" s="472" t="s">
        <v>596</v>
      </c>
      <c r="Q150" s="3" t="s">
        <v>320</v>
      </c>
      <c r="R150" s="259" t="s">
        <v>648</v>
      </c>
      <c r="S150" s="196" t="s">
        <v>337</v>
      </c>
      <c r="T150" s="98" t="str">
        <f t="shared" si="5"/>
        <v>7900 SolverMidi A Mk7 4M</v>
      </c>
    </row>
    <row r="151" spans="2:20" ht="13.5" thickBot="1">
      <c r="B151" s="158">
        <v>134</v>
      </c>
      <c r="C151" s="472" t="s">
        <v>599</v>
      </c>
      <c r="D151" s="192">
        <v>7900</v>
      </c>
      <c r="E151" s="478" t="s">
        <v>644</v>
      </c>
      <c r="G151" s="425" t="str">
        <f t="shared" si="4"/>
        <v>7900MidiInk 3123 Blu Easypack 2X500Ml</v>
      </c>
      <c r="N151" s="3">
        <v>134</v>
      </c>
      <c r="O151" s="158">
        <v>105</v>
      </c>
      <c r="P151" s="472" t="s">
        <v>596</v>
      </c>
      <c r="Q151" s="3" t="s">
        <v>320</v>
      </c>
      <c r="R151" s="259" t="s">
        <v>648</v>
      </c>
      <c r="S151" s="373" t="s">
        <v>338</v>
      </c>
      <c r="T151" s="98" t="str">
        <f t="shared" si="5"/>
        <v>7900 SolverMidi A Mk7 4M R/A</v>
      </c>
    </row>
    <row r="152" spans="2:20">
      <c r="B152" s="158">
        <v>135</v>
      </c>
      <c r="C152" s="472" t="s">
        <v>599</v>
      </c>
      <c r="D152" s="192">
        <v>4900</v>
      </c>
      <c r="E152" s="478" t="s">
        <v>379</v>
      </c>
      <c r="G152" s="425" t="str">
        <f t="shared" si="4"/>
        <v>4900Ultima PlusInk 3123 Blu Easypack 2X500Ml</v>
      </c>
      <c r="N152" s="3">
        <v>135</v>
      </c>
      <c r="O152" s="158">
        <v>150</v>
      </c>
      <c r="P152" s="472" t="s">
        <v>601</v>
      </c>
      <c r="Q152" s="3">
        <v>7900</v>
      </c>
      <c r="R152" s="259" t="s">
        <v>648</v>
      </c>
      <c r="S152" s="370" t="s">
        <v>335</v>
      </c>
      <c r="T152" s="98" t="str">
        <f t="shared" si="5"/>
        <v>7900Midi A Mk7 2M</v>
      </c>
    </row>
    <row r="153" spans="2:20">
      <c r="B153" s="158">
        <v>136</v>
      </c>
      <c r="C153" s="472" t="s">
        <v>599</v>
      </c>
      <c r="D153" s="196" t="s">
        <v>391</v>
      </c>
      <c r="E153" s="478" t="s">
        <v>379</v>
      </c>
      <c r="G153" s="425" t="str">
        <f t="shared" si="4"/>
        <v>4900 DCUltima PlusInk 3123 Blu Easypack 2X500Ml</v>
      </c>
      <c r="N153" s="3">
        <v>136</v>
      </c>
      <c r="O153" s="158">
        <v>150</v>
      </c>
      <c r="P153" s="472" t="s">
        <v>601</v>
      </c>
      <c r="Q153" s="3">
        <v>7900</v>
      </c>
      <c r="R153" s="259" t="s">
        <v>648</v>
      </c>
      <c r="S153" s="196" t="s">
        <v>336</v>
      </c>
      <c r="T153" s="98" t="str">
        <f t="shared" si="5"/>
        <v>7900Midi A Mk7 2M R/A</v>
      </c>
    </row>
    <row r="154" spans="2:20">
      <c r="B154" s="158">
        <v>137</v>
      </c>
      <c r="C154" s="472" t="s">
        <v>599</v>
      </c>
      <c r="D154" s="192">
        <v>7900</v>
      </c>
      <c r="E154" s="478" t="s">
        <v>379</v>
      </c>
      <c r="G154" s="425" t="str">
        <f t="shared" si="4"/>
        <v>7900Ultima PlusInk 3123 Blu Easypack 2X500Ml</v>
      </c>
      <c r="N154" s="3">
        <v>137</v>
      </c>
      <c r="O154" s="158">
        <v>150</v>
      </c>
      <c r="P154" s="472" t="s">
        <v>601</v>
      </c>
      <c r="Q154" s="3">
        <v>7900</v>
      </c>
      <c r="R154" s="259" t="s">
        <v>648</v>
      </c>
      <c r="S154" s="196" t="s">
        <v>337</v>
      </c>
      <c r="T154" s="98" t="str">
        <f t="shared" si="5"/>
        <v>7900Midi A Mk7 4M</v>
      </c>
    </row>
    <row r="155" spans="2:20" ht="13.5" thickBot="1">
      <c r="B155" s="158">
        <v>138</v>
      </c>
      <c r="C155" s="472" t="s">
        <v>599</v>
      </c>
      <c r="D155" s="196" t="s">
        <v>316</v>
      </c>
      <c r="E155" s="478" t="s">
        <v>379</v>
      </c>
      <c r="G155" s="425" t="str">
        <f t="shared" si="4"/>
        <v>7900 SpectrumUltima PlusInk 3123 Blu Easypack 2X500Ml</v>
      </c>
      <c r="N155" s="3">
        <v>138</v>
      </c>
      <c r="O155" s="158">
        <v>150</v>
      </c>
      <c r="P155" s="472" t="s">
        <v>601</v>
      </c>
      <c r="Q155" s="3">
        <v>7900</v>
      </c>
      <c r="R155" s="259" t="s">
        <v>648</v>
      </c>
      <c r="S155" s="373" t="s">
        <v>338</v>
      </c>
      <c r="T155" s="98" t="str">
        <f t="shared" si="5"/>
        <v>7900Midi A Mk7 4M R/A</v>
      </c>
    </row>
    <row r="156" spans="2:20">
      <c r="B156" s="158">
        <v>139</v>
      </c>
      <c r="C156" s="472" t="s">
        <v>599</v>
      </c>
      <c r="D156" s="192">
        <v>7900</v>
      </c>
      <c r="E156" s="478" t="s">
        <v>643</v>
      </c>
      <c r="G156" s="425" t="str">
        <f t="shared" si="4"/>
        <v>7900Midi PlusInk 3123 Blu Easypack 2X500Ml</v>
      </c>
      <c r="N156" s="3">
        <v>139</v>
      </c>
      <c r="O156" s="158">
        <v>151</v>
      </c>
      <c r="P156" s="472" t="s">
        <v>601</v>
      </c>
      <c r="Q156" s="3" t="s">
        <v>647</v>
      </c>
      <c r="R156" s="259" t="s">
        <v>648</v>
      </c>
      <c r="S156" s="370" t="s">
        <v>335</v>
      </c>
      <c r="T156" s="98" t="str">
        <f t="shared" si="5"/>
        <v>7900 BCMidi A Mk7 2M</v>
      </c>
    </row>
    <row r="157" spans="2:20">
      <c r="B157" s="158">
        <v>140</v>
      </c>
      <c r="C157" s="472" t="s">
        <v>599</v>
      </c>
      <c r="D157" s="196" t="s">
        <v>316</v>
      </c>
      <c r="E157" s="478" t="s">
        <v>643</v>
      </c>
      <c r="G157" s="425" t="str">
        <f t="shared" si="4"/>
        <v>7900 SpectrumMidi PlusInk 3123 Blu Easypack 2X500Ml</v>
      </c>
      <c r="N157" s="3">
        <v>140</v>
      </c>
      <c r="O157" s="158">
        <v>151</v>
      </c>
      <c r="P157" s="472" t="s">
        <v>601</v>
      </c>
      <c r="Q157" s="3" t="s">
        <v>647</v>
      </c>
      <c r="R157" s="259" t="s">
        <v>648</v>
      </c>
      <c r="S157" s="196" t="s">
        <v>336</v>
      </c>
      <c r="T157" s="98" t="str">
        <f t="shared" si="5"/>
        <v>7900 BCMidi A Mk7 2M R/A</v>
      </c>
    </row>
    <row r="158" spans="2:20">
      <c r="B158" s="158">
        <v>141</v>
      </c>
      <c r="C158" s="472" t="s">
        <v>599</v>
      </c>
      <c r="D158" s="478" t="s">
        <v>320</v>
      </c>
      <c r="E158" s="478" t="s">
        <v>644</v>
      </c>
      <c r="G158" s="425" t="str">
        <f t="shared" si="4"/>
        <v>7900 SolverMidiInk 3123 Blu Easypack 2X500Ml</v>
      </c>
      <c r="N158" s="3">
        <v>141</v>
      </c>
      <c r="O158" s="158">
        <v>151</v>
      </c>
      <c r="P158" s="472" t="s">
        <v>601</v>
      </c>
      <c r="Q158" s="3" t="s">
        <v>647</v>
      </c>
      <c r="R158" s="259" t="s">
        <v>648</v>
      </c>
      <c r="S158" s="196" t="s">
        <v>337</v>
      </c>
      <c r="T158" s="98" t="str">
        <f t="shared" si="5"/>
        <v>7900 BCMidi A Mk7 4M</v>
      </c>
    </row>
    <row r="159" spans="2:20" ht="13.5" thickBot="1">
      <c r="B159" s="497">
        <v>142</v>
      </c>
      <c r="C159" s="481" t="s">
        <v>599</v>
      </c>
      <c r="D159" s="483" t="s">
        <v>320</v>
      </c>
      <c r="E159" s="483" t="s">
        <v>317</v>
      </c>
      <c r="G159" s="425" t="str">
        <f t="shared" si="4"/>
        <v>7900 SolverUltimaInk 3123 Blu Easypack 2X500Ml</v>
      </c>
      <c r="N159" s="3">
        <v>142</v>
      </c>
      <c r="O159" s="158">
        <v>151</v>
      </c>
      <c r="P159" s="472" t="s">
        <v>601</v>
      </c>
      <c r="Q159" s="3" t="s">
        <v>647</v>
      </c>
      <c r="R159" s="259" t="s">
        <v>648</v>
      </c>
      <c r="S159" s="373" t="s">
        <v>338</v>
      </c>
      <c r="T159" s="98" t="str">
        <f t="shared" si="5"/>
        <v>7900 BCMidi A Mk7 4M R/A</v>
      </c>
    </row>
    <row r="160" spans="2:20">
      <c r="B160" s="158">
        <v>143</v>
      </c>
      <c r="C160" s="472" t="s">
        <v>600</v>
      </c>
      <c r="D160" s="196" t="s">
        <v>316</v>
      </c>
      <c r="E160" s="478" t="s">
        <v>379</v>
      </c>
      <c r="G160" s="425" t="str">
        <f t="shared" si="4"/>
        <v>7900 SpectrumUltima PlusInk 1043 Blu Easypack 2X500Ml</v>
      </c>
      <c r="N160" s="3">
        <v>143</v>
      </c>
      <c r="O160" s="158">
        <v>153</v>
      </c>
      <c r="P160" s="472" t="s">
        <v>601</v>
      </c>
      <c r="Q160" s="3" t="s">
        <v>320</v>
      </c>
      <c r="R160" s="259" t="s">
        <v>648</v>
      </c>
      <c r="S160" s="370" t="s">
        <v>335</v>
      </c>
      <c r="T160" s="98" t="str">
        <f t="shared" si="5"/>
        <v>7900 SolverMidi A Mk7 2M</v>
      </c>
    </row>
    <row r="161" spans="2:20">
      <c r="B161" s="158">
        <v>144</v>
      </c>
      <c r="C161" s="472" t="s">
        <v>600</v>
      </c>
      <c r="D161" s="196" t="s">
        <v>316</v>
      </c>
      <c r="E161" s="478" t="s">
        <v>643</v>
      </c>
      <c r="G161" s="425" t="str">
        <f t="shared" si="4"/>
        <v>7900 SpectrumMidi PlusInk 1043 Blu Easypack 2X500Ml</v>
      </c>
      <c r="N161" s="3">
        <v>144</v>
      </c>
      <c r="O161" s="158">
        <v>153</v>
      </c>
      <c r="P161" s="472" t="s">
        <v>601</v>
      </c>
      <c r="Q161" s="3" t="s">
        <v>320</v>
      </c>
      <c r="R161" s="259" t="s">
        <v>648</v>
      </c>
      <c r="S161" s="196" t="s">
        <v>336</v>
      </c>
      <c r="T161" s="98" t="str">
        <f t="shared" si="5"/>
        <v>7900 SolverMidi A Mk7 2M R/A</v>
      </c>
    </row>
    <row r="162" spans="2:20">
      <c r="B162" s="158">
        <v>145</v>
      </c>
      <c r="C162" s="472" t="s">
        <v>601</v>
      </c>
      <c r="D162" s="196">
        <v>4900</v>
      </c>
      <c r="E162" s="478" t="s">
        <v>381</v>
      </c>
      <c r="G162" s="425" t="str">
        <f t="shared" si="4"/>
        <v>4900Ultima AInk 1058 Blk Bottling 10X500Ml</v>
      </c>
      <c r="N162" s="3">
        <v>145</v>
      </c>
      <c r="O162" s="158">
        <v>153</v>
      </c>
      <c r="P162" s="472" t="s">
        <v>601</v>
      </c>
      <c r="Q162" s="3" t="s">
        <v>320</v>
      </c>
      <c r="R162" s="259" t="s">
        <v>648</v>
      </c>
      <c r="S162" s="196" t="s">
        <v>337</v>
      </c>
      <c r="T162" s="98" t="str">
        <f t="shared" si="5"/>
        <v>7900 SolverMidi A Mk7 4M</v>
      </c>
    </row>
    <row r="163" spans="2:20" ht="13.5" thickBot="1">
      <c r="B163" s="158">
        <v>146</v>
      </c>
      <c r="C163" s="472" t="s">
        <v>601</v>
      </c>
      <c r="D163" s="196" t="s">
        <v>391</v>
      </c>
      <c r="E163" s="478" t="s">
        <v>381</v>
      </c>
      <c r="G163" s="425" t="str">
        <f t="shared" si="4"/>
        <v>4900 DCUltima AInk 1058 Blk Bottling 10X500Ml</v>
      </c>
      <c r="N163" s="3">
        <v>146</v>
      </c>
      <c r="O163" s="158">
        <v>153</v>
      </c>
      <c r="P163" s="472" t="s">
        <v>601</v>
      </c>
      <c r="Q163" s="3" t="s">
        <v>320</v>
      </c>
      <c r="R163" s="259" t="s">
        <v>648</v>
      </c>
      <c r="S163" s="373" t="s">
        <v>338</v>
      </c>
      <c r="T163" s="98" t="str">
        <f t="shared" si="5"/>
        <v>7900 SolverMidi A Mk7 4M R/A</v>
      </c>
    </row>
    <row r="164" spans="2:20">
      <c r="B164" s="158">
        <v>147</v>
      </c>
      <c r="C164" s="472" t="s">
        <v>601</v>
      </c>
      <c r="D164" s="196" t="s">
        <v>646</v>
      </c>
      <c r="E164" s="478" t="s">
        <v>381</v>
      </c>
      <c r="G164" s="425" t="str">
        <f t="shared" si="4"/>
        <v>4900 BCUltima AInk 1058 Blk Bottling 10X500Ml</v>
      </c>
      <c r="N164" s="3">
        <v>147</v>
      </c>
      <c r="O164" s="158">
        <v>5</v>
      </c>
      <c r="P164" s="472" t="s">
        <v>588</v>
      </c>
      <c r="Q164" s="3">
        <v>7900</v>
      </c>
      <c r="R164" s="259" t="s">
        <v>643</v>
      </c>
      <c r="S164" s="370" t="s">
        <v>331</v>
      </c>
      <c r="T164" s="98" t="str">
        <f t="shared" si="5"/>
        <v>7900Midi Plus Mk7 2M</v>
      </c>
    </row>
    <row r="165" spans="2:20">
      <c r="B165" s="158">
        <v>148</v>
      </c>
      <c r="C165" s="472" t="s">
        <v>601</v>
      </c>
      <c r="D165" s="196">
        <v>7900</v>
      </c>
      <c r="E165" s="478" t="s">
        <v>381</v>
      </c>
      <c r="G165" s="425" t="str">
        <f t="shared" si="4"/>
        <v>7900Ultima AInk 1058 Blk Bottling 10X500Ml</v>
      </c>
      <c r="N165" s="3">
        <v>148</v>
      </c>
      <c r="O165" s="158">
        <v>5</v>
      </c>
      <c r="P165" s="472" t="s">
        <v>588</v>
      </c>
      <c r="Q165" s="3">
        <v>7900</v>
      </c>
      <c r="R165" s="259" t="s">
        <v>643</v>
      </c>
      <c r="S165" s="196" t="s">
        <v>332</v>
      </c>
      <c r="T165" s="98" t="str">
        <f t="shared" si="5"/>
        <v>7900Midi Plus Mk7 2M R/A</v>
      </c>
    </row>
    <row r="166" spans="2:20">
      <c r="B166" s="158">
        <v>149</v>
      </c>
      <c r="C166" s="472" t="s">
        <v>601</v>
      </c>
      <c r="D166" s="196" t="s">
        <v>647</v>
      </c>
      <c r="E166" s="478" t="s">
        <v>381</v>
      </c>
      <c r="G166" s="425" t="str">
        <f t="shared" si="4"/>
        <v>7900 BCUltima AInk 1058 Blk Bottling 10X500Ml</v>
      </c>
      <c r="N166" s="3">
        <v>149</v>
      </c>
      <c r="O166" s="158">
        <v>5</v>
      </c>
      <c r="P166" s="472" t="s">
        <v>588</v>
      </c>
      <c r="Q166" s="3">
        <v>7900</v>
      </c>
      <c r="R166" s="259" t="s">
        <v>643</v>
      </c>
      <c r="S166" s="196" t="s">
        <v>333</v>
      </c>
      <c r="T166" s="98" t="str">
        <f t="shared" si="5"/>
        <v>7900Midi Plus Mk7 4M</v>
      </c>
    </row>
    <row r="167" spans="2:20" ht="13.5" thickBot="1">
      <c r="B167" s="158">
        <v>150</v>
      </c>
      <c r="C167" s="472" t="s">
        <v>601</v>
      </c>
      <c r="D167" s="196">
        <v>7900</v>
      </c>
      <c r="E167" s="478" t="s">
        <v>648</v>
      </c>
      <c r="G167" s="425" t="str">
        <f t="shared" si="4"/>
        <v>7900Midi AInk 1058 Blk Bottling 10X500Ml</v>
      </c>
      <c r="N167" s="3">
        <v>150</v>
      </c>
      <c r="O167" s="158">
        <v>5</v>
      </c>
      <c r="P167" s="472" t="s">
        <v>588</v>
      </c>
      <c r="Q167" s="3">
        <v>7900</v>
      </c>
      <c r="R167" s="259" t="s">
        <v>643</v>
      </c>
      <c r="S167" s="373" t="s">
        <v>334</v>
      </c>
      <c r="T167" s="98" t="str">
        <f t="shared" si="5"/>
        <v>7900Midi Plus Mk7 4M R/A</v>
      </c>
    </row>
    <row r="168" spans="2:20">
      <c r="B168" s="158">
        <v>151</v>
      </c>
      <c r="C168" s="472" t="s">
        <v>601</v>
      </c>
      <c r="D168" s="196" t="s">
        <v>647</v>
      </c>
      <c r="E168" s="478" t="s">
        <v>648</v>
      </c>
      <c r="G168" s="425" t="str">
        <f t="shared" si="4"/>
        <v>7900 BCMidi AInk 1058 Blk Bottling 10X500Ml</v>
      </c>
      <c r="N168" s="3">
        <v>151</v>
      </c>
      <c r="O168" s="158">
        <v>6</v>
      </c>
      <c r="P168" s="472" t="s">
        <v>588</v>
      </c>
      <c r="Q168" s="3" t="s">
        <v>316</v>
      </c>
      <c r="R168" s="259" t="s">
        <v>643</v>
      </c>
      <c r="S168" s="370" t="s">
        <v>331</v>
      </c>
      <c r="T168" s="98" t="str">
        <f t="shared" si="5"/>
        <v>7900 SpectrumMidi Plus Mk7 2M</v>
      </c>
    </row>
    <row r="169" spans="2:20">
      <c r="B169" s="158">
        <v>152</v>
      </c>
      <c r="C169" s="472" t="s">
        <v>601</v>
      </c>
      <c r="D169" s="196" t="s">
        <v>320</v>
      </c>
      <c r="E169" s="478" t="s">
        <v>381</v>
      </c>
      <c r="G169" s="425" t="str">
        <f t="shared" si="4"/>
        <v>7900 SolverUltima AInk 1058 Blk Bottling 10X500Ml</v>
      </c>
      <c r="N169" s="3">
        <v>152</v>
      </c>
      <c r="O169" s="158">
        <v>6</v>
      </c>
      <c r="P169" s="472" t="s">
        <v>588</v>
      </c>
      <c r="Q169" s="3" t="s">
        <v>316</v>
      </c>
      <c r="R169" s="259" t="s">
        <v>643</v>
      </c>
      <c r="S169" s="196" t="s">
        <v>332</v>
      </c>
      <c r="T169" s="98" t="str">
        <f t="shared" si="5"/>
        <v>7900 SpectrumMidi Plus Mk7 2M R/A</v>
      </c>
    </row>
    <row r="170" spans="2:20">
      <c r="B170" s="158">
        <v>153</v>
      </c>
      <c r="C170" s="472" t="s">
        <v>601</v>
      </c>
      <c r="D170" s="196" t="s">
        <v>320</v>
      </c>
      <c r="E170" s="478" t="s">
        <v>648</v>
      </c>
      <c r="G170" s="425" t="str">
        <f t="shared" si="4"/>
        <v>7900 SolverMidi AInk 1058 Blk Bottling 10X500Ml</v>
      </c>
      <c r="N170" s="3">
        <v>153</v>
      </c>
      <c r="O170" s="158">
        <v>6</v>
      </c>
      <c r="P170" s="472" t="s">
        <v>588</v>
      </c>
      <c r="Q170" s="3" t="s">
        <v>316</v>
      </c>
      <c r="R170" s="259" t="s">
        <v>643</v>
      </c>
      <c r="S170" s="196" t="s">
        <v>333</v>
      </c>
      <c r="T170" s="98" t="str">
        <f t="shared" si="5"/>
        <v>7900 SpectrumMidi Plus Mk7 4M</v>
      </c>
    </row>
    <row r="171" spans="2:20" ht="13.5" thickBot="1">
      <c r="B171" s="158">
        <v>154</v>
      </c>
      <c r="C171" s="472" t="s">
        <v>602</v>
      </c>
      <c r="D171" s="192">
        <v>4900</v>
      </c>
      <c r="E171" s="478" t="s">
        <v>317</v>
      </c>
      <c r="G171" s="425" t="str">
        <f t="shared" si="4"/>
        <v>4900UltimaInk 2250 Blk 10 X 500Ml</v>
      </c>
      <c r="N171" s="3">
        <v>154</v>
      </c>
      <c r="O171" s="158">
        <v>6</v>
      </c>
      <c r="P171" s="472" t="s">
        <v>588</v>
      </c>
      <c r="Q171" s="3" t="s">
        <v>316</v>
      </c>
      <c r="R171" s="259" t="s">
        <v>643</v>
      </c>
      <c r="S171" s="373" t="s">
        <v>334</v>
      </c>
      <c r="T171" s="98" t="str">
        <f t="shared" si="5"/>
        <v>7900 SpectrumMidi Plus Mk7 4M R/A</v>
      </c>
    </row>
    <row r="172" spans="2:20">
      <c r="B172" s="158">
        <v>155</v>
      </c>
      <c r="C172" s="472" t="s">
        <v>602</v>
      </c>
      <c r="D172" s="196" t="s">
        <v>391</v>
      </c>
      <c r="E172" s="478" t="s">
        <v>317</v>
      </c>
      <c r="G172" s="425" t="str">
        <f t="shared" si="4"/>
        <v>4900 DCUltimaInk 2250 Blk 10 X 500Ml</v>
      </c>
      <c r="N172" s="3">
        <v>155</v>
      </c>
      <c r="O172" s="158">
        <v>15</v>
      </c>
      <c r="P172" s="472" t="s">
        <v>589</v>
      </c>
      <c r="Q172" s="3">
        <v>7900</v>
      </c>
      <c r="R172" s="259" t="s">
        <v>643</v>
      </c>
      <c r="S172" s="370" t="s">
        <v>331</v>
      </c>
      <c r="T172" s="98" t="str">
        <f t="shared" si="5"/>
        <v>7900Midi Plus Mk7 2M</v>
      </c>
    </row>
    <row r="173" spans="2:20">
      <c r="B173" s="158">
        <v>156</v>
      </c>
      <c r="C173" s="472" t="s">
        <v>602</v>
      </c>
      <c r="D173" s="192">
        <v>7900</v>
      </c>
      <c r="E173" s="478" t="s">
        <v>317</v>
      </c>
      <c r="G173" s="425" t="str">
        <f t="shared" si="4"/>
        <v>7900UltimaInk 2250 Blk 10 X 500Ml</v>
      </c>
      <c r="N173" s="3">
        <v>156</v>
      </c>
      <c r="O173" s="158">
        <v>15</v>
      </c>
      <c r="P173" s="472" t="s">
        <v>589</v>
      </c>
      <c r="Q173" s="3">
        <v>7900</v>
      </c>
      <c r="R173" s="259" t="s">
        <v>643</v>
      </c>
      <c r="S173" s="196" t="s">
        <v>332</v>
      </c>
      <c r="T173" s="98" t="str">
        <f t="shared" si="5"/>
        <v>7900Midi Plus Mk7 2M R/A</v>
      </c>
    </row>
    <row r="174" spans="2:20">
      <c r="B174" s="158">
        <v>157</v>
      </c>
      <c r="C174" s="472" t="s">
        <v>602</v>
      </c>
      <c r="D174" s="192">
        <v>7900</v>
      </c>
      <c r="E174" s="478" t="s">
        <v>644</v>
      </c>
      <c r="G174" s="425" t="str">
        <f t="shared" si="4"/>
        <v>7900MidiInk 2250 Blk 10 X 500Ml</v>
      </c>
      <c r="N174" s="3">
        <v>157</v>
      </c>
      <c r="O174" s="158">
        <v>15</v>
      </c>
      <c r="P174" s="472" t="s">
        <v>589</v>
      </c>
      <c r="Q174" s="3">
        <v>7900</v>
      </c>
      <c r="R174" s="259" t="s">
        <v>643</v>
      </c>
      <c r="S174" s="196" t="s">
        <v>333</v>
      </c>
      <c r="T174" s="98" t="str">
        <f t="shared" si="5"/>
        <v>7900Midi Plus Mk7 4M</v>
      </c>
    </row>
    <row r="175" spans="2:20" ht="13.5" thickBot="1">
      <c r="B175" s="158">
        <v>158</v>
      </c>
      <c r="C175" s="472" t="s">
        <v>602</v>
      </c>
      <c r="D175" s="192">
        <v>4900</v>
      </c>
      <c r="E175" s="478" t="s">
        <v>379</v>
      </c>
      <c r="G175" s="425" t="str">
        <f t="shared" si="4"/>
        <v>4900Ultima PlusInk 2250 Blk 10 X 500Ml</v>
      </c>
      <c r="N175" s="3">
        <v>158</v>
      </c>
      <c r="O175" s="158">
        <v>15</v>
      </c>
      <c r="P175" s="472" t="s">
        <v>589</v>
      </c>
      <c r="Q175" s="3">
        <v>7900</v>
      </c>
      <c r="R175" s="259" t="s">
        <v>643</v>
      </c>
      <c r="S175" s="373" t="s">
        <v>334</v>
      </c>
      <c r="T175" s="98" t="str">
        <f t="shared" si="5"/>
        <v>7900Midi Plus Mk7 4M R/A</v>
      </c>
    </row>
    <row r="176" spans="2:20">
      <c r="B176" s="158">
        <v>159</v>
      </c>
      <c r="C176" s="472" t="s">
        <v>602</v>
      </c>
      <c r="D176" s="196" t="s">
        <v>391</v>
      </c>
      <c r="E176" s="478" t="s">
        <v>379</v>
      </c>
      <c r="G176" s="425" t="str">
        <f t="shared" ref="G176:G203" si="6">D176&amp;E176&amp;C176</f>
        <v>4900 DCUltima PlusInk 2250 Blk 10 X 500Ml</v>
      </c>
      <c r="N176" s="3">
        <v>159</v>
      </c>
      <c r="O176" s="158">
        <v>16</v>
      </c>
      <c r="P176" s="472" t="s">
        <v>589</v>
      </c>
      <c r="Q176" s="3" t="s">
        <v>316</v>
      </c>
      <c r="R176" s="259" t="s">
        <v>643</v>
      </c>
      <c r="S176" s="370" t="s">
        <v>331</v>
      </c>
      <c r="T176" s="98" t="str">
        <f t="shared" si="5"/>
        <v>7900 SpectrumMidi Plus Mk7 2M</v>
      </c>
    </row>
    <row r="177" spans="2:20">
      <c r="B177" s="158">
        <v>160</v>
      </c>
      <c r="C177" s="472" t="s">
        <v>602</v>
      </c>
      <c r="D177" s="192">
        <v>7900</v>
      </c>
      <c r="E177" s="478" t="s">
        <v>379</v>
      </c>
      <c r="G177" s="425" t="str">
        <f t="shared" si="6"/>
        <v>7900Ultima PlusInk 2250 Blk 10 X 500Ml</v>
      </c>
      <c r="N177" s="3">
        <v>160</v>
      </c>
      <c r="O177" s="158">
        <v>16</v>
      </c>
      <c r="P177" s="472" t="s">
        <v>589</v>
      </c>
      <c r="Q177" s="3" t="s">
        <v>316</v>
      </c>
      <c r="R177" s="259" t="s">
        <v>643</v>
      </c>
      <c r="S177" s="196" t="s">
        <v>332</v>
      </c>
      <c r="T177" s="98" t="str">
        <f t="shared" si="5"/>
        <v>7900 SpectrumMidi Plus Mk7 2M R/A</v>
      </c>
    </row>
    <row r="178" spans="2:20">
      <c r="B178" s="158">
        <v>161</v>
      </c>
      <c r="C178" s="472" t="s">
        <v>602</v>
      </c>
      <c r="D178" s="192" t="s">
        <v>316</v>
      </c>
      <c r="E178" s="478" t="s">
        <v>379</v>
      </c>
      <c r="G178" s="425" t="str">
        <f t="shared" si="6"/>
        <v>7900 SpectrumUltima PlusInk 2250 Blk 10 X 500Ml</v>
      </c>
      <c r="N178" s="3">
        <v>161</v>
      </c>
      <c r="O178" s="158">
        <v>16</v>
      </c>
      <c r="P178" s="472" t="s">
        <v>589</v>
      </c>
      <c r="Q178" s="3" t="s">
        <v>316</v>
      </c>
      <c r="R178" s="259" t="s">
        <v>643</v>
      </c>
      <c r="S178" s="196" t="s">
        <v>333</v>
      </c>
      <c r="T178" s="98" t="str">
        <f t="shared" si="5"/>
        <v>7900 SpectrumMidi Plus Mk7 4M</v>
      </c>
    </row>
    <row r="179" spans="2:20" ht="13.5" thickBot="1">
      <c r="B179" s="158">
        <v>162</v>
      </c>
      <c r="C179" s="472" t="s">
        <v>602</v>
      </c>
      <c r="D179" s="192">
        <v>7900</v>
      </c>
      <c r="E179" s="478" t="s">
        <v>643</v>
      </c>
      <c r="G179" s="425" t="str">
        <f t="shared" si="6"/>
        <v>7900Midi PlusInk 2250 Blk 10 X 500Ml</v>
      </c>
      <c r="N179" s="3">
        <v>162</v>
      </c>
      <c r="O179" s="158">
        <v>16</v>
      </c>
      <c r="P179" s="472" t="s">
        <v>589</v>
      </c>
      <c r="Q179" s="3" t="s">
        <v>316</v>
      </c>
      <c r="R179" s="259" t="s">
        <v>643</v>
      </c>
      <c r="S179" s="373" t="s">
        <v>334</v>
      </c>
      <c r="T179" s="98" t="str">
        <f t="shared" si="5"/>
        <v>7900 SpectrumMidi Plus Mk7 4M R/A</v>
      </c>
    </row>
    <row r="180" spans="2:20">
      <c r="B180" s="158">
        <v>163</v>
      </c>
      <c r="C180" s="472" t="s">
        <v>602</v>
      </c>
      <c r="D180" s="192" t="s">
        <v>316</v>
      </c>
      <c r="E180" s="478" t="s">
        <v>643</v>
      </c>
      <c r="G180" s="425" t="str">
        <f t="shared" si="6"/>
        <v>7900 SpectrumMidi PlusInk 2250 Blk 10 X 500Ml</v>
      </c>
      <c r="N180" s="3">
        <v>163</v>
      </c>
      <c r="O180" s="158">
        <v>27</v>
      </c>
      <c r="P180" s="472" t="s">
        <v>590</v>
      </c>
      <c r="Q180" s="3">
        <v>7900</v>
      </c>
      <c r="R180" s="259" t="s">
        <v>643</v>
      </c>
      <c r="S180" s="370" t="s">
        <v>331</v>
      </c>
      <c r="T180" s="98" t="str">
        <f t="shared" si="5"/>
        <v>7900Midi Plus Mk7 2M</v>
      </c>
    </row>
    <row r="181" spans="2:20">
      <c r="B181" s="158">
        <v>164</v>
      </c>
      <c r="C181" s="472" t="s">
        <v>603</v>
      </c>
      <c r="D181" s="192">
        <v>4900</v>
      </c>
      <c r="E181" s="478" t="s">
        <v>379</v>
      </c>
      <c r="G181" s="425" t="str">
        <f t="shared" si="6"/>
        <v>4900Ultima PlusInk 1280 Purple To Pink 10X500</v>
      </c>
      <c r="N181" s="3">
        <v>164</v>
      </c>
      <c r="O181" s="158">
        <v>27</v>
      </c>
      <c r="P181" s="472" t="s">
        <v>590</v>
      </c>
      <c r="Q181" s="3">
        <v>7900</v>
      </c>
      <c r="R181" s="259" t="s">
        <v>643</v>
      </c>
      <c r="S181" s="196" t="s">
        <v>332</v>
      </c>
      <c r="T181" s="98" t="str">
        <f t="shared" si="5"/>
        <v>7900Midi Plus Mk7 2M R/A</v>
      </c>
    </row>
    <row r="182" spans="2:20">
      <c r="B182" s="158">
        <v>165</v>
      </c>
      <c r="C182" s="472" t="s">
        <v>603</v>
      </c>
      <c r="D182" s="192" t="s">
        <v>391</v>
      </c>
      <c r="E182" s="478" t="s">
        <v>379</v>
      </c>
      <c r="G182" s="425" t="str">
        <f t="shared" si="6"/>
        <v>4900 DCUltima PlusInk 1280 Purple To Pink 10X500</v>
      </c>
      <c r="N182" s="3">
        <v>165</v>
      </c>
      <c r="O182" s="158">
        <v>27</v>
      </c>
      <c r="P182" s="472" t="s">
        <v>590</v>
      </c>
      <c r="Q182" s="3">
        <v>7900</v>
      </c>
      <c r="R182" s="259" t="s">
        <v>643</v>
      </c>
      <c r="S182" s="196" t="s">
        <v>333</v>
      </c>
      <c r="T182" s="98" t="str">
        <f t="shared" si="5"/>
        <v>7900Midi Plus Mk7 4M</v>
      </c>
    </row>
    <row r="183" spans="2:20" ht="13.5" thickBot="1">
      <c r="B183" s="158">
        <v>166</v>
      </c>
      <c r="C183" s="472" t="s">
        <v>603</v>
      </c>
      <c r="D183" s="192">
        <v>7900</v>
      </c>
      <c r="E183" s="478" t="s">
        <v>379</v>
      </c>
      <c r="G183" s="425" t="str">
        <f t="shared" si="6"/>
        <v>7900Ultima PlusInk 1280 Purple To Pink 10X500</v>
      </c>
      <c r="N183" s="3">
        <v>166</v>
      </c>
      <c r="O183" s="158">
        <v>27</v>
      </c>
      <c r="P183" s="472" t="s">
        <v>590</v>
      </c>
      <c r="Q183" s="3">
        <v>7900</v>
      </c>
      <c r="R183" s="259" t="s">
        <v>643</v>
      </c>
      <c r="S183" s="373" t="s">
        <v>334</v>
      </c>
      <c r="T183" s="98" t="str">
        <f t="shared" si="5"/>
        <v>7900Midi Plus Mk7 4M R/A</v>
      </c>
    </row>
    <row r="184" spans="2:20">
      <c r="B184" s="158">
        <v>167</v>
      </c>
      <c r="C184" s="472" t="s">
        <v>603</v>
      </c>
      <c r="D184" s="192">
        <v>7900</v>
      </c>
      <c r="E184" s="478" t="s">
        <v>643</v>
      </c>
      <c r="G184" s="425" t="str">
        <f t="shared" si="6"/>
        <v>7900Midi PlusInk 1280 Purple To Pink 10X500</v>
      </c>
      <c r="N184" s="3">
        <v>167</v>
      </c>
      <c r="O184" s="158">
        <v>28</v>
      </c>
      <c r="P184" s="472" t="s">
        <v>590</v>
      </c>
      <c r="Q184" s="3" t="s">
        <v>316</v>
      </c>
      <c r="R184" s="259" t="s">
        <v>643</v>
      </c>
      <c r="S184" s="370" t="s">
        <v>331</v>
      </c>
      <c r="T184" s="98" t="str">
        <f t="shared" si="5"/>
        <v>7900 SpectrumMidi Plus Mk7 2M</v>
      </c>
    </row>
    <row r="185" spans="2:20">
      <c r="B185" s="158">
        <v>168</v>
      </c>
      <c r="C185" s="472" t="s">
        <v>603</v>
      </c>
      <c r="D185" s="192" t="s">
        <v>316</v>
      </c>
      <c r="E185" s="478" t="s">
        <v>643</v>
      </c>
      <c r="G185" s="425" t="str">
        <f t="shared" si="6"/>
        <v>7900 SpectrumMidi PlusInk 1280 Purple To Pink 10X500</v>
      </c>
      <c r="N185" s="3">
        <v>168</v>
      </c>
      <c r="O185" s="158">
        <v>28</v>
      </c>
      <c r="P185" s="472" t="s">
        <v>590</v>
      </c>
      <c r="Q185" s="3" t="s">
        <v>316</v>
      </c>
      <c r="R185" s="259" t="s">
        <v>643</v>
      </c>
      <c r="S185" s="196" t="s">
        <v>332</v>
      </c>
      <c r="T185" s="98" t="str">
        <f t="shared" si="5"/>
        <v>7900 SpectrumMidi Plus Mk7 2M R/A</v>
      </c>
    </row>
    <row r="186" spans="2:20">
      <c r="B186" s="158">
        <v>169</v>
      </c>
      <c r="C186" s="472" t="s">
        <v>603</v>
      </c>
      <c r="D186" s="192">
        <v>4900</v>
      </c>
      <c r="E186" s="478" t="s">
        <v>381</v>
      </c>
      <c r="G186" s="425" t="str">
        <f t="shared" si="6"/>
        <v>4900Ultima AInk 1280 Purple To Pink 10X500</v>
      </c>
      <c r="N186" s="3">
        <v>169</v>
      </c>
      <c r="O186" s="158">
        <v>28</v>
      </c>
      <c r="P186" s="472" t="s">
        <v>590</v>
      </c>
      <c r="Q186" s="3" t="s">
        <v>316</v>
      </c>
      <c r="R186" s="259" t="s">
        <v>643</v>
      </c>
      <c r="S186" s="196" t="s">
        <v>333</v>
      </c>
      <c r="T186" s="98" t="str">
        <f t="shared" si="5"/>
        <v>7900 SpectrumMidi Plus Mk7 4M</v>
      </c>
    </row>
    <row r="187" spans="2:20" ht="13.5" thickBot="1">
      <c r="B187" s="158">
        <v>170</v>
      </c>
      <c r="C187" s="472" t="s">
        <v>603</v>
      </c>
      <c r="D187" s="192" t="s">
        <v>391</v>
      </c>
      <c r="E187" s="478" t="s">
        <v>381</v>
      </c>
      <c r="G187" s="425" t="str">
        <f t="shared" si="6"/>
        <v>4900 DCUltima AInk 1280 Purple To Pink 10X500</v>
      </c>
      <c r="N187" s="3">
        <v>170</v>
      </c>
      <c r="O187" s="158">
        <v>28</v>
      </c>
      <c r="P187" s="472" t="s">
        <v>590</v>
      </c>
      <c r="Q187" s="3" t="s">
        <v>316</v>
      </c>
      <c r="R187" s="259" t="s">
        <v>643</v>
      </c>
      <c r="S187" s="373" t="s">
        <v>334</v>
      </c>
      <c r="T187" s="98" t="str">
        <f t="shared" si="5"/>
        <v>7900 SpectrumMidi Plus Mk7 4M R/A</v>
      </c>
    </row>
    <row r="188" spans="2:20">
      <c r="B188" s="158">
        <v>171</v>
      </c>
      <c r="C188" s="472" t="s">
        <v>603</v>
      </c>
      <c r="D188" s="192" t="s">
        <v>646</v>
      </c>
      <c r="E188" s="478" t="s">
        <v>381</v>
      </c>
      <c r="G188" s="425" t="str">
        <f t="shared" si="6"/>
        <v>4900 BCUltima AInk 1280 Purple To Pink 10X500</v>
      </c>
      <c r="N188" s="3">
        <v>171</v>
      </c>
      <c r="O188" s="158">
        <v>39</v>
      </c>
      <c r="P188" s="472" t="s">
        <v>591</v>
      </c>
      <c r="Q188" s="3">
        <v>7900</v>
      </c>
      <c r="R188" s="259" t="s">
        <v>643</v>
      </c>
      <c r="S188" s="370" t="s">
        <v>331</v>
      </c>
      <c r="T188" s="98" t="str">
        <f t="shared" si="5"/>
        <v>7900Midi Plus Mk7 2M</v>
      </c>
    </row>
    <row r="189" spans="2:20">
      <c r="B189" s="158">
        <v>172</v>
      </c>
      <c r="C189" s="472" t="s">
        <v>603</v>
      </c>
      <c r="D189" s="192">
        <v>7900</v>
      </c>
      <c r="E189" s="478" t="s">
        <v>381</v>
      </c>
      <c r="G189" s="425" t="str">
        <f t="shared" si="6"/>
        <v>7900Ultima AInk 1280 Purple To Pink 10X500</v>
      </c>
      <c r="N189" s="3">
        <v>172</v>
      </c>
      <c r="O189" s="158">
        <v>39</v>
      </c>
      <c r="P189" s="472" t="s">
        <v>591</v>
      </c>
      <c r="Q189" s="3">
        <v>7900</v>
      </c>
      <c r="R189" s="259" t="s">
        <v>643</v>
      </c>
      <c r="S189" s="196" t="s">
        <v>332</v>
      </c>
      <c r="T189" s="98" t="str">
        <f t="shared" si="5"/>
        <v>7900Midi Plus Mk7 2M R/A</v>
      </c>
    </row>
    <row r="190" spans="2:20">
      <c r="B190" s="158">
        <v>173</v>
      </c>
      <c r="C190" s="472" t="s">
        <v>603</v>
      </c>
      <c r="D190" s="192" t="s">
        <v>647</v>
      </c>
      <c r="E190" s="478" t="s">
        <v>381</v>
      </c>
      <c r="G190" s="425" t="str">
        <f t="shared" si="6"/>
        <v>7900 BCUltima AInk 1280 Purple To Pink 10X500</v>
      </c>
      <c r="N190" s="3">
        <v>173</v>
      </c>
      <c r="O190" s="158">
        <v>39</v>
      </c>
      <c r="P190" s="472" t="s">
        <v>591</v>
      </c>
      <c r="Q190" s="3">
        <v>7900</v>
      </c>
      <c r="R190" s="259" t="s">
        <v>643</v>
      </c>
      <c r="S190" s="196" t="s">
        <v>333</v>
      </c>
      <c r="T190" s="98" t="str">
        <f t="shared" si="5"/>
        <v>7900Midi Plus Mk7 4M</v>
      </c>
    </row>
    <row r="191" spans="2:20" ht="13.5" thickBot="1">
      <c r="B191" s="158">
        <v>174</v>
      </c>
      <c r="C191" s="472" t="s">
        <v>604</v>
      </c>
      <c r="D191" s="192">
        <v>4900</v>
      </c>
      <c r="E191" s="478" t="s">
        <v>379</v>
      </c>
      <c r="G191" s="425" t="str">
        <f t="shared" si="6"/>
        <v>4900Ultima PlusInk 1306 Wht Easypack 2X500Ml</v>
      </c>
      <c r="N191" s="3">
        <v>174</v>
      </c>
      <c r="O191" s="158">
        <v>39</v>
      </c>
      <c r="P191" s="472" t="s">
        <v>591</v>
      </c>
      <c r="Q191" s="3">
        <v>7900</v>
      </c>
      <c r="R191" s="259" t="s">
        <v>643</v>
      </c>
      <c r="S191" s="373" t="s">
        <v>334</v>
      </c>
      <c r="T191" s="98" t="str">
        <f t="shared" si="5"/>
        <v>7900Midi Plus Mk7 4M R/A</v>
      </c>
    </row>
    <row r="192" spans="2:20">
      <c r="B192" s="158">
        <v>175</v>
      </c>
      <c r="C192" s="472" t="s">
        <v>604</v>
      </c>
      <c r="D192" s="192" t="s">
        <v>391</v>
      </c>
      <c r="E192" s="478" t="s">
        <v>379</v>
      </c>
      <c r="G192" s="425" t="str">
        <f t="shared" si="6"/>
        <v>4900 DCUltima PlusInk 1306 Wht Easypack 2X500Ml</v>
      </c>
      <c r="N192" s="3">
        <v>175</v>
      </c>
      <c r="O192" s="158">
        <v>40</v>
      </c>
      <c r="P192" s="472" t="s">
        <v>591</v>
      </c>
      <c r="Q192" s="3" t="s">
        <v>316</v>
      </c>
      <c r="R192" s="259" t="s">
        <v>643</v>
      </c>
      <c r="S192" s="370" t="s">
        <v>331</v>
      </c>
      <c r="T192" s="98" t="str">
        <f t="shared" si="5"/>
        <v>7900 SpectrumMidi Plus Mk7 2M</v>
      </c>
    </row>
    <row r="193" spans="2:20">
      <c r="B193" s="158">
        <v>176</v>
      </c>
      <c r="C193" s="472" t="s">
        <v>604</v>
      </c>
      <c r="D193" s="192">
        <v>7900</v>
      </c>
      <c r="E193" s="478" t="s">
        <v>379</v>
      </c>
      <c r="G193" s="425" t="str">
        <f t="shared" si="6"/>
        <v>7900Ultima PlusInk 1306 Wht Easypack 2X500Ml</v>
      </c>
      <c r="N193" s="3">
        <v>176</v>
      </c>
      <c r="O193" s="158">
        <v>40</v>
      </c>
      <c r="P193" s="472" t="s">
        <v>591</v>
      </c>
      <c r="Q193" s="3" t="s">
        <v>316</v>
      </c>
      <c r="R193" s="259" t="s">
        <v>643</v>
      </c>
      <c r="S193" s="196" t="s">
        <v>332</v>
      </c>
      <c r="T193" s="98" t="str">
        <f t="shared" si="5"/>
        <v>7900 SpectrumMidi Plus Mk7 2M R/A</v>
      </c>
    </row>
    <row r="194" spans="2:20">
      <c r="B194" s="158">
        <v>177</v>
      </c>
      <c r="C194" s="472" t="s">
        <v>604</v>
      </c>
      <c r="D194" s="192" t="s">
        <v>316</v>
      </c>
      <c r="E194" s="478" t="s">
        <v>379</v>
      </c>
      <c r="G194" s="425" t="str">
        <f t="shared" si="6"/>
        <v>7900 SpectrumUltima PlusInk 1306 Wht Easypack 2X500Ml</v>
      </c>
      <c r="N194" s="3">
        <v>177</v>
      </c>
      <c r="O194" s="158">
        <v>40</v>
      </c>
      <c r="P194" s="472" t="s">
        <v>591</v>
      </c>
      <c r="Q194" s="3" t="s">
        <v>316</v>
      </c>
      <c r="R194" s="259" t="s">
        <v>643</v>
      </c>
      <c r="S194" s="196" t="s">
        <v>333</v>
      </c>
      <c r="T194" s="98" t="str">
        <f t="shared" si="5"/>
        <v>7900 SpectrumMidi Plus Mk7 4M</v>
      </c>
    </row>
    <row r="195" spans="2:20" ht="13.5" thickBot="1">
      <c r="B195" s="158">
        <v>178</v>
      </c>
      <c r="C195" s="472" t="s">
        <v>604</v>
      </c>
      <c r="D195" s="192">
        <v>7900</v>
      </c>
      <c r="E195" s="478" t="s">
        <v>643</v>
      </c>
      <c r="G195" s="425" t="str">
        <f t="shared" si="6"/>
        <v>7900Midi PlusInk 1306 Wht Easypack 2X500Ml</v>
      </c>
      <c r="N195" s="3">
        <v>178</v>
      </c>
      <c r="O195" s="158">
        <v>40</v>
      </c>
      <c r="P195" s="472" t="s">
        <v>591</v>
      </c>
      <c r="Q195" s="3" t="s">
        <v>316</v>
      </c>
      <c r="R195" s="259" t="s">
        <v>643</v>
      </c>
      <c r="S195" s="373" t="s">
        <v>334</v>
      </c>
      <c r="T195" s="98" t="str">
        <f t="shared" si="5"/>
        <v>7900 SpectrumMidi Plus Mk7 4M R/A</v>
      </c>
    </row>
    <row r="196" spans="2:20">
      <c r="B196" s="158">
        <v>179</v>
      </c>
      <c r="C196" s="472" t="s">
        <v>604</v>
      </c>
      <c r="D196" s="192" t="s">
        <v>316</v>
      </c>
      <c r="E196" s="478" t="s">
        <v>643</v>
      </c>
      <c r="G196" s="425" t="str">
        <f t="shared" si="6"/>
        <v>7900 SpectrumMidi PlusInk 1306 Wht Easypack 2X500Ml</v>
      </c>
      <c r="N196" s="3">
        <v>179</v>
      </c>
      <c r="O196" s="158">
        <v>47</v>
      </c>
      <c r="P196" s="472" t="s">
        <v>592</v>
      </c>
      <c r="Q196" s="3">
        <v>7900</v>
      </c>
      <c r="R196" s="259" t="s">
        <v>643</v>
      </c>
      <c r="S196" s="370" t="s">
        <v>331</v>
      </c>
      <c r="T196" s="98" t="str">
        <f t="shared" si="5"/>
        <v>7900Midi Plus Mk7 2M</v>
      </c>
    </row>
    <row r="197" spans="2:20">
      <c r="B197" s="158">
        <v>180</v>
      </c>
      <c r="C197" s="472" t="s">
        <v>605</v>
      </c>
      <c r="D197" s="192">
        <v>4900</v>
      </c>
      <c r="E197" s="478" t="s">
        <v>379</v>
      </c>
      <c r="G197" s="425" t="str">
        <f t="shared" si="6"/>
        <v>4900Ultima PlusInk 1311 Grey Easypack 2X500Ml</v>
      </c>
      <c r="N197" s="3">
        <v>180</v>
      </c>
      <c r="O197" s="158">
        <v>47</v>
      </c>
      <c r="P197" s="472" t="s">
        <v>592</v>
      </c>
      <c r="Q197" s="3">
        <v>7900</v>
      </c>
      <c r="R197" s="259" t="s">
        <v>643</v>
      </c>
      <c r="S197" s="196" t="s">
        <v>332</v>
      </c>
      <c r="T197" s="98" t="str">
        <f t="shared" si="5"/>
        <v>7900Midi Plus Mk7 2M R/A</v>
      </c>
    </row>
    <row r="198" spans="2:20">
      <c r="B198" s="158">
        <v>181</v>
      </c>
      <c r="C198" s="472" t="s">
        <v>605</v>
      </c>
      <c r="D198" s="192" t="s">
        <v>391</v>
      </c>
      <c r="E198" s="478" t="s">
        <v>379</v>
      </c>
      <c r="G198" s="425" t="str">
        <f t="shared" si="6"/>
        <v>4900 DCUltima PlusInk 1311 Grey Easypack 2X500Ml</v>
      </c>
      <c r="N198" s="3">
        <v>181</v>
      </c>
      <c r="O198" s="158">
        <v>47</v>
      </c>
      <c r="P198" s="472" t="s">
        <v>592</v>
      </c>
      <c r="Q198" s="3">
        <v>7900</v>
      </c>
      <c r="R198" s="259" t="s">
        <v>643</v>
      </c>
      <c r="S198" s="196" t="s">
        <v>333</v>
      </c>
      <c r="T198" s="98" t="str">
        <f t="shared" si="5"/>
        <v>7900Midi Plus Mk7 4M</v>
      </c>
    </row>
    <row r="199" spans="2:20" ht="13.5" thickBot="1">
      <c r="B199" s="158">
        <v>182</v>
      </c>
      <c r="C199" s="472" t="s">
        <v>605</v>
      </c>
      <c r="D199" s="192">
        <v>7900</v>
      </c>
      <c r="E199" s="478" t="s">
        <v>379</v>
      </c>
      <c r="G199" s="425" t="str">
        <f t="shared" si="6"/>
        <v>7900Ultima PlusInk 1311 Grey Easypack 2X500Ml</v>
      </c>
      <c r="N199" s="3">
        <v>182</v>
      </c>
      <c r="O199" s="158">
        <v>47</v>
      </c>
      <c r="P199" s="472" t="s">
        <v>592</v>
      </c>
      <c r="Q199" s="3">
        <v>7900</v>
      </c>
      <c r="R199" s="259" t="s">
        <v>643</v>
      </c>
      <c r="S199" s="373" t="s">
        <v>334</v>
      </c>
      <c r="T199" s="98" t="str">
        <f t="shared" si="5"/>
        <v>7900Midi Plus Mk7 4M R/A</v>
      </c>
    </row>
    <row r="200" spans="2:20">
      <c r="B200" s="158">
        <v>183</v>
      </c>
      <c r="C200" s="472" t="s">
        <v>605</v>
      </c>
      <c r="D200" s="192" t="s">
        <v>316</v>
      </c>
      <c r="E200" s="478" t="s">
        <v>379</v>
      </c>
      <c r="G200" s="425" t="str">
        <f t="shared" si="6"/>
        <v>7900 SpectrumUltima PlusInk 1311 Grey Easypack 2X500Ml</v>
      </c>
      <c r="N200" s="3">
        <v>183</v>
      </c>
      <c r="O200" s="158">
        <v>48</v>
      </c>
      <c r="P200" s="472" t="s">
        <v>592</v>
      </c>
      <c r="Q200" s="3" t="s">
        <v>316</v>
      </c>
      <c r="R200" s="259" t="s">
        <v>643</v>
      </c>
      <c r="S200" s="370" t="s">
        <v>331</v>
      </c>
      <c r="T200" s="98" t="str">
        <f t="shared" si="5"/>
        <v>7900 SpectrumMidi Plus Mk7 2M</v>
      </c>
    </row>
    <row r="201" spans="2:20">
      <c r="B201" s="158">
        <v>184</v>
      </c>
      <c r="C201" s="472" t="s">
        <v>605</v>
      </c>
      <c r="D201" s="192">
        <v>7900</v>
      </c>
      <c r="E201" s="478" t="s">
        <v>643</v>
      </c>
      <c r="G201" s="425" t="str">
        <f t="shared" si="6"/>
        <v>7900Midi PlusInk 1311 Grey Easypack 2X500Ml</v>
      </c>
      <c r="N201" s="3">
        <v>184</v>
      </c>
      <c r="O201" s="158">
        <v>48</v>
      </c>
      <c r="P201" s="472" t="s">
        <v>592</v>
      </c>
      <c r="Q201" s="3" t="s">
        <v>316</v>
      </c>
      <c r="R201" s="259" t="s">
        <v>643</v>
      </c>
      <c r="S201" s="196" t="s">
        <v>332</v>
      </c>
      <c r="T201" s="98" t="str">
        <f t="shared" si="5"/>
        <v>7900 SpectrumMidi Plus Mk7 2M R/A</v>
      </c>
    </row>
    <row r="202" spans="2:20">
      <c r="B202" s="158">
        <v>185</v>
      </c>
      <c r="C202" s="472" t="s">
        <v>605</v>
      </c>
      <c r="D202" s="192" t="s">
        <v>316</v>
      </c>
      <c r="E202" s="478" t="s">
        <v>643</v>
      </c>
      <c r="G202" s="425" t="str">
        <f t="shared" si="6"/>
        <v>7900 SpectrumMidi PlusInk 1311 Grey Easypack 2X500Ml</v>
      </c>
      <c r="N202" s="3">
        <v>185</v>
      </c>
      <c r="O202" s="158">
        <v>48</v>
      </c>
      <c r="P202" s="472" t="s">
        <v>592</v>
      </c>
      <c r="Q202" s="3" t="s">
        <v>316</v>
      </c>
      <c r="R202" s="259" t="s">
        <v>643</v>
      </c>
      <c r="S202" s="196" t="s">
        <v>333</v>
      </c>
      <c r="T202" s="98" t="str">
        <f t="shared" si="5"/>
        <v>7900 SpectrumMidi Plus Mk7 4M</v>
      </c>
    </row>
    <row r="203" spans="2:20" ht="13.5" thickBot="1">
      <c r="G203" s="425" t="str">
        <f t="shared" si="6"/>
        <v/>
      </c>
      <c r="N203" s="3">
        <v>186</v>
      </c>
      <c r="O203" s="158">
        <v>48</v>
      </c>
      <c r="P203" s="472" t="s">
        <v>592</v>
      </c>
      <c r="Q203" s="3" t="s">
        <v>316</v>
      </c>
      <c r="R203" s="259" t="s">
        <v>643</v>
      </c>
      <c r="S203" s="373" t="s">
        <v>334</v>
      </c>
      <c r="T203" s="98" t="str">
        <f t="shared" si="5"/>
        <v>7900 SpectrumMidi Plus Mk7 4M R/A</v>
      </c>
    </row>
    <row r="204" spans="2:20">
      <c r="N204" s="3">
        <v>187</v>
      </c>
      <c r="O204" s="158">
        <v>63</v>
      </c>
      <c r="P204" s="472" t="s">
        <v>593</v>
      </c>
      <c r="Q204" s="3" t="s">
        <v>316</v>
      </c>
      <c r="R204" s="259" t="s">
        <v>643</v>
      </c>
      <c r="S204" s="370" t="s">
        <v>331</v>
      </c>
      <c r="T204" s="98" t="str">
        <f t="shared" si="5"/>
        <v>7900 SpectrumMidi Plus Mk7 2M</v>
      </c>
    </row>
    <row r="205" spans="2:20">
      <c r="N205" s="3">
        <v>188</v>
      </c>
      <c r="O205" s="158">
        <v>63</v>
      </c>
      <c r="P205" s="472" t="s">
        <v>593</v>
      </c>
      <c r="Q205" s="158" t="s">
        <v>316</v>
      </c>
      <c r="R205" s="259" t="s">
        <v>643</v>
      </c>
      <c r="S205" s="196" t="s">
        <v>332</v>
      </c>
      <c r="T205" s="98" t="str">
        <f t="shared" si="5"/>
        <v>7900 SpectrumMidi Plus Mk7 2M R/A</v>
      </c>
    </row>
    <row r="206" spans="2:20">
      <c r="N206" s="3">
        <v>189</v>
      </c>
      <c r="O206" s="158">
        <v>63</v>
      </c>
      <c r="P206" s="472" t="s">
        <v>593</v>
      </c>
      <c r="Q206" s="158" t="s">
        <v>316</v>
      </c>
      <c r="R206" s="259" t="s">
        <v>643</v>
      </c>
      <c r="S206" s="196" t="s">
        <v>333</v>
      </c>
      <c r="T206" s="98" t="str">
        <f t="shared" si="5"/>
        <v>7900 SpectrumMidi Plus Mk7 4M</v>
      </c>
    </row>
    <row r="207" spans="2:20" ht="13.5" thickBot="1">
      <c r="N207" s="3">
        <v>190</v>
      </c>
      <c r="O207" s="158">
        <v>63</v>
      </c>
      <c r="P207" s="472" t="s">
        <v>593</v>
      </c>
      <c r="Q207" s="158" t="s">
        <v>316</v>
      </c>
      <c r="R207" s="259" t="s">
        <v>643</v>
      </c>
      <c r="S207" s="373" t="s">
        <v>334</v>
      </c>
      <c r="T207" s="98" t="str">
        <f t="shared" si="5"/>
        <v>7900 SpectrumMidi Plus Mk7 4M R/A</v>
      </c>
    </row>
    <row r="208" spans="2:20">
      <c r="N208" s="3">
        <v>191</v>
      </c>
      <c r="O208" s="158">
        <v>64</v>
      </c>
      <c r="P208" s="472" t="s">
        <v>594</v>
      </c>
      <c r="Q208" s="3">
        <v>7900</v>
      </c>
      <c r="R208" s="259" t="s">
        <v>643</v>
      </c>
      <c r="S208" s="370" t="s">
        <v>331</v>
      </c>
      <c r="T208" s="98" t="str">
        <f t="shared" si="5"/>
        <v>7900Midi Plus Mk7 2M</v>
      </c>
    </row>
    <row r="209" spans="14:20">
      <c r="N209" s="3">
        <v>192</v>
      </c>
      <c r="O209" s="158">
        <v>64</v>
      </c>
      <c r="P209" s="472" t="s">
        <v>594</v>
      </c>
      <c r="Q209" s="3">
        <v>7900</v>
      </c>
      <c r="R209" s="259" t="s">
        <v>643</v>
      </c>
      <c r="S209" s="196" t="s">
        <v>332</v>
      </c>
      <c r="T209" s="98" t="str">
        <f t="shared" si="5"/>
        <v>7900Midi Plus Mk7 2M R/A</v>
      </c>
    </row>
    <row r="210" spans="14:20">
      <c r="N210" s="3">
        <v>193</v>
      </c>
      <c r="O210" s="158">
        <v>64</v>
      </c>
      <c r="P210" s="472" t="s">
        <v>594</v>
      </c>
      <c r="Q210" s="3">
        <v>7900</v>
      </c>
      <c r="R210" s="259" t="s">
        <v>643</v>
      </c>
      <c r="S210" s="196" t="s">
        <v>333</v>
      </c>
      <c r="T210" s="98" t="str">
        <f t="shared" si="5"/>
        <v>7900Midi Plus Mk7 4M</v>
      </c>
    </row>
    <row r="211" spans="14:20" ht="13.5" thickBot="1">
      <c r="N211" s="3">
        <v>194</v>
      </c>
      <c r="O211" s="158">
        <v>64</v>
      </c>
      <c r="P211" s="472" t="s">
        <v>594</v>
      </c>
      <c r="Q211" s="3">
        <v>7900</v>
      </c>
      <c r="R211" s="259" t="s">
        <v>643</v>
      </c>
      <c r="S211" s="373" t="s">
        <v>334</v>
      </c>
      <c r="T211" s="98" t="str">
        <f t="shared" ref="T211:T274" si="7">Q211&amp;S211</f>
        <v>7900Midi Plus Mk7 4M R/A</v>
      </c>
    </row>
    <row r="212" spans="14:20">
      <c r="N212" s="3">
        <v>195</v>
      </c>
      <c r="O212" s="158">
        <v>69</v>
      </c>
      <c r="P212" s="472" t="s">
        <v>594</v>
      </c>
      <c r="Q212" s="3">
        <v>4900</v>
      </c>
      <c r="R212" s="259" t="s">
        <v>643</v>
      </c>
      <c r="S212" s="370" t="s">
        <v>331</v>
      </c>
      <c r="T212" s="98" t="str">
        <f t="shared" si="7"/>
        <v>4900Midi Plus Mk7 2M</v>
      </c>
    </row>
    <row r="213" spans="14:20">
      <c r="N213" s="3">
        <v>196</v>
      </c>
      <c r="O213" s="158">
        <v>69</v>
      </c>
      <c r="P213" s="472" t="s">
        <v>594</v>
      </c>
      <c r="Q213" s="3">
        <v>4900</v>
      </c>
      <c r="R213" s="259" t="s">
        <v>643</v>
      </c>
      <c r="S213" s="196" t="s">
        <v>332</v>
      </c>
      <c r="T213" s="98" t="str">
        <f t="shared" si="7"/>
        <v>4900Midi Plus Mk7 2M R/A</v>
      </c>
    </row>
    <row r="214" spans="14:20">
      <c r="N214" s="3">
        <v>197</v>
      </c>
      <c r="O214" s="158">
        <v>69</v>
      </c>
      <c r="P214" s="472" t="s">
        <v>594</v>
      </c>
      <c r="Q214" s="3">
        <v>4900</v>
      </c>
      <c r="R214" s="259" t="s">
        <v>643</v>
      </c>
      <c r="S214" s="196" t="s">
        <v>333</v>
      </c>
      <c r="T214" s="98" t="str">
        <f t="shared" si="7"/>
        <v>4900Midi Plus Mk7 4M</v>
      </c>
    </row>
    <row r="215" spans="14:20" ht="13.5" thickBot="1">
      <c r="N215" s="3">
        <v>198</v>
      </c>
      <c r="O215" s="158">
        <v>69</v>
      </c>
      <c r="P215" s="472" t="s">
        <v>594</v>
      </c>
      <c r="Q215" s="3">
        <v>4900</v>
      </c>
      <c r="R215" s="259" t="s">
        <v>643</v>
      </c>
      <c r="S215" s="373" t="s">
        <v>334</v>
      </c>
      <c r="T215" s="98" t="str">
        <f t="shared" si="7"/>
        <v>4900Midi Plus Mk7 4M R/A</v>
      </c>
    </row>
    <row r="216" spans="14:20">
      <c r="N216" s="3">
        <v>199</v>
      </c>
      <c r="O216" s="508">
        <v>70</v>
      </c>
      <c r="P216" s="509" t="s">
        <v>594</v>
      </c>
      <c r="Q216" s="508" t="s">
        <v>391</v>
      </c>
      <c r="R216" s="510" t="s">
        <v>643</v>
      </c>
      <c r="S216" s="370" t="s">
        <v>331</v>
      </c>
      <c r="T216" s="98" t="str">
        <f t="shared" si="7"/>
        <v>4900 DCMidi Plus Mk7 2M</v>
      </c>
    </row>
    <row r="217" spans="14:20">
      <c r="N217" s="3">
        <v>200</v>
      </c>
      <c r="O217" s="158">
        <v>70</v>
      </c>
      <c r="P217" s="472" t="s">
        <v>594</v>
      </c>
      <c r="Q217" s="158" t="s">
        <v>391</v>
      </c>
      <c r="R217" s="259" t="s">
        <v>643</v>
      </c>
      <c r="S217" s="196" t="s">
        <v>332</v>
      </c>
      <c r="T217" s="98" t="str">
        <f t="shared" si="7"/>
        <v>4900 DCMidi Plus Mk7 2M R/A</v>
      </c>
    </row>
    <row r="218" spans="14:20">
      <c r="N218" s="3">
        <v>201</v>
      </c>
      <c r="O218" s="158">
        <v>70</v>
      </c>
      <c r="P218" s="472" t="s">
        <v>594</v>
      </c>
      <c r="Q218" s="158" t="s">
        <v>391</v>
      </c>
      <c r="R218" s="259" t="s">
        <v>643</v>
      </c>
      <c r="S218" s="196" t="s">
        <v>333</v>
      </c>
      <c r="T218" s="98" t="str">
        <f t="shared" si="7"/>
        <v>4900 DCMidi Plus Mk7 4M</v>
      </c>
    </row>
    <row r="219" spans="14:20" ht="13.5" thickBot="1">
      <c r="N219" s="3">
        <v>202</v>
      </c>
      <c r="O219" s="158">
        <v>70</v>
      </c>
      <c r="P219" s="472" t="s">
        <v>594</v>
      </c>
      <c r="Q219" s="158" t="s">
        <v>391</v>
      </c>
      <c r="R219" s="259" t="s">
        <v>643</v>
      </c>
      <c r="S219" s="373" t="s">
        <v>334</v>
      </c>
      <c r="T219" s="98" t="str">
        <f t="shared" si="7"/>
        <v>4900 DCMidi Plus Mk7 4M R/A</v>
      </c>
    </row>
    <row r="220" spans="14:20">
      <c r="N220" s="3">
        <v>203</v>
      </c>
      <c r="O220" s="158">
        <v>71</v>
      </c>
      <c r="P220" s="472" t="s">
        <v>594</v>
      </c>
      <c r="Q220" s="3">
        <v>7900</v>
      </c>
      <c r="R220" s="259" t="s">
        <v>643</v>
      </c>
      <c r="S220" s="370" t="s">
        <v>331</v>
      </c>
      <c r="T220" s="98" t="str">
        <f t="shared" si="7"/>
        <v>7900Midi Plus Mk7 2M</v>
      </c>
    </row>
    <row r="221" spans="14:20">
      <c r="N221" s="3">
        <v>204</v>
      </c>
      <c r="O221" s="158">
        <v>71</v>
      </c>
      <c r="P221" s="472" t="s">
        <v>594</v>
      </c>
      <c r="Q221" s="3">
        <v>7900</v>
      </c>
      <c r="R221" s="259" t="s">
        <v>643</v>
      </c>
      <c r="S221" s="196" t="s">
        <v>332</v>
      </c>
      <c r="T221" s="98" t="str">
        <f t="shared" si="7"/>
        <v>7900Midi Plus Mk7 2M R/A</v>
      </c>
    </row>
    <row r="222" spans="14:20">
      <c r="N222" s="3">
        <v>205</v>
      </c>
      <c r="O222" s="158">
        <v>71</v>
      </c>
      <c r="P222" s="472" t="s">
        <v>594</v>
      </c>
      <c r="Q222" s="3">
        <v>7900</v>
      </c>
      <c r="R222" s="259" t="s">
        <v>643</v>
      </c>
      <c r="S222" s="196" t="s">
        <v>333</v>
      </c>
      <c r="T222" s="98" t="str">
        <f t="shared" si="7"/>
        <v>7900Midi Plus Mk7 4M</v>
      </c>
    </row>
    <row r="223" spans="14:20" ht="13.5" thickBot="1">
      <c r="N223" s="3">
        <v>206</v>
      </c>
      <c r="O223" s="158">
        <v>71</v>
      </c>
      <c r="P223" s="472" t="s">
        <v>594</v>
      </c>
      <c r="Q223" s="3">
        <v>7900</v>
      </c>
      <c r="R223" s="259" t="s">
        <v>643</v>
      </c>
      <c r="S223" s="373" t="s">
        <v>334</v>
      </c>
      <c r="T223" s="98" t="str">
        <f t="shared" si="7"/>
        <v>7900Midi Plus Mk7 4M R/A</v>
      </c>
    </row>
    <row r="224" spans="14:20">
      <c r="N224" s="3">
        <v>207</v>
      </c>
      <c r="O224" s="158">
        <v>72</v>
      </c>
      <c r="P224" s="472" t="s">
        <v>594</v>
      </c>
      <c r="Q224" s="158" t="s">
        <v>316</v>
      </c>
      <c r="R224" s="259" t="s">
        <v>643</v>
      </c>
      <c r="S224" s="370" t="s">
        <v>331</v>
      </c>
      <c r="T224" s="98" t="str">
        <f t="shared" si="7"/>
        <v>7900 SpectrumMidi Plus Mk7 2M</v>
      </c>
    </row>
    <row r="225" spans="14:20">
      <c r="N225" s="3">
        <v>208</v>
      </c>
      <c r="O225" s="158">
        <v>72</v>
      </c>
      <c r="P225" s="472" t="s">
        <v>594</v>
      </c>
      <c r="Q225" s="158" t="s">
        <v>316</v>
      </c>
      <c r="R225" s="259" t="s">
        <v>643</v>
      </c>
      <c r="S225" s="196" t="s">
        <v>332</v>
      </c>
      <c r="T225" s="98" t="str">
        <f t="shared" si="7"/>
        <v>7900 SpectrumMidi Plus Mk7 2M R/A</v>
      </c>
    </row>
    <row r="226" spans="14:20">
      <c r="N226" s="3">
        <v>209</v>
      </c>
      <c r="O226" s="158">
        <v>72</v>
      </c>
      <c r="P226" s="472" t="s">
        <v>594</v>
      </c>
      <c r="Q226" s="158" t="s">
        <v>316</v>
      </c>
      <c r="R226" s="259" t="s">
        <v>643</v>
      </c>
      <c r="S226" s="196" t="s">
        <v>333</v>
      </c>
      <c r="T226" s="98" t="str">
        <f t="shared" si="7"/>
        <v>7900 SpectrumMidi Plus Mk7 4M</v>
      </c>
    </row>
    <row r="227" spans="14:20" ht="13.5" thickBot="1">
      <c r="N227" s="3">
        <v>210</v>
      </c>
      <c r="O227" s="158">
        <v>72</v>
      </c>
      <c r="P227" s="472" t="s">
        <v>594</v>
      </c>
      <c r="Q227" s="158" t="s">
        <v>316</v>
      </c>
      <c r="R227" s="259" t="s">
        <v>643</v>
      </c>
      <c r="S227" s="373" t="s">
        <v>334</v>
      </c>
      <c r="T227" s="98" t="str">
        <f t="shared" si="7"/>
        <v>7900 SpectrumMidi Plus Mk7 4M R/A</v>
      </c>
    </row>
    <row r="228" spans="14:20">
      <c r="N228" s="3">
        <v>211</v>
      </c>
      <c r="O228" s="158">
        <v>82</v>
      </c>
      <c r="P228" s="472" t="s">
        <v>595</v>
      </c>
      <c r="Q228" s="3">
        <v>7900</v>
      </c>
      <c r="R228" s="158" t="s">
        <v>643</v>
      </c>
      <c r="S228" s="370" t="s">
        <v>331</v>
      </c>
      <c r="T228" s="98" t="str">
        <f t="shared" si="7"/>
        <v>7900Midi Plus Mk7 2M</v>
      </c>
    </row>
    <row r="229" spans="14:20">
      <c r="N229" s="3">
        <v>212</v>
      </c>
      <c r="O229" s="158">
        <v>82</v>
      </c>
      <c r="P229" s="472" t="s">
        <v>595</v>
      </c>
      <c r="Q229" s="3">
        <v>7900</v>
      </c>
      <c r="R229" s="158" t="s">
        <v>643</v>
      </c>
      <c r="S229" s="196" t="s">
        <v>332</v>
      </c>
      <c r="T229" s="98" t="str">
        <f t="shared" si="7"/>
        <v>7900Midi Plus Mk7 2M R/A</v>
      </c>
    </row>
    <row r="230" spans="14:20">
      <c r="N230" s="3">
        <v>213</v>
      </c>
      <c r="O230" s="158">
        <v>82</v>
      </c>
      <c r="P230" s="472" t="s">
        <v>595</v>
      </c>
      <c r="Q230" s="3">
        <v>7900</v>
      </c>
      <c r="R230" s="158" t="s">
        <v>643</v>
      </c>
      <c r="S230" s="196" t="s">
        <v>333</v>
      </c>
      <c r="T230" s="98" t="str">
        <f t="shared" si="7"/>
        <v>7900Midi Plus Mk7 4M</v>
      </c>
    </row>
    <row r="231" spans="14:20" ht="13.5" thickBot="1">
      <c r="N231" s="3">
        <v>214</v>
      </c>
      <c r="O231" s="158">
        <v>82</v>
      </c>
      <c r="P231" s="472" t="s">
        <v>595</v>
      </c>
      <c r="Q231" s="158">
        <v>7900</v>
      </c>
      <c r="R231" s="259" t="s">
        <v>643</v>
      </c>
      <c r="S231" s="373" t="s">
        <v>334</v>
      </c>
      <c r="T231" s="98" t="str">
        <f t="shared" si="7"/>
        <v>7900Midi Plus Mk7 4M R/A</v>
      </c>
    </row>
    <row r="232" spans="14:20">
      <c r="N232" s="3">
        <v>215</v>
      </c>
      <c r="O232" s="158">
        <v>83</v>
      </c>
      <c r="P232" s="472" t="s">
        <v>595</v>
      </c>
      <c r="Q232" s="158" t="s">
        <v>316</v>
      </c>
      <c r="R232" s="259" t="s">
        <v>643</v>
      </c>
      <c r="S232" s="370" t="s">
        <v>331</v>
      </c>
      <c r="T232" s="98" t="str">
        <f t="shared" si="7"/>
        <v>7900 SpectrumMidi Plus Mk7 2M</v>
      </c>
    </row>
    <row r="233" spans="14:20">
      <c r="N233" s="3">
        <v>216</v>
      </c>
      <c r="O233" s="158">
        <v>83</v>
      </c>
      <c r="P233" s="472" t="s">
        <v>595</v>
      </c>
      <c r="Q233" s="158" t="s">
        <v>316</v>
      </c>
      <c r="R233" s="259" t="s">
        <v>643</v>
      </c>
      <c r="S233" s="196" t="s">
        <v>332</v>
      </c>
      <c r="T233" s="98" t="str">
        <f t="shared" si="7"/>
        <v>7900 SpectrumMidi Plus Mk7 2M R/A</v>
      </c>
    </row>
    <row r="234" spans="14:20">
      <c r="N234" s="3">
        <v>217</v>
      </c>
      <c r="O234" s="158">
        <v>83</v>
      </c>
      <c r="P234" s="472" t="s">
        <v>595</v>
      </c>
      <c r="Q234" s="158" t="s">
        <v>316</v>
      </c>
      <c r="R234" s="259" t="s">
        <v>643</v>
      </c>
      <c r="S234" s="196" t="s">
        <v>333</v>
      </c>
      <c r="T234" s="98" t="str">
        <f t="shared" si="7"/>
        <v>7900 SpectrumMidi Plus Mk7 4M</v>
      </c>
    </row>
    <row r="235" spans="14:20" ht="13.5" thickBot="1">
      <c r="N235" s="3">
        <v>218</v>
      </c>
      <c r="O235" s="158">
        <v>83</v>
      </c>
      <c r="P235" s="472" t="s">
        <v>595</v>
      </c>
      <c r="Q235" s="158" t="s">
        <v>316</v>
      </c>
      <c r="R235" s="259" t="s">
        <v>643</v>
      </c>
      <c r="S235" s="373" t="s">
        <v>334</v>
      </c>
      <c r="T235" s="98" t="str">
        <f t="shared" si="7"/>
        <v>7900 SpectrumMidi Plus Mk7 4M R/A</v>
      </c>
    </row>
    <row r="236" spans="14:20">
      <c r="N236" s="3">
        <v>219</v>
      </c>
      <c r="O236" s="158">
        <v>95</v>
      </c>
      <c r="P236" s="472" t="s">
        <v>596</v>
      </c>
      <c r="Q236" s="158">
        <v>7900</v>
      </c>
      <c r="R236" s="259" t="s">
        <v>643</v>
      </c>
      <c r="S236" s="370" t="s">
        <v>331</v>
      </c>
      <c r="T236" s="98" t="str">
        <f t="shared" si="7"/>
        <v>7900Midi Plus Mk7 2M</v>
      </c>
    </row>
    <row r="237" spans="14:20">
      <c r="N237" s="3">
        <v>220</v>
      </c>
      <c r="O237" s="158">
        <v>95</v>
      </c>
      <c r="P237" s="472" t="s">
        <v>596</v>
      </c>
      <c r="Q237" s="158">
        <v>7900</v>
      </c>
      <c r="R237" s="259" t="s">
        <v>643</v>
      </c>
      <c r="S237" s="196" t="s">
        <v>332</v>
      </c>
      <c r="T237" s="98" t="str">
        <f t="shared" si="7"/>
        <v>7900Midi Plus Mk7 2M R/A</v>
      </c>
    </row>
    <row r="238" spans="14:20">
      <c r="N238" s="3">
        <v>221</v>
      </c>
      <c r="O238" s="158">
        <v>95</v>
      </c>
      <c r="P238" s="472" t="s">
        <v>596</v>
      </c>
      <c r="Q238" s="158">
        <v>7900</v>
      </c>
      <c r="R238" s="259" t="s">
        <v>643</v>
      </c>
      <c r="S238" s="196" t="s">
        <v>333</v>
      </c>
      <c r="T238" s="98" t="str">
        <f t="shared" si="7"/>
        <v>7900Midi Plus Mk7 4M</v>
      </c>
    </row>
    <row r="239" spans="14:20" ht="13.5" thickBot="1">
      <c r="N239" s="3">
        <v>222</v>
      </c>
      <c r="O239" s="158">
        <v>95</v>
      </c>
      <c r="P239" s="472" t="s">
        <v>596</v>
      </c>
      <c r="Q239" s="158">
        <v>7900</v>
      </c>
      <c r="R239" s="259" t="s">
        <v>643</v>
      </c>
      <c r="S239" s="373" t="s">
        <v>334</v>
      </c>
      <c r="T239" s="98" t="str">
        <f t="shared" si="7"/>
        <v>7900Midi Plus Mk7 4M R/A</v>
      </c>
    </row>
    <row r="240" spans="14:20">
      <c r="N240" s="3">
        <v>223</v>
      </c>
      <c r="O240" s="158">
        <v>96</v>
      </c>
      <c r="P240" s="472" t="s">
        <v>596</v>
      </c>
      <c r="Q240" s="158" t="s">
        <v>316</v>
      </c>
      <c r="R240" s="259" t="s">
        <v>643</v>
      </c>
      <c r="S240" s="370" t="s">
        <v>331</v>
      </c>
      <c r="T240" s="98" t="str">
        <f t="shared" si="7"/>
        <v>7900 SpectrumMidi Plus Mk7 2M</v>
      </c>
    </row>
    <row r="241" spans="14:20">
      <c r="N241" s="3">
        <v>224</v>
      </c>
      <c r="O241" s="158">
        <v>96</v>
      </c>
      <c r="P241" s="472" t="s">
        <v>596</v>
      </c>
      <c r="Q241" s="158" t="s">
        <v>316</v>
      </c>
      <c r="R241" s="259" t="s">
        <v>643</v>
      </c>
      <c r="S241" s="196" t="s">
        <v>332</v>
      </c>
      <c r="T241" s="98" t="str">
        <f t="shared" si="7"/>
        <v>7900 SpectrumMidi Plus Mk7 2M R/A</v>
      </c>
    </row>
    <row r="242" spans="14:20">
      <c r="N242" s="3">
        <v>225</v>
      </c>
      <c r="O242" s="158">
        <v>96</v>
      </c>
      <c r="P242" s="472" t="s">
        <v>596</v>
      </c>
      <c r="Q242" s="158" t="s">
        <v>316</v>
      </c>
      <c r="R242" s="259" t="s">
        <v>643</v>
      </c>
      <c r="S242" s="196" t="s">
        <v>333</v>
      </c>
      <c r="T242" s="98" t="str">
        <f t="shared" si="7"/>
        <v>7900 SpectrumMidi Plus Mk7 4M</v>
      </c>
    </row>
    <row r="243" spans="14:20" ht="13.5" thickBot="1">
      <c r="N243" s="3">
        <v>226</v>
      </c>
      <c r="O243" s="158">
        <v>96</v>
      </c>
      <c r="P243" s="472" t="s">
        <v>596</v>
      </c>
      <c r="Q243" s="158" t="s">
        <v>316</v>
      </c>
      <c r="R243" s="259" t="s">
        <v>643</v>
      </c>
      <c r="S243" s="373" t="s">
        <v>334</v>
      </c>
      <c r="T243" s="98" t="str">
        <f t="shared" si="7"/>
        <v>7900 SpectrumMidi Plus Mk7 4M R/A</v>
      </c>
    </row>
    <row r="244" spans="14:20">
      <c r="N244" s="3">
        <v>227</v>
      </c>
      <c r="O244" s="158">
        <v>114</v>
      </c>
      <c r="P244" s="472" t="s">
        <v>597</v>
      </c>
      <c r="Q244" s="158">
        <v>7900</v>
      </c>
      <c r="R244" s="259" t="s">
        <v>643</v>
      </c>
      <c r="S244" s="370" t="s">
        <v>331</v>
      </c>
      <c r="T244" s="98" t="str">
        <f t="shared" si="7"/>
        <v>7900Midi Plus Mk7 2M</v>
      </c>
    </row>
    <row r="245" spans="14:20">
      <c r="N245" s="3">
        <v>228</v>
      </c>
      <c r="O245" s="158">
        <v>114</v>
      </c>
      <c r="P245" s="472" t="s">
        <v>597</v>
      </c>
      <c r="Q245" s="158">
        <v>7900</v>
      </c>
      <c r="R245" s="259" t="s">
        <v>643</v>
      </c>
      <c r="S245" s="196" t="s">
        <v>332</v>
      </c>
      <c r="T245" s="98" t="str">
        <f t="shared" si="7"/>
        <v>7900Midi Plus Mk7 2M R/A</v>
      </c>
    </row>
    <row r="246" spans="14:20">
      <c r="N246" s="3">
        <v>229</v>
      </c>
      <c r="O246" s="158">
        <v>114</v>
      </c>
      <c r="P246" s="472" t="s">
        <v>597</v>
      </c>
      <c r="Q246" s="158">
        <v>7900</v>
      </c>
      <c r="R246" s="259" t="s">
        <v>643</v>
      </c>
      <c r="S246" s="196" t="s">
        <v>333</v>
      </c>
      <c r="T246" s="98" t="str">
        <f t="shared" si="7"/>
        <v>7900Midi Plus Mk7 4M</v>
      </c>
    </row>
    <row r="247" spans="14:20" ht="13.5" thickBot="1">
      <c r="N247" s="3">
        <v>230</v>
      </c>
      <c r="O247" s="158">
        <v>114</v>
      </c>
      <c r="P247" s="472" t="s">
        <v>597</v>
      </c>
      <c r="Q247" s="158">
        <v>7900</v>
      </c>
      <c r="R247" s="259" t="s">
        <v>643</v>
      </c>
      <c r="S247" s="373" t="s">
        <v>334</v>
      </c>
      <c r="T247" s="98" t="str">
        <f t="shared" si="7"/>
        <v>7900Midi Plus Mk7 4M R/A</v>
      </c>
    </row>
    <row r="248" spans="14:20">
      <c r="N248" s="3">
        <v>231</v>
      </c>
      <c r="O248" s="158">
        <v>115</v>
      </c>
      <c r="P248" s="472" t="s">
        <v>597</v>
      </c>
      <c r="Q248" s="158" t="s">
        <v>316</v>
      </c>
      <c r="R248" s="259" t="s">
        <v>643</v>
      </c>
      <c r="S248" s="370" t="s">
        <v>331</v>
      </c>
      <c r="T248" s="98" t="str">
        <f t="shared" si="7"/>
        <v>7900 SpectrumMidi Plus Mk7 2M</v>
      </c>
    </row>
    <row r="249" spans="14:20">
      <c r="N249" s="3">
        <v>232</v>
      </c>
      <c r="O249" s="158">
        <v>115</v>
      </c>
      <c r="P249" s="472" t="s">
        <v>597</v>
      </c>
      <c r="Q249" s="158" t="s">
        <v>316</v>
      </c>
      <c r="R249" s="259" t="s">
        <v>643</v>
      </c>
      <c r="S249" s="196" t="s">
        <v>332</v>
      </c>
      <c r="T249" s="98" t="str">
        <f t="shared" si="7"/>
        <v>7900 SpectrumMidi Plus Mk7 2M R/A</v>
      </c>
    </row>
    <row r="250" spans="14:20">
      <c r="N250" s="3">
        <v>233</v>
      </c>
      <c r="O250" s="158">
        <v>115</v>
      </c>
      <c r="P250" s="472" t="s">
        <v>597</v>
      </c>
      <c r="Q250" s="158" t="s">
        <v>316</v>
      </c>
      <c r="R250" s="259" t="s">
        <v>643</v>
      </c>
      <c r="S250" s="196" t="s">
        <v>333</v>
      </c>
      <c r="T250" s="98" t="str">
        <f t="shared" si="7"/>
        <v>7900 SpectrumMidi Plus Mk7 4M</v>
      </c>
    </row>
    <row r="251" spans="14:20" ht="13.5" thickBot="1">
      <c r="N251" s="3">
        <v>234</v>
      </c>
      <c r="O251" s="158">
        <v>115</v>
      </c>
      <c r="P251" s="472" t="s">
        <v>597</v>
      </c>
      <c r="Q251" s="158" t="s">
        <v>316</v>
      </c>
      <c r="R251" s="259" t="s">
        <v>643</v>
      </c>
      <c r="S251" s="373" t="s">
        <v>334</v>
      </c>
      <c r="T251" s="98" t="str">
        <f t="shared" si="7"/>
        <v>7900 SpectrumMidi Plus Mk7 4M R/A</v>
      </c>
    </row>
    <row r="252" spans="14:20">
      <c r="N252" s="3">
        <v>235</v>
      </c>
      <c r="O252" s="158">
        <v>127</v>
      </c>
      <c r="P252" s="472" t="s">
        <v>598</v>
      </c>
      <c r="Q252" s="158">
        <v>7900</v>
      </c>
      <c r="R252" s="259" t="s">
        <v>643</v>
      </c>
      <c r="S252" s="370" t="s">
        <v>331</v>
      </c>
      <c r="T252" s="98" t="str">
        <f t="shared" si="7"/>
        <v>7900Midi Plus Mk7 2M</v>
      </c>
    </row>
    <row r="253" spans="14:20">
      <c r="N253" s="3">
        <v>236</v>
      </c>
      <c r="O253" s="158">
        <v>127</v>
      </c>
      <c r="P253" s="472" t="s">
        <v>598</v>
      </c>
      <c r="Q253" s="158">
        <v>7900</v>
      </c>
      <c r="R253" s="259" t="s">
        <v>643</v>
      </c>
      <c r="S253" s="196" t="s">
        <v>332</v>
      </c>
      <c r="T253" s="98" t="str">
        <f t="shared" si="7"/>
        <v>7900Midi Plus Mk7 2M R/A</v>
      </c>
    </row>
    <row r="254" spans="14:20">
      <c r="N254" s="3">
        <v>237</v>
      </c>
      <c r="O254" s="158">
        <v>127</v>
      </c>
      <c r="P254" s="472" t="s">
        <v>598</v>
      </c>
      <c r="Q254" s="158">
        <v>7900</v>
      </c>
      <c r="R254" s="259" t="s">
        <v>643</v>
      </c>
      <c r="S254" s="196" t="s">
        <v>333</v>
      </c>
      <c r="T254" s="98" t="str">
        <f t="shared" si="7"/>
        <v>7900Midi Plus Mk7 4M</v>
      </c>
    </row>
    <row r="255" spans="14:20" ht="13.5" thickBot="1">
      <c r="N255" s="3">
        <v>238</v>
      </c>
      <c r="O255" s="158">
        <v>127</v>
      </c>
      <c r="P255" s="472" t="s">
        <v>598</v>
      </c>
      <c r="Q255" s="158">
        <v>7900</v>
      </c>
      <c r="R255" s="259" t="s">
        <v>643</v>
      </c>
      <c r="S255" s="373" t="s">
        <v>334</v>
      </c>
      <c r="T255" s="98" t="str">
        <f t="shared" si="7"/>
        <v>7900Midi Plus Mk7 4M R/A</v>
      </c>
    </row>
    <row r="256" spans="14:20">
      <c r="N256" s="3">
        <v>239</v>
      </c>
      <c r="O256" s="158">
        <v>128</v>
      </c>
      <c r="P256" s="472" t="s">
        <v>598</v>
      </c>
      <c r="Q256" s="158" t="s">
        <v>316</v>
      </c>
      <c r="R256" s="259" t="s">
        <v>643</v>
      </c>
      <c r="S256" s="370" t="s">
        <v>331</v>
      </c>
      <c r="T256" s="98" t="str">
        <f t="shared" si="7"/>
        <v>7900 SpectrumMidi Plus Mk7 2M</v>
      </c>
    </row>
    <row r="257" spans="14:20">
      <c r="N257" s="3">
        <v>240</v>
      </c>
      <c r="O257" s="158">
        <v>128</v>
      </c>
      <c r="P257" s="472" t="s">
        <v>598</v>
      </c>
      <c r="Q257" s="158" t="s">
        <v>316</v>
      </c>
      <c r="R257" s="259" t="s">
        <v>643</v>
      </c>
      <c r="S257" s="196" t="s">
        <v>332</v>
      </c>
      <c r="T257" s="98" t="str">
        <f t="shared" si="7"/>
        <v>7900 SpectrumMidi Plus Mk7 2M R/A</v>
      </c>
    </row>
    <row r="258" spans="14:20">
      <c r="N258" s="3">
        <v>241</v>
      </c>
      <c r="O258" s="158">
        <v>128</v>
      </c>
      <c r="P258" s="472" t="s">
        <v>598</v>
      </c>
      <c r="Q258" s="158" t="s">
        <v>316</v>
      </c>
      <c r="R258" s="259" t="s">
        <v>643</v>
      </c>
      <c r="S258" s="196" t="s">
        <v>333</v>
      </c>
      <c r="T258" s="98" t="str">
        <f t="shared" si="7"/>
        <v>7900 SpectrumMidi Plus Mk7 4M</v>
      </c>
    </row>
    <row r="259" spans="14:20" ht="13.5" thickBot="1">
      <c r="N259" s="3">
        <v>242</v>
      </c>
      <c r="O259" s="158">
        <v>128</v>
      </c>
      <c r="P259" s="472" t="s">
        <v>598</v>
      </c>
      <c r="Q259" s="158" t="s">
        <v>316</v>
      </c>
      <c r="R259" s="259" t="s">
        <v>643</v>
      </c>
      <c r="S259" s="373" t="s">
        <v>334</v>
      </c>
      <c r="T259" s="98" t="str">
        <f t="shared" si="7"/>
        <v>7900 SpectrumMidi Plus Mk7 4M R/A</v>
      </c>
    </row>
    <row r="260" spans="14:20">
      <c r="N260" s="3">
        <v>243</v>
      </c>
      <c r="O260" s="158">
        <v>139</v>
      </c>
      <c r="P260" s="472" t="s">
        <v>599</v>
      </c>
      <c r="Q260" s="158">
        <v>7900</v>
      </c>
      <c r="R260" s="259" t="s">
        <v>643</v>
      </c>
      <c r="S260" s="370" t="s">
        <v>331</v>
      </c>
      <c r="T260" s="98" t="str">
        <f t="shared" si="7"/>
        <v>7900Midi Plus Mk7 2M</v>
      </c>
    </row>
    <row r="261" spans="14:20">
      <c r="N261" s="3">
        <v>244</v>
      </c>
      <c r="O261" s="158">
        <v>139</v>
      </c>
      <c r="P261" s="472" t="s">
        <v>599</v>
      </c>
      <c r="Q261" s="158">
        <v>7900</v>
      </c>
      <c r="R261" s="259" t="s">
        <v>643</v>
      </c>
      <c r="S261" s="196" t="s">
        <v>332</v>
      </c>
      <c r="T261" s="98" t="str">
        <f t="shared" si="7"/>
        <v>7900Midi Plus Mk7 2M R/A</v>
      </c>
    </row>
    <row r="262" spans="14:20">
      <c r="N262" s="3">
        <v>245</v>
      </c>
      <c r="O262" s="158">
        <v>139</v>
      </c>
      <c r="P262" s="472" t="s">
        <v>599</v>
      </c>
      <c r="Q262" s="158">
        <v>7900</v>
      </c>
      <c r="R262" s="259" t="s">
        <v>643</v>
      </c>
      <c r="S262" s="196" t="s">
        <v>333</v>
      </c>
      <c r="T262" s="98" t="str">
        <f t="shared" si="7"/>
        <v>7900Midi Plus Mk7 4M</v>
      </c>
    </row>
    <row r="263" spans="14:20" ht="13.5" thickBot="1">
      <c r="N263" s="3">
        <v>246</v>
      </c>
      <c r="O263" s="158">
        <v>139</v>
      </c>
      <c r="P263" s="472" t="s">
        <v>599</v>
      </c>
      <c r="Q263" s="158">
        <v>7900</v>
      </c>
      <c r="R263" s="259" t="s">
        <v>643</v>
      </c>
      <c r="S263" s="373" t="s">
        <v>334</v>
      </c>
      <c r="T263" s="98" t="str">
        <f t="shared" si="7"/>
        <v>7900Midi Plus Mk7 4M R/A</v>
      </c>
    </row>
    <row r="264" spans="14:20">
      <c r="N264" s="3">
        <v>247</v>
      </c>
      <c r="O264" s="158">
        <v>140</v>
      </c>
      <c r="P264" s="472" t="s">
        <v>599</v>
      </c>
      <c r="Q264" s="158" t="s">
        <v>316</v>
      </c>
      <c r="R264" s="259" t="s">
        <v>643</v>
      </c>
      <c r="S264" s="370" t="s">
        <v>331</v>
      </c>
      <c r="T264" s="98" t="str">
        <f t="shared" si="7"/>
        <v>7900 SpectrumMidi Plus Mk7 2M</v>
      </c>
    </row>
    <row r="265" spans="14:20">
      <c r="N265" s="3">
        <v>248</v>
      </c>
      <c r="O265" s="158">
        <v>140</v>
      </c>
      <c r="P265" s="472" t="s">
        <v>599</v>
      </c>
      <c r="Q265" s="158" t="s">
        <v>316</v>
      </c>
      <c r="R265" s="259" t="s">
        <v>643</v>
      </c>
      <c r="S265" s="196" t="s">
        <v>332</v>
      </c>
      <c r="T265" s="98" t="str">
        <f t="shared" si="7"/>
        <v>7900 SpectrumMidi Plus Mk7 2M R/A</v>
      </c>
    </row>
    <row r="266" spans="14:20">
      <c r="N266" s="3">
        <v>249</v>
      </c>
      <c r="O266" s="158">
        <v>140</v>
      </c>
      <c r="P266" s="472" t="s">
        <v>599</v>
      </c>
      <c r="Q266" s="158" t="s">
        <v>316</v>
      </c>
      <c r="R266" s="259" t="s">
        <v>643</v>
      </c>
      <c r="S266" s="196" t="s">
        <v>333</v>
      </c>
      <c r="T266" s="98" t="str">
        <f t="shared" si="7"/>
        <v>7900 SpectrumMidi Plus Mk7 4M</v>
      </c>
    </row>
    <row r="267" spans="14:20" ht="13.5" thickBot="1">
      <c r="N267" s="3">
        <v>250</v>
      </c>
      <c r="O267" s="158">
        <v>140</v>
      </c>
      <c r="P267" s="472" t="s">
        <v>599</v>
      </c>
      <c r="Q267" s="158" t="s">
        <v>316</v>
      </c>
      <c r="R267" s="259" t="s">
        <v>643</v>
      </c>
      <c r="S267" s="373" t="s">
        <v>334</v>
      </c>
      <c r="T267" s="98" t="str">
        <f t="shared" si="7"/>
        <v>7900 SpectrumMidi Plus Mk7 4M R/A</v>
      </c>
    </row>
    <row r="268" spans="14:20">
      <c r="N268" s="3">
        <v>251</v>
      </c>
      <c r="O268" s="158">
        <v>144</v>
      </c>
      <c r="P268" s="472" t="s">
        <v>600</v>
      </c>
      <c r="Q268" s="158" t="s">
        <v>316</v>
      </c>
      <c r="R268" s="259" t="s">
        <v>643</v>
      </c>
      <c r="S268" s="370" t="s">
        <v>331</v>
      </c>
      <c r="T268" s="98" t="str">
        <f t="shared" si="7"/>
        <v>7900 SpectrumMidi Plus Mk7 2M</v>
      </c>
    </row>
    <row r="269" spans="14:20">
      <c r="N269" s="3">
        <v>252</v>
      </c>
      <c r="O269" s="158">
        <v>144</v>
      </c>
      <c r="P269" s="472" t="s">
        <v>600</v>
      </c>
      <c r="Q269" s="158" t="s">
        <v>316</v>
      </c>
      <c r="R269" s="259" t="s">
        <v>643</v>
      </c>
      <c r="S269" s="196" t="s">
        <v>332</v>
      </c>
      <c r="T269" s="98" t="str">
        <f t="shared" si="7"/>
        <v>7900 SpectrumMidi Plus Mk7 2M R/A</v>
      </c>
    </row>
    <row r="270" spans="14:20">
      <c r="N270" s="3">
        <v>253</v>
      </c>
      <c r="O270" s="158">
        <v>144</v>
      </c>
      <c r="P270" s="472" t="s">
        <v>600</v>
      </c>
      <c r="Q270" s="158" t="s">
        <v>316</v>
      </c>
      <c r="R270" s="259" t="s">
        <v>643</v>
      </c>
      <c r="S270" s="196" t="s">
        <v>333</v>
      </c>
      <c r="T270" s="98" t="str">
        <f t="shared" si="7"/>
        <v>7900 SpectrumMidi Plus Mk7 4M</v>
      </c>
    </row>
    <row r="271" spans="14:20" ht="13.5" thickBot="1">
      <c r="N271" s="3">
        <v>254</v>
      </c>
      <c r="O271" s="158">
        <v>144</v>
      </c>
      <c r="P271" s="472" t="s">
        <v>600</v>
      </c>
      <c r="Q271" s="158" t="s">
        <v>316</v>
      </c>
      <c r="R271" s="259" t="s">
        <v>643</v>
      </c>
      <c r="S271" s="373" t="s">
        <v>334</v>
      </c>
      <c r="T271" s="98" t="str">
        <f t="shared" si="7"/>
        <v>7900 SpectrumMidi Plus Mk7 4M R/A</v>
      </c>
    </row>
    <row r="272" spans="14:20">
      <c r="N272" s="3">
        <v>255</v>
      </c>
      <c r="O272" s="158">
        <v>162</v>
      </c>
      <c r="P272" s="472" t="s">
        <v>602</v>
      </c>
      <c r="Q272" s="158">
        <v>7900</v>
      </c>
      <c r="R272" s="259" t="s">
        <v>643</v>
      </c>
      <c r="S272" s="370" t="s">
        <v>331</v>
      </c>
      <c r="T272" s="98" t="str">
        <f t="shared" si="7"/>
        <v>7900Midi Plus Mk7 2M</v>
      </c>
    </row>
    <row r="273" spans="14:20">
      <c r="N273" s="3">
        <v>256</v>
      </c>
      <c r="O273" s="158">
        <v>162</v>
      </c>
      <c r="P273" s="472" t="s">
        <v>602</v>
      </c>
      <c r="Q273" s="158">
        <v>7900</v>
      </c>
      <c r="R273" s="259" t="s">
        <v>643</v>
      </c>
      <c r="S273" s="196" t="s">
        <v>332</v>
      </c>
      <c r="T273" s="98" t="str">
        <f t="shared" si="7"/>
        <v>7900Midi Plus Mk7 2M R/A</v>
      </c>
    </row>
    <row r="274" spans="14:20">
      <c r="N274" s="3">
        <v>257</v>
      </c>
      <c r="O274" s="158">
        <v>162</v>
      </c>
      <c r="P274" s="472" t="s">
        <v>602</v>
      </c>
      <c r="Q274" s="158">
        <v>7900</v>
      </c>
      <c r="R274" s="259" t="s">
        <v>643</v>
      </c>
      <c r="S274" s="196" t="s">
        <v>333</v>
      </c>
      <c r="T274" s="98" t="str">
        <f t="shared" si="7"/>
        <v>7900Midi Plus Mk7 4M</v>
      </c>
    </row>
    <row r="275" spans="14:20" ht="13.5" thickBot="1">
      <c r="N275" s="3">
        <v>258</v>
      </c>
      <c r="O275" s="158">
        <v>162</v>
      </c>
      <c r="P275" s="472" t="s">
        <v>602</v>
      </c>
      <c r="Q275" s="158">
        <v>7900</v>
      </c>
      <c r="R275" s="259" t="s">
        <v>643</v>
      </c>
      <c r="S275" s="373" t="s">
        <v>334</v>
      </c>
      <c r="T275" s="98" t="str">
        <f t="shared" ref="T275:T338" si="8">Q275&amp;S275</f>
        <v>7900Midi Plus Mk7 4M R/A</v>
      </c>
    </row>
    <row r="276" spans="14:20">
      <c r="N276" s="3">
        <v>259</v>
      </c>
      <c r="O276" s="158">
        <v>163</v>
      </c>
      <c r="P276" s="472" t="s">
        <v>602</v>
      </c>
      <c r="Q276" s="158" t="s">
        <v>316</v>
      </c>
      <c r="R276" s="259" t="s">
        <v>643</v>
      </c>
      <c r="S276" s="370" t="s">
        <v>331</v>
      </c>
      <c r="T276" s="98" t="str">
        <f t="shared" si="8"/>
        <v>7900 SpectrumMidi Plus Mk7 2M</v>
      </c>
    </row>
    <row r="277" spans="14:20">
      <c r="N277" s="3">
        <v>260</v>
      </c>
      <c r="O277" s="158">
        <v>163</v>
      </c>
      <c r="P277" s="472" t="s">
        <v>602</v>
      </c>
      <c r="Q277" s="158" t="s">
        <v>316</v>
      </c>
      <c r="R277" s="259" t="s">
        <v>643</v>
      </c>
      <c r="S277" s="196" t="s">
        <v>332</v>
      </c>
      <c r="T277" s="98" t="str">
        <f t="shared" si="8"/>
        <v>7900 SpectrumMidi Plus Mk7 2M R/A</v>
      </c>
    </row>
    <row r="278" spans="14:20">
      <c r="N278" s="3">
        <v>261</v>
      </c>
      <c r="O278" s="158">
        <v>163</v>
      </c>
      <c r="P278" s="472" t="s">
        <v>602</v>
      </c>
      <c r="Q278" s="158" t="s">
        <v>316</v>
      </c>
      <c r="R278" s="259" t="s">
        <v>643</v>
      </c>
      <c r="S278" s="196" t="s">
        <v>333</v>
      </c>
      <c r="T278" s="98" t="str">
        <f t="shared" si="8"/>
        <v>7900 SpectrumMidi Plus Mk7 4M</v>
      </c>
    </row>
    <row r="279" spans="14:20" ht="13.5" thickBot="1">
      <c r="N279" s="3">
        <v>262</v>
      </c>
      <c r="O279" s="158">
        <v>163</v>
      </c>
      <c r="P279" s="472" t="s">
        <v>602</v>
      </c>
      <c r="Q279" s="158" t="s">
        <v>316</v>
      </c>
      <c r="R279" s="259" t="s">
        <v>643</v>
      </c>
      <c r="S279" s="373" t="s">
        <v>334</v>
      </c>
      <c r="T279" s="98" t="str">
        <f t="shared" si="8"/>
        <v>7900 SpectrumMidi Plus Mk7 4M R/A</v>
      </c>
    </row>
    <row r="280" spans="14:20">
      <c r="N280" s="3">
        <v>263</v>
      </c>
      <c r="O280" s="158">
        <v>167</v>
      </c>
      <c r="P280" s="472" t="s">
        <v>603</v>
      </c>
      <c r="Q280" s="158">
        <v>7900</v>
      </c>
      <c r="R280" s="259" t="s">
        <v>643</v>
      </c>
      <c r="S280" s="370" t="s">
        <v>331</v>
      </c>
      <c r="T280" s="98" t="str">
        <f t="shared" si="8"/>
        <v>7900Midi Plus Mk7 2M</v>
      </c>
    </row>
    <row r="281" spans="14:20">
      <c r="N281" s="3">
        <v>264</v>
      </c>
      <c r="O281" s="158">
        <v>167</v>
      </c>
      <c r="P281" s="472" t="s">
        <v>603</v>
      </c>
      <c r="Q281" s="158">
        <v>7900</v>
      </c>
      <c r="R281" s="259" t="s">
        <v>643</v>
      </c>
      <c r="S281" s="196" t="s">
        <v>332</v>
      </c>
      <c r="T281" s="98" t="str">
        <f t="shared" si="8"/>
        <v>7900Midi Plus Mk7 2M R/A</v>
      </c>
    </row>
    <row r="282" spans="14:20">
      <c r="N282" s="3">
        <v>265</v>
      </c>
      <c r="O282" s="158">
        <v>167</v>
      </c>
      <c r="P282" s="472" t="s">
        <v>603</v>
      </c>
      <c r="Q282" s="158">
        <v>7900</v>
      </c>
      <c r="R282" s="259" t="s">
        <v>643</v>
      </c>
      <c r="S282" s="196" t="s">
        <v>333</v>
      </c>
      <c r="T282" s="98" t="str">
        <f t="shared" si="8"/>
        <v>7900Midi Plus Mk7 4M</v>
      </c>
    </row>
    <row r="283" spans="14:20" ht="13.5" thickBot="1">
      <c r="N283" s="3">
        <v>266</v>
      </c>
      <c r="O283" s="158">
        <v>167</v>
      </c>
      <c r="P283" s="472" t="s">
        <v>603</v>
      </c>
      <c r="Q283" s="158">
        <v>7900</v>
      </c>
      <c r="R283" s="259" t="s">
        <v>643</v>
      </c>
      <c r="S283" s="373" t="s">
        <v>334</v>
      </c>
      <c r="T283" s="98" t="str">
        <f t="shared" si="8"/>
        <v>7900Midi Plus Mk7 4M R/A</v>
      </c>
    </row>
    <row r="284" spans="14:20">
      <c r="N284" s="3">
        <v>267</v>
      </c>
      <c r="O284" s="158">
        <v>168</v>
      </c>
      <c r="P284" s="472" t="s">
        <v>603</v>
      </c>
      <c r="Q284" s="158" t="s">
        <v>316</v>
      </c>
      <c r="R284" s="259" t="s">
        <v>643</v>
      </c>
      <c r="S284" s="370" t="s">
        <v>331</v>
      </c>
      <c r="T284" s="98" t="str">
        <f t="shared" si="8"/>
        <v>7900 SpectrumMidi Plus Mk7 2M</v>
      </c>
    </row>
    <row r="285" spans="14:20">
      <c r="N285" s="3">
        <v>268</v>
      </c>
      <c r="O285" s="158">
        <v>168</v>
      </c>
      <c r="P285" s="472" t="s">
        <v>603</v>
      </c>
      <c r="Q285" s="158" t="s">
        <v>316</v>
      </c>
      <c r="R285" s="259" t="s">
        <v>643</v>
      </c>
      <c r="S285" s="196" t="s">
        <v>332</v>
      </c>
      <c r="T285" s="98" t="str">
        <f t="shared" si="8"/>
        <v>7900 SpectrumMidi Plus Mk7 2M R/A</v>
      </c>
    </row>
    <row r="286" spans="14:20">
      <c r="N286" s="3">
        <v>269</v>
      </c>
      <c r="O286" s="158">
        <v>168</v>
      </c>
      <c r="P286" s="472" t="s">
        <v>603</v>
      </c>
      <c r="Q286" s="158" t="s">
        <v>316</v>
      </c>
      <c r="R286" s="259" t="s">
        <v>643</v>
      </c>
      <c r="S286" s="196" t="s">
        <v>333</v>
      </c>
      <c r="T286" s="98" t="str">
        <f t="shared" si="8"/>
        <v>7900 SpectrumMidi Plus Mk7 4M</v>
      </c>
    </row>
    <row r="287" spans="14:20" ht="13.5" thickBot="1">
      <c r="N287" s="3">
        <v>270</v>
      </c>
      <c r="O287" s="158">
        <v>168</v>
      </c>
      <c r="P287" s="472" t="s">
        <v>603</v>
      </c>
      <c r="Q287" s="158" t="s">
        <v>316</v>
      </c>
      <c r="R287" s="259" t="s">
        <v>643</v>
      </c>
      <c r="S287" s="373" t="s">
        <v>334</v>
      </c>
      <c r="T287" s="98" t="str">
        <f t="shared" si="8"/>
        <v>7900 SpectrumMidi Plus Mk7 4M R/A</v>
      </c>
    </row>
    <row r="288" spans="14:20">
      <c r="N288" s="3">
        <v>271</v>
      </c>
      <c r="O288" s="158">
        <v>178</v>
      </c>
      <c r="P288" s="472" t="s">
        <v>604</v>
      </c>
      <c r="Q288" s="158">
        <v>7900</v>
      </c>
      <c r="R288" s="259" t="s">
        <v>643</v>
      </c>
      <c r="S288" s="370" t="s">
        <v>331</v>
      </c>
      <c r="T288" s="98" t="str">
        <f t="shared" si="8"/>
        <v>7900Midi Plus Mk7 2M</v>
      </c>
    </row>
    <row r="289" spans="14:20">
      <c r="N289" s="3">
        <v>272</v>
      </c>
      <c r="O289" s="158">
        <v>178</v>
      </c>
      <c r="P289" s="472" t="s">
        <v>604</v>
      </c>
      <c r="Q289" s="158">
        <v>7900</v>
      </c>
      <c r="R289" s="259" t="s">
        <v>643</v>
      </c>
      <c r="S289" s="196" t="s">
        <v>332</v>
      </c>
      <c r="T289" s="98" t="str">
        <f t="shared" si="8"/>
        <v>7900Midi Plus Mk7 2M R/A</v>
      </c>
    </row>
    <row r="290" spans="14:20">
      <c r="N290" s="3">
        <v>273</v>
      </c>
      <c r="O290" s="158">
        <v>178</v>
      </c>
      <c r="P290" s="472" t="s">
        <v>604</v>
      </c>
      <c r="Q290" s="158">
        <v>7900</v>
      </c>
      <c r="R290" s="259" t="s">
        <v>643</v>
      </c>
      <c r="S290" s="196" t="s">
        <v>333</v>
      </c>
      <c r="T290" s="98" t="str">
        <f t="shared" si="8"/>
        <v>7900Midi Plus Mk7 4M</v>
      </c>
    </row>
    <row r="291" spans="14:20" ht="13.5" thickBot="1">
      <c r="N291" s="3">
        <v>274</v>
      </c>
      <c r="O291" s="158">
        <v>178</v>
      </c>
      <c r="P291" s="472" t="s">
        <v>604</v>
      </c>
      <c r="Q291" s="158">
        <v>7900</v>
      </c>
      <c r="R291" s="259" t="s">
        <v>643</v>
      </c>
      <c r="S291" s="373" t="s">
        <v>334</v>
      </c>
      <c r="T291" s="98" t="str">
        <f t="shared" si="8"/>
        <v>7900Midi Plus Mk7 4M R/A</v>
      </c>
    </row>
    <row r="292" spans="14:20">
      <c r="N292" s="3">
        <v>275</v>
      </c>
      <c r="O292" s="158">
        <v>179</v>
      </c>
      <c r="P292" s="472" t="s">
        <v>604</v>
      </c>
      <c r="Q292" s="158" t="s">
        <v>316</v>
      </c>
      <c r="R292" s="259" t="s">
        <v>643</v>
      </c>
      <c r="S292" s="370" t="s">
        <v>331</v>
      </c>
      <c r="T292" s="98" t="str">
        <f t="shared" si="8"/>
        <v>7900 SpectrumMidi Plus Mk7 2M</v>
      </c>
    </row>
    <row r="293" spans="14:20">
      <c r="N293" s="3">
        <v>276</v>
      </c>
      <c r="O293" s="158">
        <v>179</v>
      </c>
      <c r="P293" s="472" t="s">
        <v>604</v>
      </c>
      <c r="Q293" s="158" t="s">
        <v>316</v>
      </c>
      <c r="R293" s="259" t="s">
        <v>643</v>
      </c>
      <c r="S293" s="196" t="s">
        <v>332</v>
      </c>
      <c r="T293" s="98" t="str">
        <f t="shared" si="8"/>
        <v>7900 SpectrumMidi Plus Mk7 2M R/A</v>
      </c>
    </row>
    <row r="294" spans="14:20">
      <c r="N294" s="3">
        <v>277</v>
      </c>
      <c r="O294" s="158">
        <v>179</v>
      </c>
      <c r="P294" s="472" t="s">
        <v>604</v>
      </c>
      <c r="Q294" s="158" t="s">
        <v>316</v>
      </c>
      <c r="R294" s="259" t="s">
        <v>643</v>
      </c>
      <c r="S294" s="196" t="s">
        <v>333</v>
      </c>
      <c r="T294" s="98" t="str">
        <f t="shared" si="8"/>
        <v>7900 SpectrumMidi Plus Mk7 4M</v>
      </c>
    </row>
    <row r="295" spans="14:20" ht="13.5" thickBot="1">
      <c r="N295" s="3">
        <v>278</v>
      </c>
      <c r="O295" s="158">
        <v>179</v>
      </c>
      <c r="P295" s="472" t="s">
        <v>604</v>
      </c>
      <c r="Q295" s="158" t="s">
        <v>316</v>
      </c>
      <c r="R295" s="259" t="s">
        <v>643</v>
      </c>
      <c r="S295" s="373" t="s">
        <v>334</v>
      </c>
      <c r="T295" s="98" t="str">
        <f t="shared" si="8"/>
        <v>7900 SpectrumMidi Plus Mk7 4M R/A</v>
      </c>
    </row>
    <row r="296" spans="14:20">
      <c r="N296" s="3">
        <v>279</v>
      </c>
      <c r="O296" s="158">
        <v>184</v>
      </c>
      <c r="P296" s="472" t="s">
        <v>605</v>
      </c>
      <c r="Q296" s="158">
        <v>7900</v>
      </c>
      <c r="R296" s="259" t="s">
        <v>643</v>
      </c>
      <c r="S296" s="370" t="s">
        <v>331</v>
      </c>
      <c r="T296" s="98" t="str">
        <f t="shared" si="8"/>
        <v>7900Midi Plus Mk7 2M</v>
      </c>
    </row>
    <row r="297" spans="14:20">
      <c r="N297" s="3">
        <v>280</v>
      </c>
      <c r="O297" s="158">
        <v>184</v>
      </c>
      <c r="P297" s="472" t="s">
        <v>605</v>
      </c>
      <c r="Q297" s="158">
        <v>7900</v>
      </c>
      <c r="R297" s="259" t="s">
        <v>643</v>
      </c>
      <c r="S297" s="196" t="s">
        <v>332</v>
      </c>
      <c r="T297" s="98" t="str">
        <f t="shared" si="8"/>
        <v>7900Midi Plus Mk7 2M R/A</v>
      </c>
    </row>
    <row r="298" spans="14:20">
      <c r="N298" s="3">
        <v>281</v>
      </c>
      <c r="O298" s="158">
        <v>184</v>
      </c>
      <c r="P298" s="472" t="s">
        <v>605</v>
      </c>
      <c r="Q298" s="158">
        <v>7900</v>
      </c>
      <c r="R298" s="259" t="s">
        <v>643</v>
      </c>
      <c r="S298" s="196" t="s">
        <v>333</v>
      </c>
      <c r="T298" s="98" t="str">
        <f t="shared" si="8"/>
        <v>7900Midi Plus Mk7 4M</v>
      </c>
    </row>
    <row r="299" spans="14:20" ht="13.5" thickBot="1">
      <c r="N299" s="3">
        <v>282</v>
      </c>
      <c r="O299" s="158">
        <v>184</v>
      </c>
      <c r="P299" s="472" t="s">
        <v>605</v>
      </c>
      <c r="Q299" s="158">
        <v>7900</v>
      </c>
      <c r="R299" s="259" t="s">
        <v>643</v>
      </c>
      <c r="S299" s="373" t="s">
        <v>334</v>
      </c>
      <c r="T299" s="98" t="str">
        <f t="shared" si="8"/>
        <v>7900Midi Plus Mk7 4M R/A</v>
      </c>
    </row>
    <row r="300" spans="14:20">
      <c r="N300" s="3">
        <v>283</v>
      </c>
      <c r="O300" s="158">
        <v>185</v>
      </c>
      <c r="P300" s="472" t="s">
        <v>605</v>
      </c>
      <c r="Q300" s="158" t="s">
        <v>316</v>
      </c>
      <c r="R300" s="259" t="s">
        <v>643</v>
      </c>
      <c r="S300" s="370" t="s">
        <v>331</v>
      </c>
      <c r="T300" s="98" t="str">
        <f t="shared" si="8"/>
        <v>7900 SpectrumMidi Plus Mk7 2M</v>
      </c>
    </row>
    <row r="301" spans="14:20">
      <c r="N301" s="3">
        <v>284</v>
      </c>
      <c r="O301" s="158">
        <v>185</v>
      </c>
      <c r="P301" s="472" t="s">
        <v>605</v>
      </c>
      <c r="Q301" s="158" t="s">
        <v>316</v>
      </c>
      <c r="R301" s="259" t="s">
        <v>643</v>
      </c>
      <c r="S301" s="196" t="s">
        <v>332</v>
      </c>
      <c r="T301" s="98" t="str">
        <f t="shared" si="8"/>
        <v>7900 SpectrumMidi Plus Mk7 2M R/A</v>
      </c>
    </row>
    <row r="302" spans="14:20">
      <c r="N302" s="3">
        <v>285</v>
      </c>
      <c r="O302" s="158">
        <v>185</v>
      </c>
      <c r="P302" s="472" t="s">
        <v>605</v>
      </c>
      <c r="Q302" s="158" t="s">
        <v>316</v>
      </c>
      <c r="R302" s="259" t="s">
        <v>643</v>
      </c>
      <c r="S302" s="196" t="s">
        <v>333</v>
      </c>
      <c r="T302" s="98" t="str">
        <f t="shared" si="8"/>
        <v>7900 SpectrumMidi Plus Mk7 4M</v>
      </c>
    </row>
    <row r="303" spans="14:20" ht="13.5" thickBot="1">
      <c r="N303" s="3">
        <v>286</v>
      </c>
      <c r="O303" s="158">
        <v>185</v>
      </c>
      <c r="P303" s="472" t="s">
        <v>605</v>
      </c>
      <c r="Q303" s="158" t="s">
        <v>316</v>
      </c>
      <c r="R303" s="259" t="s">
        <v>643</v>
      </c>
      <c r="S303" s="373" t="s">
        <v>334</v>
      </c>
      <c r="T303" s="98" t="str">
        <f t="shared" si="8"/>
        <v>7900 SpectrumMidi Plus Mk7 4M R/A</v>
      </c>
    </row>
    <row r="304" spans="14:20">
      <c r="N304" s="3">
        <v>287</v>
      </c>
      <c r="O304" s="158">
        <v>51</v>
      </c>
      <c r="P304" s="472" t="s">
        <v>592</v>
      </c>
      <c r="Q304" s="158" t="s">
        <v>391</v>
      </c>
      <c r="R304" s="259" t="s">
        <v>383</v>
      </c>
      <c r="S304" s="370" t="s">
        <v>340</v>
      </c>
      <c r="T304" s="98" t="str">
        <f t="shared" si="8"/>
        <v>4900 DCMini Mk7 2M</v>
      </c>
    </row>
    <row r="305" spans="14:20">
      <c r="N305" s="3">
        <v>288</v>
      </c>
      <c r="O305" s="158">
        <v>51</v>
      </c>
      <c r="P305" s="472" t="s">
        <v>592</v>
      </c>
      <c r="Q305" s="158" t="s">
        <v>391</v>
      </c>
      <c r="R305" s="259" t="s">
        <v>383</v>
      </c>
      <c r="S305" s="196" t="s">
        <v>341</v>
      </c>
      <c r="T305" s="98" t="str">
        <f t="shared" si="8"/>
        <v>4900 DCMini Mk7 2M R/A</v>
      </c>
    </row>
    <row r="306" spans="14:20">
      <c r="N306" s="3">
        <v>289</v>
      </c>
      <c r="O306" s="158">
        <v>51</v>
      </c>
      <c r="P306" s="472" t="s">
        <v>592</v>
      </c>
      <c r="Q306" s="158" t="s">
        <v>391</v>
      </c>
      <c r="R306" s="259" t="s">
        <v>383</v>
      </c>
      <c r="S306" s="196" t="s">
        <v>342</v>
      </c>
      <c r="T306" s="98" t="str">
        <f t="shared" si="8"/>
        <v>4900 DCMini Mk7 4M</v>
      </c>
    </row>
    <row r="307" spans="14:20" ht="13.5" thickBot="1">
      <c r="N307" s="3">
        <v>290</v>
      </c>
      <c r="O307" s="158">
        <v>51</v>
      </c>
      <c r="P307" s="472" t="s">
        <v>592</v>
      </c>
      <c r="Q307" s="158" t="s">
        <v>391</v>
      </c>
      <c r="R307" s="259" t="s">
        <v>383</v>
      </c>
      <c r="S307" s="373" t="s">
        <v>343</v>
      </c>
      <c r="T307" s="98" t="str">
        <f t="shared" si="8"/>
        <v>4900 DCMini Mk7 4M R/A</v>
      </c>
    </row>
    <row r="308" spans="14:20">
      <c r="N308" s="3">
        <v>291</v>
      </c>
      <c r="O308" s="158">
        <v>52</v>
      </c>
      <c r="P308" s="472" t="s">
        <v>592</v>
      </c>
      <c r="Q308" s="158" t="s">
        <v>319</v>
      </c>
      <c r="R308" s="259" t="s">
        <v>383</v>
      </c>
      <c r="S308" s="370" t="s">
        <v>340</v>
      </c>
      <c r="T308" s="98" t="str">
        <f t="shared" si="8"/>
        <v>7900 SwiftMini Mk7 2M</v>
      </c>
    </row>
    <row r="309" spans="14:20">
      <c r="N309" s="3">
        <v>292</v>
      </c>
      <c r="O309" s="158">
        <v>52</v>
      </c>
      <c r="P309" s="472" t="s">
        <v>592</v>
      </c>
      <c r="Q309" s="158" t="s">
        <v>319</v>
      </c>
      <c r="R309" s="259" t="s">
        <v>383</v>
      </c>
      <c r="S309" s="196" t="s">
        <v>341</v>
      </c>
      <c r="T309" s="98" t="str">
        <f t="shared" si="8"/>
        <v>7900 SwiftMini Mk7 2M R/A</v>
      </c>
    </row>
    <row r="310" spans="14:20">
      <c r="N310" s="3">
        <v>293</v>
      </c>
      <c r="O310" s="158">
        <v>52</v>
      </c>
      <c r="P310" s="472" t="s">
        <v>592</v>
      </c>
      <c r="Q310" s="158" t="s">
        <v>319</v>
      </c>
      <c r="R310" s="259" t="s">
        <v>383</v>
      </c>
      <c r="S310" s="196" t="s">
        <v>342</v>
      </c>
      <c r="T310" s="98" t="str">
        <f t="shared" si="8"/>
        <v>7900 SwiftMini Mk7 4M</v>
      </c>
    </row>
    <row r="311" spans="14:20" ht="13.5" thickBot="1">
      <c r="N311" s="3">
        <v>294</v>
      </c>
      <c r="O311" s="158">
        <v>52</v>
      </c>
      <c r="P311" s="472" t="s">
        <v>592</v>
      </c>
      <c r="Q311" s="158" t="s">
        <v>319</v>
      </c>
      <c r="R311" s="259" t="s">
        <v>383</v>
      </c>
      <c r="S311" s="373" t="s">
        <v>343</v>
      </c>
      <c r="T311" s="98" t="str">
        <f t="shared" si="8"/>
        <v>7900 SwiftMini Mk7 4M R/A</v>
      </c>
    </row>
    <row r="312" spans="14:20">
      <c r="N312" s="3">
        <v>295</v>
      </c>
      <c r="O312" s="158">
        <v>84</v>
      </c>
      <c r="P312" s="472" t="s">
        <v>595</v>
      </c>
      <c r="Q312" s="158" t="s">
        <v>391</v>
      </c>
      <c r="R312" s="259" t="s">
        <v>383</v>
      </c>
      <c r="S312" s="370" t="s">
        <v>340</v>
      </c>
      <c r="T312" s="98" t="str">
        <f t="shared" si="8"/>
        <v>4900 DCMini Mk7 2M</v>
      </c>
    </row>
    <row r="313" spans="14:20">
      <c r="N313" s="3">
        <v>296</v>
      </c>
      <c r="O313" s="158">
        <v>84</v>
      </c>
      <c r="P313" s="472" t="s">
        <v>595</v>
      </c>
      <c r="Q313" s="158" t="s">
        <v>391</v>
      </c>
      <c r="R313" s="259" t="s">
        <v>383</v>
      </c>
      <c r="S313" s="196" t="s">
        <v>341</v>
      </c>
      <c r="T313" s="98" t="str">
        <f t="shared" si="8"/>
        <v>4900 DCMini Mk7 2M R/A</v>
      </c>
    </row>
    <row r="314" spans="14:20">
      <c r="N314" s="3">
        <v>297</v>
      </c>
      <c r="O314" s="158">
        <v>84</v>
      </c>
      <c r="P314" s="472" t="s">
        <v>595</v>
      </c>
      <c r="Q314" s="158" t="s">
        <v>391</v>
      </c>
      <c r="R314" s="259" t="s">
        <v>383</v>
      </c>
      <c r="S314" s="196" t="s">
        <v>342</v>
      </c>
      <c r="T314" s="98" t="str">
        <f t="shared" si="8"/>
        <v>4900 DCMini Mk7 4M</v>
      </c>
    </row>
    <row r="315" spans="14:20" ht="13.5" thickBot="1">
      <c r="N315" s="3">
        <v>298</v>
      </c>
      <c r="O315" s="158">
        <v>84</v>
      </c>
      <c r="P315" s="472" t="s">
        <v>595</v>
      </c>
      <c r="Q315" s="158" t="s">
        <v>391</v>
      </c>
      <c r="R315" s="259" t="s">
        <v>383</v>
      </c>
      <c r="S315" s="373" t="s">
        <v>343</v>
      </c>
      <c r="T315" s="98" t="str">
        <f t="shared" si="8"/>
        <v>4900 DCMini Mk7 4M R/A</v>
      </c>
    </row>
    <row r="316" spans="14:20">
      <c r="N316" s="3">
        <v>299</v>
      </c>
      <c r="O316" s="158">
        <v>85</v>
      </c>
      <c r="P316" s="472" t="s">
        <v>595</v>
      </c>
      <c r="Q316" s="158" t="s">
        <v>319</v>
      </c>
      <c r="R316" s="259" t="s">
        <v>383</v>
      </c>
      <c r="S316" s="370" t="s">
        <v>340</v>
      </c>
      <c r="T316" s="98" t="str">
        <f t="shared" si="8"/>
        <v>7900 SwiftMini Mk7 2M</v>
      </c>
    </row>
    <row r="317" spans="14:20">
      <c r="N317" s="3">
        <v>300</v>
      </c>
      <c r="O317" s="158">
        <v>85</v>
      </c>
      <c r="P317" s="472" t="s">
        <v>595</v>
      </c>
      <c r="Q317" s="158" t="s">
        <v>319</v>
      </c>
      <c r="R317" s="259" t="s">
        <v>383</v>
      </c>
      <c r="S317" s="196" t="s">
        <v>341</v>
      </c>
      <c r="T317" s="98" t="str">
        <f t="shared" si="8"/>
        <v>7900 SwiftMini Mk7 2M R/A</v>
      </c>
    </row>
    <row r="318" spans="14:20">
      <c r="N318" s="3">
        <v>301</v>
      </c>
      <c r="O318" s="158">
        <v>85</v>
      </c>
      <c r="P318" s="472" t="s">
        <v>595</v>
      </c>
      <c r="Q318" s="158" t="s">
        <v>319</v>
      </c>
      <c r="R318" s="259" t="s">
        <v>383</v>
      </c>
      <c r="S318" s="196" t="s">
        <v>342</v>
      </c>
      <c r="T318" s="98" t="str">
        <f t="shared" si="8"/>
        <v>7900 SwiftMini Mk7 4M</v>
      </c>
    </row>
    <row r="319" spans="14:20" ht="13.5" thickBot="1">
      <c r="N319" s="3">
        <v>302</v>
      </c>
      <c r="O319" s="158">
        <v>85</v>
      </c>
      <c r="P319" s="472" t="s">
        <v>595</v>
      </c>
      <c r="Q319" s="158" t="s">
        <v>319</v>
      </c>
      <c r="R319" s="259" t="s">
        <v>383</v>
      </c>
      <c r="S319" s="373" t="s">
        <v>343</v>
      </c>
      <c r="T319" s="98" t="str">
        <f t="shared" si="8"/>
        <v>7900 SwiftMini Mk7 4M R/A</v>
      </c>
    </row>
    <row r="320" spans="14:20">
      <c r="N320" s="3">
        <v>303</v>
      </c>
      <c r="O320" s="158">
        <v>89</v>
      </c>
      <c r="P320" s="472" t="s">
        <v>595</v>
      </c>
      <c r="Q320" s="158" t="s">
        <v>320</v>
      </c>
      <c r="R320" s="259" t="s">
        <v>383</v>
      </c>
      <c r="S320" s="370" t="s">
        <v>340</v>
      </c>
      <c r="T320" s="98" t="str">
        <f t="shared" si="8"/>
        <v>7900 SolverMini Mk7 2M</v>
      </c>
    </row>
    <row r="321" spans="14:20">
      <c r="N321" s="3">
        <v>304</v>
      </c>
      <c r="O321" s="158">
        <v>89</v>
      </c>
      <c r="P321" s="472" t="s">
        <v>595</v>
      </c>
      <c r="Q321" s="158" t="s">
        <v>320</v>
      </c>
      <c r="R321" s="259" t="s">
        <v>383</v>
      </c>
      <c r="S321" s="196" t="s">
        <v>341</v>
      </c>
      <c r="T321" s="98" t="str">
        <f t="shared" si="8"/>
        <v>7900 SolverMini Mk7 2M R/A</v>
      </c>
    </row>
    <row r="322" spans="14:20">
      <c r="N322" s="3">
        <v>305</v>
      </c>
      <c r="O322" s="158">
        <v>89</v>
      </c>
      <c r="P322" s="472" t="s">
        <v>595</v>
      </c>
      <c r="Q322" s="158" t="s">
        <v>320</v>
      </c>
      <c r="R322" s="259" t="s">
        <v>383</v>
      </c>
      <c r="S322" s="196" t="s">
        <v>342</v>
      </c>
      <c r="T322" s="98" t="str">
        <f t="shared" si="8"/>
        <v>7900 SolverMini Mk7 4M</v>
      </c>
    </row>
    <row r="323" spans="14:20" ht="13.5" thickBot="1">
      <c r="N323" s="3">
        <v>306</v>
      </c>
      <c r="O323" s="158">
        <v>89</v>
      </c>
      <c r="P323" s="472" t="s">
        <v>595</v>
      </c>
      <c r="Q323" s="158" t="s">
        <v>320</v>
      </c>
      <c r="R323" s="259" t="s">
        <v>383</v>
      </c>
      <c r="S323" s="373" t="s">
        <v>343</v>
      </c>
      <c r="T323" s="98" t="str">
        <f t="shared" si="8"/>
        <v>7900 SolverMini Mk7 4M R/A</v>
      </c>
    </row>
    <row r="324" spans="14:20">
      <c r="N324" s="3">
        <v>307</v>
      </c>
      <c r="O324" s="158">
        <v>116</v>
      </c>
      <c r="P324" s="472" t="s">
        <v>597</v>
      </c>
      <c r="Q324" s="158" t="s">
        <v>391</v>
      </c>
      <c r="R324" s="259" t="s">
        <v>383</v>
      </c>
      <c r="S324" s="370" t="s">
        <v>340</v>
      </c>
      <c r="T324" s="98" t="str">
        <f t="shared" si="8"/>
        <v>4900 DCMini Mk7 2M</v>
      </c>
    </row>
    <row r="325" spans="14:20">
      <c r="N325" s="3">
        <v>308</v>
      </c>
      <c r="O325" s="158">
        <v>116</v>
      </c>
      <c r="P325" s="472" t="s">
        <v>597</v>
      </c>
      <c r="Q325" s="158" t="s">
        <v>391</v>
      </c>
      <c r="R325" s="259" t="s">
        <v>383</v>
      </c>
      <c r="S325" s="196" t="s">
        <v>341</v>
      </c>
      <c r="T325" s="98" t="str">
        <f t="shared" si="8"/>
        <v>4900 DCMini Mk7 2M R/A</v>
      </c>
    </row>
    <row r="326" spans="14:20">
      <c r="N326" s="3">
        <v>309</v>
      </c>
      <c r="O326" s="158">
        <v>116</v>
      </c>
      <c r="P326" s="472" t="s">
        <v>597</v>
      </c>
      <c r="Q326" s="158" t="s">
        <v>391</v>
      </c>
      <c r="R326" s="259" t="s">
        <v>383</v>
      </c>
      <c r="S326" s="196" t="s">
        <v>342</v>
      </c>
      <c r="T326" s="98" t="str">
        <f t="shared" si="8"/>
        <v>4900 DCMini Mk7 4M</v>
      </c>
    </row>
    <row r="327" spans="14:20" ht="13.5" thickBot="1">
      <c r="N327" s="3">
        <v>310</v>
      </c>
      <c r="O327" s="158">
        <v>116</v>
      </c>
      <c r="P327" s="472" t="s">
        <v>597</v>
      </c>
      <c r="Q327" s="158" t="s">
        <v>391</v>
      </c>
      <c r="R327" s="259" t="s">
        <v>383</v>
      </c>
      <c r="S327" s="373" t="s">
        <v>343</v>
      </c>
      <c r="T327" s="98" t="str">
        <f t="shared" si="8"/>
        <v>4900 DCMini Mk7 4M R/A</v>
      </c>
    </row>
    <row r="328" spans="14:20">
      <c r="N328" s="3">
        <v>311</v>
      </c>
      <c r="O328" s="158">
        <v>117</v>
      </c>
      <c r="P328" s="472" t="s">
        <v>597</v>
      </c>
      <c r="Q328" s="158" t="s">
        <v>319</v>
      </c>
      <c r="R328" s="259" t="s">
        <v>383</v>
      </c>
      <c r="S328" s="370" t="s">
        <v>340</v>
      </c>
      <c r="T328" s="98" t="str">
        <f t="shared" si="8"/>
        <v>7900 SwiftMini Mk7 2M</v>
      </c>
    </row>
    <row r="329" spans="14:20">
      <c r="N329" s="3">
        <v>312</v>
      </c>
      <c r="O329" s="158">
        <v>117</v>
      </c>
      <c r="P329" s="472" t="s">
        <v>597</v>
      </c>
      <c r="Q329" s="158" t="s">
        <v>319</v>
      </c>
      <c r="R329" s="259" t="s">
        <v>383</v>
      </c>
      <c r="S329" s="196" t="s">
        <v>341</v>
      </c>
      <c r="T329" s="98" t="str">
        <f t="shared" si="8"/>
        <v>7900 SwiftMini Mk7 2M R/A</v>
      </c>
    </row>
    <row r="330" spans="14:20">
      <c r="N330" s="3">
        <v>313</v>
      </c>
      <c r="O330" s="158">
        <v>117</v>
      </c>
      <c r="P330" s="472" t="s">
        <v>597</v>
      </c>
      <c r="Q330" s="158" t="s">
        <v>319</v>
      </c>
      <c r="R330" s="259" t="s">
        <v>383</v>
      </c>
      <c r="S330" s="196" t="s">
        <v>342</v>
      </c>
      <c r="T330" s="98" t="str">
        <f t="shared" si="8"/>
        <v>7900 SwiftMini Mk7 4M</v>
      </c>
    </row>
    <row r="331" spans="14:20" ht="13.5" thickBot="1">
      <c r="N331" s="3">
        <v>314</v>
      </c>
      <c r="O331" s="158">
        <v>117</v>
      </c>
      <c r="P331" s="472" t="s">
        <v>597</v>
      </c>
      <c r="Q331" s="158" t="s">
        <v>319</v>
      </c>
      <c r="R331" s="259" t="s">
        <v>383</v>
      </c>
      <c r="S331" s="373" t="s">
        <v>343</v>
      </c>
      <c r="T331" s="98" t="str">
        <f t="shared" si="8"/>
        <v>7900 SwiftMini Mk7 4M R/A</v>
      </c>
    </row>
    <row r="332" spans="14:20">
      <c r="N332" s="3">
        <v>315</v>
      </c>
      <c r="O332" s="158">
        <v>7</v>
      </c>
      <c r="P332" s="472" t="s">
        <v>589</v>
      </c>
      <c r="Q332" s="158">
        <v>4900</v>
      </c>
      <c r="R332" s="259" t="s">
        <v>317</v>
      </c>
      <c r="S332" s="370" t="s">
        <v>344</v>
      </c>
      <c r="T332" s="98" t="str">
        <f t="shared" si="8"/>
        <v>4900Ultima Mk7 2M</v>
      </c>
    </row>
    <row r="333" spans="14:20">
      <c r="N333" s="3">
        <v>316</v>
      </c>
      <c r="O333" s="158">
        <v>7</v>
      </c>
      <c r="P333" s="472" t="s">
        <v>589</v>
      </c>
      <c r="Q333" s="158">
        <v>4900</v>
      </c>
      <c r="R333" s="259" t="s">
        <v>317</v>
      </c>
      <c r="S333" s="196" t="s">
        <v>345</v>
      </c>
      <c r="T333" s="98" t="str">
        <f t="shared" si="8"/>
        <v>4900Ultima Mk7 2M R/A</v>
      </c>
    </row>
    <row r="334" spans="14:20">
      <c r="N334" s="3">
        <v>317</v>
      </c>
      <c r="O334" s="158">
        <v>7</v>
      </c>
      <c r="P334" s="472" t="s">
        <v>589</v>
      </c>
      <c r="Q334" s="158">
        <v>4900</v>
      </c>
      <c r="R334" s="259" t="s">
        <v>317</v>
      </c>
      <c r="S334" s="196" t="s">
        <v>346</v>
      </c>
      <c r="T334" s="98" t="str">
        <f t="shared" si="8"/>
        <v>4900Ultima Mk7 4M</v>
      </c>
    </row>
    <row r="335" spans="14:20" ht="13.5" thickBot="1">
      <c r="N335" s="3">
        <v>318</v>
      </c>
      <c r="O335" s="158">
        <v>7</v>
      </c>
      <c r="P335" s="472" t="s">
        <v>589</v>
      </c>
      <c r="Q335" s="158">
        <v>4900</v>
      </c>
      <c r="R335" s="259" t="s">
        <v>317</v>
      </c>
      <c r="S335" s="373" t="s">
        <v>347</v>
      </c>
      <c r="T335" s="98" t="str">
        <f t="shared" si="8"/>
        <v>4900Ultima Mk7 4M R/A</v>
      </c>
    </row>
    <row r="336" spans="14:20">
      <c r="N336" s="3">
        <v>319</v>
      </c>
      <c r="O336" s="158">
        <v>8</v>
      </c>
      <c r="P336" s="472" t="s">
        <v>589</v>
      </c>
      <c r="Q336" s="158" t="s">
        <v>391</v>
      </c>
      <c r="R336" s="259" t="s">
        <v>317</v>
      </c>
      <c r="S336" s="370" t="s">
        <v>344</v>
      </c>
      <c r="T336" s="98" t="str">
        <f t="shared" si="8"/>
        <v>4900 DCUltima Mk7 2M</v>
      </c>
    </row>
    <row r="337" spans="14:20">
      <c r="N337" s="3">
        <v>320</v>
      </c>
      <c r="O337" s="158">
        <v>8</v>
      </c>
      <c r="P337" s="472" t="s">
        <v>589</v>
      </c>
      <c r="Q337" s="158" t="s">
        <v>391</v>
      </c>
      <c r="R337" s="259" t="s">
        <v>317</v>
      </c>
      <c r="S337" s="196" t="s">
        <v>345</v>
      </c>
      <c r="T337" s="98" t="str">
        <f t="shared" si="8"/>
        <v>4900 DCUltima Mk7 2M R/A</v>
      </c>
    </row>
    <row r="338" spans="14:20">
      <c r="N338" s="3">
        <v>321</v>
      </c>
      <c r="O338" s="158">
        <v>8</v>
      </c>
      <c r="P338" s="472" t="s">
        <v>589</v>
      </c>
      <c r="Q338" s="158" t="s">
        <v>391</v>
      </c>
      <c r="R338" s="259" t="s">
        <v>317</v>
      </c>
      <c r="S338" s="196" t="s">
        <v>346</v>
      </c>
      <c r="T338" s="98" t="str">
        <f t="shared" si="8"/>
        <v>4900 DCUltima Mk7 4M</v>
      </c>
    </row>
    <row r="339" spans="14:20" ht="13.5" thickBot="1">
      <c r="N339" s="3">
        <v>322</v>
      </c>
      <c r="O339" s="158">
        <v>8</v>
      </c>
      <c r="P339" s="472" t="s">
        <v>589</v>
      </c>
      <c r="Q339" s="158" t="s">
        <v>391</v>
      </c>
      <c r="R339" s="259" t="s">
        <v>317</v>
      </c>
      <c r="S339" s="373" t="s">
        <v>347</v>
      </c>
      <c r="T339" s="98" t="str">
        <f t="shared" ref="T339:T402" si="9">Q339&amp;S339</f>
        <v>4900 DCUltima Mk7 4M R/A</v>
      </c>
    </row>
    <row r="340" spans="14:20">
      <c r="N340" s="3">
        <v>323</v>
      </c>
      <c r="O340" s="158">
        <v>9</v>
      </c>
      <c r="P340" s="472" t="s">
        <v>589</v>
      </c>
      <c r="Q340" s="158">
        <v>7900</v>
      </c>
      <c r="R340" s="259" t="s">
        <v>317</v>
      </c>
      <c r="S340" s="370" t="s">
        <v>344</v>
      </c>
      <c r="T340" s="98" t="str">
        <f t="shared" si="9"/>
        <v>7900Ultima Mk7 2M</v>
      </c>
    </row>
    <row r="341" spans="14:20">
      <c r="N341" s="3">
        <v>324</v>
      </c>
      <c r="O341" s="158">
        <v>9</v>
      </c>
      <c r="P341" s="472" t="s">
        <v>589</v>
      </c>
      <c r="Q341" s="158">
        <v>7900</v>
      </c>
      <c r="R341" s="259" t="s">
        <v>317</v>
      </c>
      <c r="S341" s="196" t="s">
        <v>345</v>
      </c>
      <c r="T341" s="98" t="str">
        <f t="shared" si="9"/>
        <v>7900Ultima Mk7 2M R/A</v>
      </c>
    </row>
    <row r="342" spans="14:20">
      <c r="N342" s="3">
        <v>325</v>
      </c>
      <c r="O342" s="158">
        <v>9</v>
      </c>
      <c r="P342" s="472" t="s">
        <v>589</v>
      </c>
      <c r="Q342" s="158">
        <v>7900</v>
      </c>
      <c r="R342" s="259" t="s">
        <v>317</v>
      </c>
      <c r="S342" s="196" t="s">
        <v>346</v>
      </c>
      <c r="T342" s="98" t="str">
        <f t="shared" si="9"/>
        <v>7900Ultima Mk7 4M</v>
      </c>
    </row>
    <row r="343" spans="14:20" ht="13.5" thickBot="1">
      <c r="N343" s="3">
        <v>326</v>
      </c>
      <c r="O343" s="158">
        <v>9</v>
      </c>
      <c r="P343" s="472" t="s">
        <v>589</v>
      </c>
      <c r="Q343" s="158">
        <v>7900</v>
      </c>
      <c r="R343" s="259" t="s">
        <v>317</v>
      </c>
      <c r="S343" s="373" t="s">
        <v>347</v>
      </c>
      <c r="T343" s="98" t="str">
        <f t="shared" si="9"/>
        <v>7900Ultima Mk7 4M R/A</v>
      </c>
    </row>
    <row r="344" spans="14:20">
      <c r="N344" s="3">
        <v>327</v>
      </c>
      <c r="O344" s="158">
        <v>18</v>
      </c>
      <c r="P344" s="472" t="s">
        <v>589</v>
      </c>
      <c r="Q344" s="158" t="s">
        <v>320</v>
      </c>
      <c r="R344" s="259" t="s">
        <v>317</v>
      </c>
      <c r="S344" s="370" t="s">
        <v>344</v>
      </c>
      <c r="T344" s="98" t="str">
        <f t="shared" si="9"/>
        <v>7900 SolverUltima Mk7 2M</v>
      </c>
    </row>
    <row r="345" spans="14:20">
      <c r="N345" s="3">
        <v>328</v>
      </c>
      <c r="O345" s="158">
        <v>18</v>
      </c>
      <c r="P345" s="472" t="s">
        <v>589</v>
      </c>
      <c r="Q345" s="158" t="s">
        <v>320</v>
      </c>
      <c r="R345" s="259" t="s">
        <v>317</v>
      </c>
      <c r="S345" s="196" t="s">
        <v>345</v>
      </c>
      <c r="T345" s="98" t="str">
        <f t="shared" si="9"/>
        <v>7900 SolverUltima Mk7 2M R/A</v>
      </c>
    </row>
    <row r="346" spans="14:20">
      <c r="N346" s="3">
        <v>329</v>
      </c>
      <c r="O346" s="158">
        <v>18</v>
      </c>
      <c r="P346" s="472" t="s">
        <v>589</v>
      </c>
      <c r="Q346" s="158" t="s">
        <v>320</v>
      </c>
      <c r="R346" s="259" t="s">
        <v>317</v>
      </c>
      <c r="S346" s="196" t="s">
        <v>346</v>
      </c>
      <c r="T346" s="98" t="str">
        <f t="shared" si="9"/>
        <v>7900 SolverUltima Mk7 4M</v>
      </c>
    </row>
    <row r="347" spans="14:20" ht="13.5" thickBot="1">
      <c r="N347" s="3">
        <v>330</v>
      </c>
      <c r="O347" s="158">
        <v>18</v>
      </c>
      <c r="P347" s="472" t="s">
        <v>589</v>
      </c>
      <c r="Q347" s="158" t="s">
        <v>320</v>
      </c>
      <c r="R347" s="259" t="s">
        <v>317</v>
      </c>
      <c r="S347" s="373" t="s">
        <v>347</v>
      </c>
      <c r="T347" s="98" t="str">
        <f t="shared" si="9"/>
        <v>7900 SolverUltima Mk7 4M R/A</v>
      </c>
    </row>
    <row r="348" spans="14:20">
      <c r="N348" s="3">
        <v>331</v>
      </c>
      <c r="O348" s="158">
        <v>19</v>
      </c>
      <c r="P348" s="472" t="s">
        <v>590</v>
      </c>
      <c r="Q348" s="158">
        <v>4900</v>
      </c>
      <c r="R348" s="259" t="s">
        <v>317</v>
      </c>
      <c r="S348" s="370" t="s">
        <v>344</v>
      </c>
      <c r="T348" s="98" t="str">
        <f t="shared" si="9"/>
        <v>4900Ultima Mk7 2M</v>
      </c>
    </row>
    <row r="349" spans="14:20">
      <c r="N349" s="3">
        <v>332</v>
      </c>
      <c r="O349" s="158">
        <v>19</v>
      </c>
      <c r="P349" s="472" t="s">
        <v>590</v>
      </c>
      <c r="Q349" s="158">
        <v>4900</v>
      </c>
      <c r="R349" s="259" t="s">
        <v>317</v>
      </c>
      <c r="S349" s="196" t="s">
        <v>345</v>
      </c>
      <c r="T349" s="98" t="str">
        <f t="shared" si="9"/>
        <v>4900Ultima Mk7 2M R/A</v>
      </c>
    </row>
    <row r="350" spans="14:20">
      <c r="N350" s="3">
        <v>333</v>
      </c>
      <c r="O350" s="158">
        <v>19</v>
      </c>
      <c r="P350" s="472" t="s">
        <v>590</v>
      </c>
      <c r="Q350" s="158">
        <v>4900</v>
      </c>
      <c r="R350" s="259" t="s">
        <v>317</v>
      </c>
      <c r="S350" s="196" t="s">
        <v>346</v>
      </c>
      <c r="T350" s="98" t="str">
        <f t="shared" si="9"/>
        <v>4900Ultima Mk7 4M</v>
      </c>
    </row>
    <row r="351" spans="14:20" ht="13.5" thickBot="1">
      <c r="N351" s="3">
        <v>334</v>
      </c>
      <c r="O351" s="158">
        <v>19</v>
      </c>
      <c r="P351" s="472" t="s">
        <v>590</v>
      </c>
      <c r="Q351" s="158">
        <v>4900</v>
      </c>
      <c r="R351" s="259" t="s">
        <v>317</v>
      </c>
      <c r="S351" s="373" t="s">
        <v>347</v>
      </c>
      <c r="T351" s="98" t="str">
        <f t="shared" si="9"/>
        <v>4900Ultima Mk7 4M R/A</v>
      </c>
    </row>
    <row r="352" spans="14:20">
      <c r="N352" s="3">
        <v>335</v>
      </c>
      <c r="O352" s="158">
        <v>20</v>
      </c>
      <c r="P352" s="472" t="s">
        <v>590</v>
      </c>
      <c r="Q352" s="158" t="s">
        <v>391</v>
      </c>
      <c r="R352" s="259" t="s">
        <v>317</v>
      </c>
      <c r="S352" s="370" t="s">
        <v>344</v>
      </c>
      <c r="T352" s="98" t="str">
        <f t="shared" si="9"/>
        <v>4900 DCUltima Mk7 2M</v>
      </c>
    </row>
    <row r="353" spans="14:20">
      <c r="N353" s="3">
        <v>336</v>
      </c>
      <c r="O353" s="158">
        <v>20</v>
      </c>
      <c r="P353" s="472" t="s">
        <v>590</v>
      </c>
      <c r="Q353" s="158" t="s">
        <v>391</v>
      </c>
      <c r="R353" s="259" t="s">
        <v>317</v>
      </c>
      <c r="S353" s="196" t="s">
        <v>345</v>
      </c>
      <c r="T353" s="98" t="str">
        <f t="shared" si="9"/>
        <v>4900 DCUltima Mk7 2M R/A</v>
      </c>
    </row>
    <row r="354" spans="14:20">
      <c r="N354" s="3">
        <v>337</v>
      </c>
      <c r="O354" s="158">
        <v>20</v>
      </c>
      <c r="P354" s="472" t="s">
        <v>590</v>
      </c>
      <c r="Q354" s="158" t="s">
        <v>391</v>
      </c>
      <c r="R354" s="259" t="s">
        <v>317</v>
      </c>
      <c r="S354" s="196" t="s">
        <v>346</v>
      </c>
      <c r="T354" s="98" t="str">
        <f t="shared" si="9"/>
        <v>4900 DCUltima Mk7 4M</v>
      </c>
    </row>
    <row r="355" spans="14:20" ht="13.5" thickBot="1">
      <c r="N355" s="3">
        <v>338</v>
      </c>
      <c r="O355" s="158">
        <v>20</v>
      </c>
      <c r="P355" s="472" t="s">
        <v>590</v>
      </c>
      <c r="Q355" s="158" t="s">
        <v>391</v>
      </c>
      <c r="R355" s="259" t="s">
        <v>317</v>
      </c>
      <c r="S355" s="373" t="s">
        <v>347</v>
      </c>
      <c r="T355" s="98" t="str">
        <f t="shared" si="9"/>
        <v>4900 DCUltima Mk7 4M R/A</v>
      </c>
    </row>
    <row r="356" spans="14:20">
      <c r="N356" s="3">
        <v>339</v>
      </c>
      <c r="O356" s="158">
        <v>21</v>
      </c>
      <c r="P356" s="472" t="s">
        <v>590</v>
      </c>
      <c r="Q356" s="158">
        <v>7900</v>
      </c>
      <c r="R356" s="259" t="s">
        <v>317</v>
      </c>
      <c r="S356" s="370" t="s">
        <v>344</v>
      </c>
      <c r="T356" s="98" t="str">
        <f t="shared" si="9"/>
        <v>7900Ultima Mk7 2M</v>
      </c>
    </row>
    <row r="357" spans="14:20">
      <c r="N357" s="3">
        <v>340</v>
      </c>
      <c r="O357" s="158">
        <v>21</v>
      </c>
      <c r="P357" s="472" t="s">
        <v>590</v>
      </c>
      <c r="Q357" s="158">
        <v>7900</v>
      </c>
      <c r="R357" s="259" t="s">
        <v>317</v>
      </c>
      <c r="S357" s="196" t="s">
        <v>345</v>
      </c>
      <c r="T357" s="98" t="str">
        <f t="shared" si="9"/>
        <v>7900Ultima Mk7 2M R/A</v>
      </c>
    </row>
    <row r="358" spans="14:20">
      <c r="N358" s="3">
        <v>341</v>
      </c>
      <c r="O358" s="158">
        <v>21</v>
      </c>
      <c r="P358" s="472" t="s">
        <v>590</v>
      </c>
      <c r="Q358" s="158">
        <v>7900</v>
      </c>
      <c r="R358" s="259" t="s">
        <v>317</v>
      </c>
      <c r="S358" s="196" t="s">
        <v>346</v>
      </c>
      <c r="T358" s="98" t="str">
        <f t="shared" si="9"/>
        <v>7900Ultima Mk7 4M</v>
      </c>
    </row>
    <row r="359" spans="14:20" ht="13.5" thickBot="1">
      <c r="N359" s="3">
        <v>342</v>
      </c>
      <c r="O359" s="158">
        <v>21</v>
      </c>
      <c r="P359" s="472" t="s">
        <v>590</v>
      </c>
      <c r="Q359" s="158">
        <v>7900</v>
      </c>
      <c r="R359" s="259" t="s">
        <v>317</v>
      </c>
      <c r="S359" s="373" t="s">
        <v>347</v>
      </c>
      <c r="T359" s="98" t="str">
        <f t="shared" si="9"/>
        <v>7900Ultima Mk7 4M R/A</v>
      </c>
    </row>
    <row r="360" spans="14:20">
      <c r="N360" s="3">
        <v>343</v>
      </c>
      <c r="O360" s="158">
        <v>30</v>
      </c>
      <c r="P360" s="472" t="s">
        <v>590</v>
      </c>
      <c r="Q360" s="158" t="s">
        <v>320</v>
      </c>
      <c r="R360" s="259" t="s">
        <v>317</v>
      </c>
      <c r="S360" s="370" t="s">
        <v>344</v>
      </c>
      <c r="T360" s="98" t="str">
        <f t="shared" si="9"/>
        <v>7900 SolverUltima Mk7 2M</v>
      </c>
    </row>
    <row r="361" spans="14:20">
      <c r="N361" s="3">
        <v>344</v>
      </c>
      <c r="O361" s="158">
        <v>30</v>
      </c>
      <c r="P361" s="472" t="s">
        <v>590</v>
      </c>
      <c r="Q361" s="158" t="s">
        <v>320</v>
      </c>
      <c r="R361" s="259" t="s">
        <v>317</v>
      </c>
      <c r="S361" s="196" t="s">
        <v>345</v>
      </c>
      <c r="T361" s="98" t="str">
        <f t="shared" si="9"/>
        <v>7900 SolverUltima Mk7 2M R/A</v>
      </c>
    </row>
    <row r="362" spans="14:20">
      <c r="N362" s="3">
        <v>345</v>
      </c>
      <c r="O362" s="158">
        <v>30</v>
      </c>
      <c r="P362" s="472" t="s">
        <v>590</v>
      </c>
      <c r="Q362" s="158" t="s">
        <v>320</v>
      </c>
      <c r="R362" s="259" t="s">
        <v>317</v>
      </c>
      <c r="S362" s="196" t="s">
        <v>346</v>
      </c>
      <c r="T362" s="98" t="str">
        <f t="shared" si="9"/>
        <v>7900 SolverUltima Mk7 4M</v>
      </c>
    </row>
    <row r="363" spans="14:20" ht="13.5" thickBot="1">
      <c r="N363" s="3">
        <v>346</v>
      </c>
      <c r="O363" s="158">
        <v>30</v>
      </c>
      <c r="P363" s="472" t="s">
        <v>590</v>
      </c>
      <c r="Q363" s="158" t="s">
        <v>320</v>
      </c>
      <c r="R363" s="259" t="s">
        <v>317</v>
      </c>
      <c r="S363" s="373" t="s">
        <v>347</v>
      </c>
      <c r="T363" s="98" t="str">
        <f t="shared" si="9"/>
        <v>7900 SolverUltima Mk7 4M R/A</v>
      </c>
    </row>
    <row r="364" spans="14:20">
      <c r="N364" s="3">
        <v>347</v>
      </c>
      <c r="O364" s="158">
        <v>31</v>
      </c>
      <c r="P364" s="472" t="s">
        <v>591</v>
      </c>
      <c r="Q364" s="158">
        <v>4900</v>
      </c>
      <c r="R364" s="259" t="s">
        <v>317</v>
      </c>
      <c r="S364" s="370" t="s">
        <v>344</v>
      </c>
      <c r="T364" s="98" t="str">
        <f t="shared" si="9"/>
        <v>4900Ultima Mk7 2M</v>
      </c>
    </row>
    <row r="365" spans="14:20">
      <c r="N365" s="3">
        <v>348</v>
      </c>
      <c r="O365" s="158">
        <v>31</v>
      </c>
      <c r="P365" s="472" t="s">
        <v>591</v>
      </c>
      <c r="Q365" s="158">
        <v>4900</v>
      </c>
      <c r="R365" s="259" t="s">
        <v>317</v>
      </c>
      <c r="S365" s="196" t="s">
        <v>345</v>
      </c>
      <c r="T365" s="98" t="str">
        <f t="shared" si="9"/>
        <v>4900Ultima Mk7 2M R/A</v>
      </c>
    </row>
    <row r="366" spans="14:20">
      <c r="N366" s="3">
        <v>349</v>
      </c>
      <c r="O366" s="158">
        <v>31</v>
      </c>
      <c r="P366" s="472" t="s">
        <v>591</v>
      </c>
      <c r="Q366" s="158">
        <v>4900</v>
      </c>
      <c r="R366" s="259" t="s">
        <v>317</v>
      </c>
      <c r="S366" s="196" t="s">
        <v>346</v>
      </c>
      <c r="T366" s="98" t="str">
        <f t="shared" si="9"/>
        <v>4900Ultima Mk7 4M</v>
      </c>
    </row>
    <row r="367" spans="14:20" ht="13.5" thickBot="1">
      <c r="N367" s="3">
        <v>350</v>
      </c>
      <c r="O367" s="158">
        <v>31</v>
      </c>
      <c r="P367" s="472" t="s">
        <v>591</v>
      </c>
      <c r="Q367" s="158">
        <v>4900</v>
      </c>
      <c r="R367" s="259" t="s">
        <v>317</v>
      </c>
      <c r="S367" s="373" t="s">
        <v>347</v>
      </c>
      <c r="T367" s="98" t="str">
        <f t="shared" si="9"/>
        <v>4900Ultima Mk7 4M R/A</v>
      </c>
    </row>
    <row r="368" spans="14:20">
      <c r="N368" s="3">
        <v>351</v>
      </c>
      <c r="O368" s="158">
        <v>32</v>
      </c>
      <c r="P368" s="472" t="s">
        <v>591</v>
      </c>
      <c r="Q368" s="158" t="s">
        <v>391</v>
      </c>
      <c r="R368" s="259" t="s">
        <v>317</v>
      </c>
      <c r="S368" s="370" t="s">
        <v>344</v>
      </c>
      <c r="T368" s="98" t="str">
        <f t="shared" si="9"/>
        <v>4900 DCUltima Mk7 2M</v>
      </c>
    </row>
    <row r="369" spans="14:20">
      <c r="N369" s="3">
        <v>352</v>
      </c>
      <c r="O369" s="158">
        <v>32</v>
      </c>
      <c r="P369" s="472" t="s">
        <v>591</v>
      </c>
      <c r="Q369" s="158" t="s">
        <v>391</v>
      </c>
      <c r="R369" s="259" t="s">
        <v>317</v>
      </c>
      <c r="S369" s="196" t="s">
        <v>345</v>
      </c>
      <c r="T369" s="98" t="str">
        <f t="shared" si="9"/>
        <v>4900 DCUltima Mk7 2M R/A</v>
      </c>
    </row>
    <row r="370" spans="14:20">
      <c r="N370" s="3">
        <v>353</v>
      </c>
      <c r="O370" s="158">
        <v>32</v>
      </c>
      <c r="P370" s="472" t="s">
        <v>591</v>
      </c>
      <c r="Q370" s="158" t="s">
        <v>391</v>
      </c>
      <c r="R370" s="259" t="s">
        <v>317</v>
      </c>
      <c r="S370" s="196" t="s">
        <v>346</v>
      </c>
      <c r="T370" s="98" t="str">
        <f t="shared" si="9"/>
        <v>4900 DCUltima Mk7 4M</v>
      </c>
    </row>
    <row r="371" spans="14:20" ht="13.5" thickBot="1">
      <c r="N371" s="3">
        <v>354</v>
      </c>
      <c r="O371" s="158">
        <v>32</v>
      </c>
      <c r="P371" s="472" t="s">
        <v>591</v>
      </c>
      <c r="Q371" s="158" t="s">
        <v>391</v>
      </c>
      <c r="R371" s="259" t="s">
        <v>317</v>
      </c>
      <c r="S371" s="373" t="s">
        <v>347</v>
      </c>
      <c r="T371" s="98" t="str">
        <f t="shared" si="9"/>
        <v>4900 DCUltima Mk7 4M R/A</v>
      </c>
    </row>
    <row r="372" spans="14:20">
      <c r="N372" s="3">
        <v>355</v>
      </c>
      <c r="O372" s="158">
        <v>33</v>
      </c>
      <c r="P372" s="472" t="s">
        <v>591</v>
      </c>
      <c r="Q372" s="158">
        <v>7900</v>
      </c>
      <c r="R372" s="259" t="s">
        <v>317</v>
      </c>
      <c r="S372" s="370" t="s">
        <v>344</v>
      </c>
      <c r="T372" s="98" t="str">
        <f t="shared" si="9"/>
        <v>7900Ultima Mk7 2M</v>
      </c>
    </row>
    <row r="373" spans="14:20">
      <c r="N373" s="3">
        <v>356</v>
      </c>
      <c r="O373" s="158">
        <v>33</v>
      </c>
      <c r="P373" s="472" t="s">
        <v>591</v>
      </c>
      <c r="Q373" s="158">
        <v>7900</v>
      </c>
      <c r="R373" s="259" t="s">
        <v>317</v>
      </c>
      <c r="S373" s="196" t="s">
        <v>345</v>
      </c>
      <c r="T373" s="98" t="str">
        <f t="shared" si="9"/>
        <v>7900Ultima Mk7 2M R/A</v>
      </c>
    </row>
    <row r="374" spans="14:20">
      <c r="N374" s="3">
        <v>357</v>
      </c>
      <c r="O374" s="158">
        <v>33</v>
      </c>
      <c r="P374" s="472" t="s">
        <v>591</v>
      </c>
      <c r="Q374" s="158">
        <v>7900</v>
      </c>
      <c r="R374" s="259" t="s">
        <v>317</v>
      </c>
      <c r="S374" s="196" t="s">
        <v>346</v>
      </c>
      <c r="T374" s="98" t="str">
        <f t="shared" si="9"/>
        <v>7900Ultima Mk7 4M</v>
      </c>
    </row>
    <row r="375" spans="14:20" ht="13.5" thickBot="1">
      <c r="N375" s="3">
        <v>358</v>
      </c>
      <c r="O375" s="158">
        <v>33</v>
      </c>
      <c r="P375" s="472" t="s">
        <v>591</v>
      </c>
      <c r="Q375" s="158">
        <v>7900</v>
      </c>
      <c r="R375" s="259" t="s">
        <v>317</v>
      </c>
      <c r="S375" s="373" t="s">
        <v>347</v>
      </c>
      <c r="T375" s="98" t="str">
        <f t="shared" si="9"/>
        <v>7900Ultima Mk7 4M R/A</v>
      </c>
    </row>
    <row r="376" spans="14:20">
      <c r="N376" s="3">
        <v>359</v>
      </c>
      <c r="O376" s="158">
        <v>42</v>
      </c>
      <c r="P376" s="472" t="s">
        <v>591</v>
      </c>
      <c r="Q376" s="158" t="s">
        <v>320</v>
      </c>
      <c r="R376" s="259" t="s">
        <v>317</v>
      </c>
      <c r="S376" s="370" t="s">
        <v>344</v>
      </c>
      <c r="T376" s="98" t="str">
        <f t="shared" si="9"/>
        <v>7900 SolverUltima Mk7 2M</v>
      </c>
    </row>
    <row r="377" spans="14:20">
      <c r="N377" s="3">
        <v>360</v>
      </c>
      <c r="O377" s="158">
        <v>42</v>
      </c>
      <c r="P377" s="472" t="s">
        <v>591</v>
      </c>
      <c r="Q377" s="158" t="s">
        <v>320</v>
      </c>
      <c r="R377" s="259" t="s">
        <v>317</v>
      </c>
      <c r="S377" s="196" t="s">
        <v>345</v>
      </c>
      <c r="T377" s="98" t="str">
        <f t="shared" si="9"/>
        <v>7900 SolverUltima Mk7 2M R/A</v>
      </c>
    </row>
    <row r="378" spans="14:20">
      <c r="N378" s="3">
        <v>361</v>
      </c>
      <c r="O378" s="158">
        <v>42</v>
      </c>
      <c r="P378" s="472" t="s">
        <v>591</v>
      </c>
      <c r="Q378" s="158" t="s">
        <v>320</v>
      </c>
      <c r="R378" s="259" t="s">
        <v>317</v>
      </c>
      <c r="S378" s="196" t="s">
        <v>346</v>
      </c>
      <c r="T378" s="98" t="str">
        <f t="shared" si="9"/>
        <v>7900 SolverUltima Mk7 4M</v>
      </c>
    </row>
    <row r="379" spans="14:20" ht="13.5" thickBot="1">
      <c r="N379" s="3">
        <v>362</v>
      </c>
      <c r="O379" s="158">
        <v>42</v>
      </c>
      <c r="P379" s="472" t="s">
        <v>591</v>
      </c>
      <c r="Q379" s="158" t="s">
        <v>320</v>
      </c>
      <c r="R379" s="259" t="s">
        <v>317</v>
      </c>
      <c r="S379" s="373" t="s">
        <v>347</v>
      </c>
      <c r="T379" s="98" t="str">
        <f t="shared" si="9"/>
        <v>7900 SolverUltima Mk7 4M R/A</v>
      </c>
    </row>
    <row r="380" spans="14:20">
      <c r="N380" s="3">
        <v>363</v>
      </c>
      <c r="O380" s="158">
        <v>50</v>
      </c>
      <c r="P380" s="472" t="s">
        <v>592</v>
      </c>
      <c r="Q380" s="158" t="s">
        <v>320</v>
      </c>
      <c r="R380" s="259" t="s">
        <v>317</v>
      </c>
      <c r="S380" s="370" t="s">
        <v>344</v>
      </c>
      <c r="T380" s="98" t="str">
        <f t="shared" si="9"/>
        <v>7900 SolverUltima Mk7 2M</v>
      </c>
    </row>
    <row r="381" spans="14:20">
      <c r="N381" s="3">
        <v>364</v>
      </c>
      <c r="O381" s="158">
        <v>50</v>
      </c>
      <c r="P381" s="472" t="s">
        <v>592</v>
      </c>
      <c r="Q381" s="158" t="s">
        <v>320</v>
      </c>
      <c r="R381" s="259" t="s">
        <v>317</v>
      </c>
      <c r="S381" s="196" t="s">
        <v>345</v>
      </c>
      <c r="T381" s="98" t="str">
        <f t="shared" si="9"/>
        <v>7900 SolverUltima Mk7 2M R/A</v>
      </c>
    </row>
    <row r="382" spans="14:20">
      <c r="N382" s="3">
        <v>365</v>
      </c>
      <c r="O382" s="158">
        <v>50</v>
      </c>
      <c r="P382" s="472" t="s">
        <v>592</v>
      </c>
      <c r="Q382" s="158" t="s">
        <v>320</v>
      </c>
      <c r="R382" s="259" t="s">
        <v>317</v>
      </c>
      <c r="S382" s="196" t="s">
        <v>346</v>
      </c>
      <c r="T382" s="98" t="str">
        <f t="shared" si="9"/>
        <v>7900 SolverUltima Mk7 4M</v>
      </c>
    </row>
    <row r="383" spans="14:20" ht="13.5" thickBot="1">
      <c r="N383" s="3">
        <v>366</v>
      </c>
      <c r="O383" s="158">
        <v>50</v>
      </c>
      <c r="P383" s="472" t="s">
        <v>592</v>
      </c>
      <c r="Q383" s="158" t="s">
        <v>320</v>
      </c>
      <c r="R383" s="259" t="s">
        <v>317</v>
      </c>
      <c r="S383" s="373" t="s">
        <v>347</v>
      </c>
      <c r="T383" s="98" t="str">
        <f t="shared" si="9"/>
        <v>7900 SolverUltima Mk7 4M R/A</v>
      </c>
    </row>
    <row r="384" spans="14:20">
      <c r="N384" s="3">
        <v>367</v>
      </c>
      <c r="O384" s="158">
        <v>61</v>
      </c>
      <c r="P384" s="472" t="s">
        <v>592</v>
      </c>
      <c r="Q384" s="158" t="s">
        <v>320</v>
      </c>
      <c r="R384" s="259" t="s">
        <v>317</v>
      </c>
      <c r="S384" s="370" t="s">
        <v>344</v>
      </c>
      <c r="T384" s="98" t="str">
        <f t="shared" si="9"/>
        <v>7900 SolverUltima Mk7 2M</v>
      </c>
    </row>
    <row r="385" spans="14:20">
      <c r="N385" s="3">
        <v>368</v>
      </c>
      <c r="O385" s="158">
        <v>61</v>
      </c>
      <c r="P385" s="472" t="s">
        <v>592</v>
      </c>
      <c r="Q385" s="158" t="s">
        <v>320</v>
      </c>
      <c r="R385" s="259" t="s">
        <v>317</v>
      </c>
      <c r="S385" s="196" t="s">
        <v>345</v>
      </c>
      <c r="T385" s="98" t="str">
        <f t="shared" si="9"/>
        <v>7900 SolverUltima Mk7 2M R/A</v>
      </c>
    </row>
    <row r="386" spans="14:20">
      <c r="N386" s="3">
        <v>369</v>
      </c>
      <c r="O386" s="158">
        <v>61</v>
      </c>
      <c r="P386" s="472" t="s">
        <v>592</v>
      </c>
      <c r="Q386" s="158" t="s">
        <v>320</v>
      </c>
      <c r="R386" s="259" t="s">
        <v>317</v>
      </c>
      <c r="S386" s="196" t="s">
        <v>346</v>
      </c>
      <c r="T386" s="98" t="str">
        <f t="shared" si="9"/>
        <v>7900 SolverUltima Mk7 4M</v>
      </c>
    </row>
    <row r="387" spans="14:20" ht="13.5" thickBot="1">
      <c r="N387" s="3">
        <v>370</v>
      </c>
      <c r="O387" s="158">
        <v>61</v>
      </c>
      <c r="P387" s="472" t="s">
        <v>592</v>
      </c>
      <c r="Q387" s="158" t="s">
        <v>320</v>
      </c>
      <c r="R387" s="259" t="s">
        <v>317</v>
      </c>
      <c r="S387" s="373" t="s">
        <v>347</v>
      </c>
      <c r="T387" s="98" t="str">
        <f t="shared" si="9"/>
        <v>7900 SolverUltima Mk7 4M R/A</v>
      </c>
    </row>
    <row r="388" spans="14:20">
      <c r="N388" s="3">
        <v>371</v>
      </c>
      <c r="O388" s="158">
        <v>74</v>
      </c>
      <c r="P388" s="472" t="s">
        <v>595</v>
      </c>
      <c r="Q388" s="158">
        <v>4900</v>
      </c>
      <c r="R388" s="259" t="s">
        <v>317</v>
      </c>
      <c r="S388" s="370" t="s">
        <v>344</v>
      </c>
      <c r="T388" s="98" t="str">
        <f t="shared" si="9"/>
        <v>4900Ultima Mk7 2M</v>
      </c>
    </row>
    <row r="389" spans="14:20">
      <c r="N389" s="3">
        <v>372</v>
      </c>
      <c r="O389" s="158">
        <v>74</v>
      </c>
      <c r="P389" s="472" t="s">
        <v>595</v>
      </c>
      <c r="Q389" s="158">
        <v>4900</v>
      </c>
      <c r="R389" s="259" t="s">
        <v>317</v>
      </c>
      <c r="S389" s="196" t="s">
        <v>345</v>
      </c>
      <c r="T389" s="98" t="str">
        <f t="shared" si="9"/>
        <v>4900Ultima Mk7 2M R/A</v>
      </c>
    </row>
    <row r="390" spans="14:20">
      <c r="N390" s="3">
        <v>373</v>
      </c>
      <c r="O390" s="158">
        <v>74</v>
      </c>
      <c r="P390" s="472" t="s">
        <v>595</v>
      </c>
      <c r="Q390" s="158">
        <v>4900</v>
      </c>
      <c r="R390" s="259" t="s">
        <v>317</v>
      </c>
      <c r="S390" s="196" t="s">
        <v>346</v>
      </c>
      <c r="T390" s="98" t="str">
        <f t="shared" si="9"/>
        <v>4900Ultima Mk7 4M</v>
      </c>
    </row>
    <row r="391" spans="14:20" ht="13.5" thickBot="1">
      <c r="N391" s="3">
        <v>374</v>
      </c>
      <c r="O391" s="158">
        <v>74</v>
      </c>
      <c r="P391" s="472" t="s">
        <v>595</v>
      </c>
      <c r="Q391" s="158">
        <v>4900</v>
      </c>
      <c r="R391" s="259" t="s">
        <v>317</v>
      </c>
      <c r="S391" s="373" t="s">
        <v>347</v>
      </c>
      <c r="T391" s="98" t="str">
        <f t="shared" si="9"/>
        <v>4900Ultima Mk7 4M R/A</v>
      </c>
    </row>
    <row r="392" spans="14:20">
      <c r="N392" s="3">
        <v>375</v>
      </c>
      <c r="O392" s="158">
        <v>75</v>
      </c>
      <c r="P392" s="472" t="s">
        <v>595</v>
      </c>
      <c r="Q392" s="158" t="s">
        <v>391</v>
      </c>
      <c r="R392" s="259" t="s">
        <v>317</v>
      </c>
      <c r="S392" s="370" t="s">
        <v>344</v>
      </c>
      <c r="T392" s="98" t="str">
        <f t="shared" si="9"/>
        <v>4900 DCUltima Mk7 2M</v>
      </c>
    </row>
    <row r="393" spans="14:20">
      <c r="N393" s="3">
        <v>376</v>
      </c>
      <c r="O393" s="158">
        <v>75</v>
      </c>
      <c r="P393" s="472" t="s">
        <v>595</v>
      </c>
      <c r="Q393" s="158" t="s">
        <v>391</v>
      </c>
      <c r="R393" s="259" t="s">
        <v>317</v>
      </c>
      <c r="S393" s="196" t="s">
        <v>345</v>
      </c>
      <c r="T393" s="98" t="str">
        <f t="shared" si="9"/>
        <v>4900 DCUltima Mk7 2M R/A</v>
      </c>
    </row>
    <row r="394" spans="14:20">
      <c r="N394" s="3">
        <v>377</v>
      </c>
      <c r="O394" s="158">
        <v>75</v>
      </c>
      <c r="P394" s="472" t="s">
        <v>595</v>
      </c>
      <c r="Q394" s="158" t="s">
        <v>391</v>
      </c>
      <c r="R394" s="259" t="s">
        <v>317</v>
      </c>
      <c r="S394" s="196" t="s">
        <v>346</v>
      </c>
      <c r="T394" s="98" t="str">
        <f t="shared" si="9"/>
        <v>4900 DCUltima Mk7 4M</v>
      </c>
    </row>
    <row r="395" spans="14:20" ht="13.5" thickBot="1">
      <c r="N395" s="3">
        <v>378</v>
      </c>
      <c r="O395" s="158">
        <v>75</v>
      </c>
      <c r="P395" s="472" t="s">
        <v>595</v>
      </c>
      <c r="Q395" s="158" t="s">
        <v>391</v>
      </c>
      <c r="R395" s="259" t="s">
        <v>317</v>
      </c>
      <c r="S395" s="373" t="s">
        <v>347</v>
      </c>
      <c r="T395" s="98" t="str">
        <f t="shared" si="9"/>
        <v>4900 DCUltima Mk7 4M R/A</v>
      </c>
    </row>
    <row r="396" spans="14:20">
      <c r="N396" s="3">
        <v>379</v>
      </c>
      <c r="O396" s="158">
        <v>76</v>
      </c>
      <c r="P396" s="472" t="s">
        <v>595</v>
      </c>
      <c r="Q396" s="158">
        <v>7900</v>
      </c>
      <c r="R396" s="259" t="s">
        <v>317</v>
      </c>
      <c r="S396" s="370" t="s">
        <v>344</v>
      </c>
      <c r="T396" s="98" t="str">
        <f t="shared" si="9"/>
        <v>7900Ultima Mk7 2M</v>
      </c>
    </row>
    <row r="397" spans="14:20">
      <c r="N397" s="3">
        <v>380</v>
      </c>
      <c r="O397" s="158">
        <v>76</v>
      </c>
      <c r="P397" s="472" t="s">
        <v>595</v>
      </c>
      <c r="Q397" s="158">
        <v>7900</v>
      </c>
      <c r="R397" s="259" t="s">
        <v>317</v>
      </c>
      <c r="S397" s="196" t="s">
        <v>345</v>
      </c>
      <c r="T397" s="98" t="str">
        <f t="shared" si="9"/>
        <v>7900Ultima Mk7 2M R/A</v>
      </c>
    </row>
    <row r="398" spans="14:20">
      <c r="N398" s="3">
        <v>381</v>
      </c>
      <c r="O398" s="158">
        <v>76</v>
      </c>
      <c r="P398" s="472" t="s">
        <v>595</v>
      </c>
      <c r="Q398" s="158">
        <v>7900</v>
      </c>
      <c r="R398" s="259" t="s">
        <v>317</v>
      </c>
      <c r="S398" s="196" t="s">
        <v>346</v>
      </c>
      <c r="T398" s="98" t="str">
        <f t="shared" si="9"/>
        <v>7900Ultima Mk7 4M</v>
      </c>
    </row>
    <row r="399" spans="14:20" ht="13.5" thickBot="1">
      <c r="N399" s="3">
        <v>382</v>
      </c>
      <c r="O399" s="158">
        <v>76</v>
      </c>
      <c r="P399" s="472" t="s">
        <v>595</v>
      </c>
      <c r="Q399" s="158">
        <v>7900</v>
      </c>
      <c r="R399" s="259" t="s">
        <v>317</v>
      </c>
      <c r="S399" s="373" t="s">
        <v>347</v>
      </c>
      <c r="T399" s="98" t="str">
        <f t="shared" si="9"/>
        <v>7900Ultima Mk7 4M R/A</v>
      </c>
    </row>
    <row r="400" spans="14:20">
      <c r="N400" s="3">
        <v>383</v>
      </c>
      <c r="O400" s="158">
        <v>88</v>
      </c>
      <c r="P400" s="472" t="s">
        <v>595</v>
      </c>
      <c r="Q400" s="158" t="s">
        <v>320</v>
      </c>
      <c r="R400" s="259" t="s">
        <v>317</v>
      </c>
      <c r="S400" s="370" t="s">
        <v>344</v>
      </c>
      <c r="T400" s="98" t="str">
        <f t="shared" si="9"/>
        <v>7900 SolverUltima Mk7 2M</v>
      </c>
    </row>
    <row r="401" spans="14:20">
      <c r="N401" s="3">
        <v>384</v>
      </c>
      <c r="O401" s="158">
        <v>88</v>
      </c>
      <c r="P401" s="472" t="s">
        <v>595</v>
      </c>
      <c r="Q401" s="158" t="s">
        <v>320</v>
      </c>
      <c r="R401" s="259" t="s">
        <v>317</v>
      </c>
      <c r="S401" s="196" t="s">
        <v>345</v>
      </c>
      <c r="T401" s="98" t="str">
        <f t="shared" si="9"/>
        <v>7900 SolverUltima Mk7 2M R/A</v>
      </c>
    </row>
    <row r="402" spans="14:20">
      <c r="N402" s="3">
        <v>385</v>
      </c>
      <c r="O402" s="158">
        <v>88</v>
      </c>
      <c r="P402" s="472" t="s">
        <v>595</v>
      </c>
      <c r="Q402" s="158" t="s">
        <v>320</v>
      </c>
      <c r="R402" s="259" t="s">
        <v>317</v>
      </c>
      <c r="S402" s="196" t="s">
        <v>346</v>
      </c>
      <c r="T402" s="98" t="str">
        <f t="shared" si="9"/>
        <v>7900 SolverUltima Mk7 4M</v>
      </c>
    </row>
    <row r="403" spans="14:20" ht="13.5" thickBot="1">
      <c r="N403" s="3">
        <v>386</v>
      </c>
      <c r="O403" s="158">
        <v>88</v>
      </c>
      <c r="P403" s="472" t="s">
        <v>595</v>
      </c>
      <c r="Q403" s="158" t="s">
        <v>320</v>
      </c>
      <c r="R403" s="259" t="s">
        <v>317</v>
      </c>
      <c r="S403" s="373" t="s">
        <v>347</v>
      </c>
      <c r="T403" s="98" t="str">
        <f t="shared" ref="T403:T466" si="10">Q403&amp;S403</f>
        <v>7900 SolverUltima Mk7 4M R/A</v>
      </c>
    </row>
    <row r="404" spans="14:20">
      <c r="N404" s="3">
        <v>387</v>
      </c>
      <c r="O404" s="158">
        <v>106</v>
      </c>
      <c r="P404" s="472" t="s">
        <v>597</v>
      </c>
      <c r="Q404" s="158">
        <v>4900</v>
      </c>
      <c r="R404" s="259" t="s">
        <v>317</v>
      </c>
      <c r="S404" s="370" t="s">
        <v>344</v>
      </c>
      <c r="T404" s="98" t="str">
        <f t="shared" si="10"/>
        <v>4900Ultima Mk7 2M</v>
      </c>
    </row>
    <row r="405" spans="14:20">
      <c r="N405" s="3">
        <v>388</v>
      </c>
      <c r="O405" s="158">
        <v>106</v>
      </c>
      <c r="P405" s="472" t="s">
        <v>597</v>
      </c>
      <c r="Q405" s="158">
        <v>4900</v>
      </c>
      <c r="R405" s="259" t="s">
        <v>317</v>
      </c>
      <c r="S405" s="196" t="s">
        <v>345</v>
      </c>
      <c r="T405" s="98" t="str">
        <f t="shared" si="10"/>
        <v>4900Ultima Mk7 2M R/A</v>
      </c>
    </row>
    <row r="406" spans="14:20">
      <c r="N406" s="3">
        <v>389</v>
      </c>
      <c r="O406" s="158">
        <v>106</v>
      </c>
      <c r="P406" s="472" t="s">
        <v>597</v>
      </c>
      <c r="Q406" s="158">
        <v>4900</v>
      </c>
      <c r="R406" s="259" t="s">
        <v>317</v>
      </c>
      <c r="S406" s="196" t="s">
        <v>346</v>
      </c>
      <c r="T406" s="98" t="str">
        <f t="shared" si="10"/>
        <v>4900Ultima Mk7 4M</v>
      </c>
    </row>
    <row r="407" spans="14:20" ht="13.5" thickBot="1">
      <c r="N407" s="3">
        <v>390</v>
      </c>
      <c r="O407" s="158">
        <v>106</v>
      </c>
      <c r="P407" s="472" t="s">
        <v>597</v>
      </c>
      <c r="Q407" s="158">
        <v>4900</v>
      </c>
      <c r="R407" s="259" t="s">
        <v>317</v>
      </c>
      <c r="S407" s="373" t="s">
        <v>347</v>
      </c>
      <c r="T407" s="98" t="str">
        <f t="shared" si="10"/>
        <v>4900Ultima Mk7 4M R/A</v>
      </c>
    </row>
    <row r="408" spans="14:20">
      <c r="N408" s="3">
        <v>391</v>
      </c>
      <c r="O408" s="158">
        <v>107</v>
      </c>
      <c r="P408" s="472" t="s">
        <v>597</v>
      </c>
      <c r="Q408" s="158" t="s">
        <v>391</v>
      </c>
      <c r="R408" s="259" t="s">
        <v>317</v>
      </c>
      <c r="S408" s="370" t="s">
        <v>344</v>
      </c>
      <c r="T408" s="98" t="str">
        <f t="shared" si="10"/>
        <v>4900 DCUltima Mk7 2M</v>
      </c>
    </row>
    <row r="409" spans="14:20">
      <c r="N409" s="3">
        <v>392</v>
      </c>
      <c r="O409" s="158">
        <v>107</v>
      </c>
      <c r="P409" s="472" t="s">
        <v>597</v>
      </c>
      <c r="Q409" s="158" t="s">
        <v>391</v>
      </c>
      <c r="R409" s="259" t="s">
        <v>317</v>
      </c>
      <c r="S409" s="196" t="s">
        <v>345</v>
      </c>
      <c r="T409" s="98" t="str">
        <f t="shared" si="10"/>
        <v>4900 DCUltima Mk7 2M R/A</v>
      </c>
    </row>
    <row r="410" spans="14:20">
      <c r="N410" s="3">
        <v>393</v>
      </c>
      <c r="O410" s="158">
        <v>107</v>
      </c>
      <c r="P410" s="472" t="s">
        <v>597</v>
      </c>
      <c r="Q410" s="158" t="s">
        <v>391</v>
      </c>
      <c r="R410" s="259" t="s">
        <v>317</v>
      </c>
      <c r="S410" s="196" t="s">
        <v>346</v>
      </c>
      <c r="T410" s="98" t="str">
        <f t="shared" si="10"/>
        <v>4900 DCUltima Mk7 4M</v>
      </c>
    </row>
    <row r="411" spans="14:20" ht="13.5" thickBot="1">
      <c r="N411" s="3">
        <v>394</v>
      </c>
      <c r="O411" s="158">
        <v>107</v>
      </c>
      <c r="P411" s="472" t="s">
        <v>597</v>
      </c>
      <c r="Q411" s="158" t="s">
        <v>391</v>
      </c>
      <c r="R411" s="259" t="s">
        <v>317</v>
      </c>
      <c r="S411" s="373" t="s">
        <v>347</v>
      </c>
      <c r="T411" s="98" t="str">
        <f t="shared" si="10"/>
        <v>4900 DCUltima Mk7 4M R/A</v>
      </c>
    </row>
    <row r="412" spans="14:20">
      <c r="N412" s="3">
        <v>395</v>
      </c>
      <c r="O412" s="158">
        <v>108</v>
      </c>
      <c r="P412" s="472" t="s">
        <v>597</v>
      </c>
      <c r="Q412" s="158">
        <v>7900</v>
      </c>
      <c r="R412" s="259" t="s">
        <v>317</v>
      </c>
      <c r="S412" s="370" t="s">
        <v>344</v>
      </c>
      <c r="T412" s="98" t="str">
        <f t="shared" si="10"/>
        <v>7900Ultima Mk7 2M</v>
      </c>
    </row>
    <row r="413" spans="14:20">
      <c r="N413" s="3">
        <v>396</v>
      </c>
      <c r="O413" s="158">
        <v>108</v>
      </c>
      <c r="P413" s="472" t="s">
        <v>597</v>
      </c>
      <c r="Q413" s="158">
        <v>7900</v>
      </c>
      <c r="R413" s="259" t="s">
        <v>317</v>
      </c>
      <c r="S413" s="196" t="s">
        <v>345</v>
      </c>
      <c r="T413" s="98" t="str">
        <f t="shared" si="10"/>
        <v>7900Ultima Mk7 2M R/A</v>
      </c>
    </row>
    <row r="414" spans="14:20">
      <c r="N414" s="3">
        <v>397</v>
      </c>
      <c r="O414" s="158">
        <v>108</v>
      </c>
      <c r="P414" s="472" t="s">
        <v>597</v>
      </c>
      <c r="Q414" s="158">
        <v>7900</v>
      </c>
      <c r="R414" s="259" t="s">
        <v>317</v>
      </c>
      <c r="S414" s="196" t="s">
        <v>346</v>
      </c>
      <c r="T414" s="98" t="str">
        <f t="shared" si="10"/>
        <v>7900Ultima Mk7 4M</v>
      </c>
    </row>
    <row r="415" spans="14:20" ht="13.5" thickBot="1">
      <c r="N415" s="3">
        <v>398</v>
      </c>
      <c r="O415" s="158">
        <v>108</v>
      </c>
      <c r="P415" s="472" t="s">
        <v>597</v>
      </c>
      <c r="Q415" s="158">
        <v>7900</v>
      </c>
      <c r="R415" s="259" t="s">
        <v>317</v>
      </c>
      <c r="S415" s="373" t="s">
        <v>347</v>
      </c>
      <c r="T415" s="98" t="str">
        <f t="shared" si="10"/>
        <v>7900Ultima Mk7 4M R/A</v>
      </c>
    </row>
    <row r="416" spans="14:20">
      <c r="N416" s="3">
        <v>399</v>
      </c>
      <c r="O416" s="158">
        <v>119</v>
      </c>
      <c r="P416" s="472" t="s">
        <v>598</v>
      </c>
      <c r="Q416" s="158">
        <v>4900</v>
      </c>
      <c r="R416" s="259" t="s">
        <v>317</v>
      </c>
      <c r="S416" s="370" t="s">
        <v>344</v>
      </c>
      <c r="T416" s="98" t="str">
        <f t="shared" si="10"/>
        <v>4900Ultima Mk7 2M</v>
      </c>
    </row>
    <row r="417" spans="14:20">
      <c r="N417" s="3">
        <v>400</v>
      </c>
      <c r="O417" s="158">
        <v>119</v>
      </c>
      <c r="P417" s="472" t="s">
        <v>598</v>
      </c>
      <c r="Q417" s="158">
        <v>4900</v>
      </c>
      <c r="R417" s="259" t="s">
        <v>317</v>
      </c>
      <c r="S417" s="196" t="s">
        <v>345</v>
      </c>
      <c r="T417" s="98" t="str">
        <f t="shared" si="10"/>
        <v>4900Ultima Mk7 2M R/A</v>
      </c>
    </row>
    <row r="418" spans="14:20">
      <c r="N418" s="3">
        <v>401</v>
      </c>
      <c r="O418" s="158">
        <v>119</v>
      </c>
      <c r="P418" s="472" t="s">
        <v>598</v>
      </c>
      <c r="Q418" s="158">
        <v>4900</v>
      </c>
      <c r="R418" s="259" t="s">
        <v>317</v>
      </c>
      <c r="S418" s="196" t="s">
        <v>346</v>
      </c>
      <c r="T418" s="98" t="str">
        <f t="shared" si="10"/>
        <v>4900Ultima Mk7 4M</v>
      </c>
    </row>
    <row r="419" spans="14:20" ht="13.5" thickBot="1">
      <c r="N419" s="3">
        <v>402</v>
      </c>
      <c r="O419" s="158">
        <v>119</v>
      </c>
      <c r="P419" s="472" t="s">
        <v>598</v>
      </c>
      <c r="Q419" s="158">
        <v>4900</v>
      </c>
      <c r="R419" s="259" t="s">
        <v>317</v>
      </c>
      <c r="S419" s="373" t="s">
        <v>347</v>
      </c>
      <c r="T419" s="98" t="str">
        <f t="shared" si="10"/>
        <v>4900Ultima Mk7 4M R/A</v>
      </c>
    </row>
    <row r="420" spans="14:20">
      <c r="N420" s="3">
        <v>403</v>
      </c>
      <c r="O420" s="158">
        <v>120</v>
      </c>
      <c r="P420" s="472" t="s">
        <v>598</v>
      </c>
      <c r="Q420" s="158" t="s">
        <v>391</v>
      </c>
      <c r="R420" s="259" t="s">
        <v>317</v>
      </c>
      <c r="S420" s="370" t="s">
        <v>344</v>
      </c>
      <c r="T420" s="98" t="str">
        <f t="shared" si="10"/>
        <v>4900 DCUltima Mk7 2M</v>
      </c>
    </row>
    <row r="421" spans="14:20">
      <c r="N421" s="3">
        <v>404</v>
      </c>
      <c r="O421" s="158">
        <v>120</v>
      </c>
      <c r="P421" s="472" t="s">
        <v>598</v>
      </c>
      <c r="Q421" s="158" t="s">
        <v>391</v>
      </c>
      <c r="R421" s="259" t="s">
        <v>317</v>
      </c>
      <c r="S421" s="196" t="s">
        <v>345</v>
      </c>
      <c r="T421" s="98" t="str">
        <f t="shared" si="10"/>
        <v>4900 DCUltima Mk7 2M R/A</v>
      </c>
    </row>
    <row r="422" spans="14:20">
      <c r="N422" s="3">
        <v>405</v>
      </c>
      <c r="O422" s="158">
        <v>120</v>
      </c>
      <c r="P422" s="472" t="s">
        <v>598</v>
      </c>
      <c r="Q422" s="158" t="s">
        <v>391</v>
      </c>
      <c r="R422" s="259" t="s">
        <v>317</v>
      </c>
      <c r="S422" s="196" t="s">
        <v>346</v>
      </c>
      <c r="T422" s="98" t="str">
        <f t="shared" si="10"/>
        <v>4900 DCUltima Mk7 4M</v>
      </c>
    </row>
    <row r="423" spans="14:20" ht="13.5" thickBot="1">
      <c r="N423" s="3">
        <v>406</v>
      </c>
      <c r="O423" s="158">
        <v>120</v>
      </c>
      <c r="P423" s="472" t="s">
        <v>598</v>
      </c>
      <c r="Q423" s="158" t="s">
        <v>391</v>
      </c>
      <c r="R423" s="259" t="s">
        <v>317</v>
      </c>
      <c r="S423" s="373" t="s">
        <v>347</v>
      </c>
      <c r="T423" s="98" t="str">
        <f t="shared" si="10"/>
        <v>4900 DCUltima Mk7 4M R/A</v>
      </c>
    </row>
    <row r="424" spans="14:20">
      <c r="N424" s="3">
        <v>407</v>
      </c>
      <c r="O424" s="158">
        <v>121</v>
      </c>
      <c r="P424" s="472" t="s">
        <v>598</v>
      </c>
      <c r="Q424" s="158">
        <v>7900</v>
      </c>
      <c r="R424" s="259" t="s">
        <v>317</v>
      </c>
      <c r="S424" s="370" t="s">
        <v>344</v>
      </c>
      <c r="T424" s="98" t="str">
        <f t="shared" si="10"/>
        <v>7900Ultima Mk7 2M</v>
      </c>
    </row>
    <row r="425" spans="14:20">
      <c r="N425" s="3">
        <v>408</v>
      </c>
      <c r="O425" s="158">
        <v>121</v>
      </c>
      <c r="P425" s="472" t="s">
        <v>598</v>
      </c>
      <c r="Q425" s="158">
        <v>7900</v>
      </c>
      <c r="R425" s="259" t="s">
        <v>317</v>
      </c>
      <c r="S425" s="196" t="s">
        <v>345</v>
      </c>
      <c r="T425" s="98" t="str">
        <f t="shared" si="10"/>
        <v>7900Ultima Mk7 2M R/A</v>
      </c>
    </row>
    <row r="426" spans="14:20">
      <c r="N426" s="3">
        <v>409</v>
      </c>
      <c r="O426" s="158">
        <v>121</v>
      </c>
      <c r="P426" s="472" t="s">
        <v>598</v>
      </c>
      <c r="Q426" s="158">
        <v>7900</v>
      </c>
      <c r="R426" s="259" t="s">
        <v>317</v>
      </c>
      <c r="S426" s="196" t="s">
        <v>346</v>
      </c>
      <c r="T426" s="98" t="str">
        <f t="shared" si="10"/>
        <v>7900Ultima Mk7 4M</v>
      </c>
    </row>
    <row r="427" spans="14:20" ht="13.5" thickBot="1">
      <c r="N427" s="3">
        <v>410</v>
      </c>
      <c r="O427" s="158">
        <v>121</v>
      </c>
      <c r="P427" s="472" t="s">
        <v>598</v>
      </c>
      <c r="Q427" s="158">
        <v>7900</v>
      </c>
      <c r="R427" s="259" t="s">
        <v>317</v>
      </c>
      <c r="S427" s="373" t="s">
        <v>347</v>
      </c>
      <c r="T427" s="98" t="str">
        <f t="shared" si="10"/>
        <v>7900Ultima Mk7 4M R/A</v>
      </c>
    </row>
    <row r="428" spans="14:20">
      <c r="N428" s="3">
        <v>411</v>
      </c>
      <c r="O428" s="158">
        <v>130</v>
      </c>
      <c r="P428" s="472" t="s">
        <v>598</v>
      </c>
      <c r="Q428" s="158" t="s">
        <v>320</v>
      </c>
      <c r="R428" s="259" t="s">
        <v>317</v>
      </c>
      <c r="S428" s="370" t="s">
        <v>344</v>
      </c>
      <c r="T428" s="98" t="str">
        <f t="shared" si="10"/>
        <v>7900 SolverUltima Mk7 2M</v>
      </c>
    </row>
    <row r="429" spans="14:20">
      <c r="N429" s="3">
        <v>412</v>
      </c>
      <c r="O429" s="158">
        <v>130</v>
      </c>
      <c r="P429" s="472" t="s">
        <v>598</v>
      </c>
      <c r="Q429" s="158" t="s">
        <v>320</v>
      </c>
      <c r="R429" s="259" t="s">
        <v>317</v>
      </c>
      <c r="S429" s="196" t="s">
        <v>345</v>
      </c>
      <c r="T429" s="98" t="str">
        <f t="shared" si="10"/>
        <v>7900 SolverUltima Mk7 2M R/A</v>
      </c>
    </row>
    <row r="430" spans="14:20">
      <c r="N430" s="3">
        <v>413</v>
      </c>
      <c r="O430" s="158">
        <v>130</v>
      </c>
      <c r="P430" s="472" t="s">
        <v>598</v>
      </c>
      <c r="Q430" s="158" t="s">
        <v>320</v>
      </c>
      <c r="R430" s="259" t="s">
        <v>317</v>
      </c>
      <c r="S430" s="196" t="s">
        <v>346</v>
      </c>
      <c r="T430" s="98" t="str">
        <f t="shared" si="10"/>
        <v>7900 SolverUltima Mk7 4M</v>
      </c>
    </row>
    <row r="431" spans="14:20" ht="13.5" thickBot="1">
      <c r="N431" s="3">
        <v>414</v>
      </c>
      <c r="O431" s="158">
        <v>130</v>
      </c>
      <c r="P431" s="472" t="s">
        <v>598</v>
      </c>
      <c r="Q431" s="158" t="s">
        <v>320</v>
      </c>
      <c r="R431" s="259" t="s">
        <v>317</v>
      </c>
      <c r="S431" s="373" t="s">
        <v>347</v>
      </c>
      <c r="T431" s="98" t="str">
        <f t="shared" si="10"/>
        <v>7900 SolverUltima Mk7 4M R/A</v>
      </c>
    </row>
    <row r="432" spans="14:20">
      <c r="N432" s="3">
        <v>415</v>
      </c>
      <c r="O432" s="158">
        <v>131</v>
      </c>
      <c r="P432" s="472" t="s">
        <v>599</v>
      </c>
      <c r="Q432" s="158">
        <v>4900</v>
      </c>
      <c r="R432" s="259" t="s">
        <v>317</v>
      </c>
      <c r="S432" s="370" t="s">
        <v>344</v>
      </c>
      <c r="T432" s="98" t="str">
        <f t="shared" si="10"/>
        <v>4900Ultima Mk7 2M</v>
      </c>
    </row>
    <row r="433" spans="14:20">
      <c r="N433" s="3">
        <v>416</v>
      </c>
      <c r="O433" s="158">
        <v>131</v>
      </c>
      <c r="P433" s="472" t="s">
        <v>599</v>
      </c>
      <c r="Q433" s="158">
        <v>4900</v>
      </c>
      <c r="R433" s="259" t="s">
        <v>317</v>
      </c>
      <c r="S433" s="196" t="s">
        <v>345</v>
      </c>
      <c r="T433" s="98" t="str">
        <f t="shared" si="10"/>
        <v>4900Ultima Mk7 2M R/A</v>
      </c>
    </row>
    <row r="434" spans="14:20">
      <c r="N434" s="3">
        <v>417</v>
      </c>
      <c r="O434" s="158">
        <v>131</v>
      </c>
      <c r="P434" s="472" t="s">
        <v>599</v>
      </c>
      <c r="Q434" s="158">
        <v>4900</v>
      </c>
      <c r="R434" s="259" t="s">
        <v>317</v>
      </c>
      <c r="S434" s="196" t="s">
        <v>346</v>
      </c>
      <c r="T434" s="98" t="str">
        <f t="shared" si="10"/>
        <v>4900Ultima Mk7 4M</v>
      </c>
    </row>
    <row r="435" spans="14:20" ht="13.5" thickBot="1">
      <c r="N435" s="3">
        <v>418</v>
      </c>
      <c r="O435" s="158">
        <v>131</v>
      </c>
      <c r="P435" s="472" t="s">
        <v>599</v>
      </c>
      <c r="Q435" s="158">
        <v>4900</v>
      </c>
      <c r="R435" s="259" t="s">
        <v>317</v>
      </c>
      <c r="S435" s="373" t="s">
        <v>347</v>
      </c>
      <c r="T435" s="98" t="str">
        <f t="shared" si="10"/>
        <v>4900Ultima Mk7 4M R/A</v>
      </c>
    </row>
    <row r="436" spans="14:20">
      <c r="N436" s="3">
        <v>419</v>
      </c>
      <c r="O436" s="158">
        <v>132</v>
      </c>
      <c r="P436" s="472" t="s">
        <v>599</v>
      </c>
      <c r="Q436" s="158" t="s">
        <v>391</v>
      </c>
      <c r="R436" s="259" t="s">
        <v>317</v>
      </c>
      <c r="S436" s="370" t="s">
        <v>344</v>
      </c>
      <c r="T436" s="98" t="str">
        <f t="shared" si="10"/>
        <v>4900 DCUltima Mk7 2M</v>
      </c>
    </row>
    <row r="437" spans="14:20">
      <c r="N437" s="3">
        <v>420</v>
      </c>
      <c r="O437" s="158">
        <v>132</v>
      </c>
      <c r="P437" s="472" t="s">
        <v>599</v>
      </c>
      <c r="Q437" s="158" t="s">
        <v>391</v>
      </c>
      <c r="R437" s="259" t="s">
        <v>317</v>
      </c>
      <c r="S437" s="196" t="s">
        <v>345</v>
      </c>
      <c r="T437" s="98" t="str">
        <f t="shared" si="10"/>
        <v>4900 DCUltima Mk7 2M R/A</v>
      </c>
    </row>
    <row r="438" spans="14:20">
      <c r="N438" s="3">
        <v>421</v>
      </c>
      <c r="O438" s="158">
        <v>132</v>
      </c>
      <c r="P438" s="472" t="s">
        <v>599</v>
      </c>
      <c r="Q438" s="158" t="s">
        <v>391</v>
      </c>
      <c r="R438" s="259" t="s">
        <v>317</v>
      </c>
      <c r="S438" s="196" t="s">
        <v>346</v>
      </c>
      <c r="T438" s="98" t="str">
        <f t="shared" si="10"/>
        <v>4900 DCUltima Mk7 4M</v>
      </c>
    </row>
    <row r="439" spans="14:20" ht="13.5" thickBot="1">
      <c r="N439" s="3">
        <v>422</v>
      </c>
      <c r="O439" s="158">
        <v>132</v>
      </c>
      <c r="P439" s="472" t="s">
        <v>599</v>
      </c>
      <c r="Q439" s="158" t="s">
        <v>391</v>
      </c>
      <c r="R439" s="259" t="s">
        <v>317</v>
      </c>
      <c r="S439" s="373" t="s">
        <v>347</v>
      </c>
      <c r="T439" s="98" t="str">
        <f t="shared" si="10"/>
        <v>4900 DCUltima Mk7 4M R/A</v>
      </c>
    </row>
    <row r="440" spans="14:20">
      <c r="N440" s="3">
        <v>423</v>
      </c>
      <c r="O440" s="158">
        <v>133</v>
      </c>
      <c r="P440" s="472" t="s">
        <v>599</v>
      </c>
      <c r="Q440" s="158">
        <v>7900</v>
      </c>
      <c r="R440" s="259" t="s">
        <v>317</v>
      </c>
      <c r="S440" s="370" t="s">
        <v>344</v>
      </c>
      <c r="T440" s="98" t="str">
        <f t="shared" si="10"/>
        <v>7900Ultima Mk7 2M</v>
      </c>
    </row>
    <row r="441" spans="14:20">
      <c r="N441" s="3">
        <v>424</v>
      </c>
      <c r="O441" s="158">
        <v>133</v>
      </c>
      <c r="P441" s="472" t="s">
        <v>599</v>
      </c>
      <c r="Q441" s="158">
        <v>7900</v>
      </c>
      <c r="R441" s="259" t="s">
        <v>317</v>
      </c>
      <c r="S441" s="196" t="s">
        <v>345</v>
      </c>
      <c r="T441" s="98" t="str">
        <f t="shared" si="10"/>
        <v>7900Ultima Mk7 2M R/A</v>
      </c>
    </row>
    <row r="442" spans="14:20">
      <c r="N442" s="3">
        <v>425</v>
      </c>
      <c r="O442" s="158">
        <v>133</v>
      </c>
      <c r="P442" s="472" t="s">
        <v>599</v>
      </c>
      <c r="Q442" s="158">
        <v>7900</v>
      </c>
      <c r="R442" s="259" t="s">
        <v>317</v>
      </c>
      <c r="S442" s="196" t="s">
        <v>346</v>
      </c>
      <c r="T442" s="98" t="str">
        <f t="shared" si="10"/>
        <v>7900Ultima Mk7 4M</v>
      </c>
    </row>
    <row r="443" spans="14:20" ht="13.5" thickBot="1">
      <c r="N443" s="3">
        <v>426</v>
      </c>
      <c r="O443" s="158">
        <v>133</v>
      </c>
      <c r="P443" s="472" t="s">
        <v>599</v>
      </c>
      <c r="Q443" s="158">
        <v>7900</v>
      </c>
      <c r="R443" s="259" t="s">
        <v>317</v>
      </c>
      <c r="S443" s="373" t="s">
        <v>347</v>
      </c>
      <c r="T443" s="98" t="str">
        <f t="shared" si="10"/>
        <v>7900Ultima Mk7 4M R/A</v>
      </c>
    </row>
    <row r="444" spans="14:20">
      <c r="N444" s="3">
        <v>427</v>
      </c>
      <c r="O444" s="158">
        <v>142</v>
      </c>
      <c r="P444" s="472" t="s">
        <v>599</v>
      </c>
      <c r="Q444" s="158" t="s">
        <v>320</v>
      </c>
      <c r="R444" s="259" t="s">
        <v>317</v>
      </c>
      <c r="S444" s="370" t="s">
        <v>344</v>
      </c>
      <c r="T444" s="98" t="str">
        <f t="shared" si="10"/>
        <v>7900 SolverUltima Mk7 2M</v>
      </c>
    </row>
    <row r="445" spans="14:20">
      <c r="N445" s="3">
        <v>428</v>
      </c>
      <c r="O445" s="158">
        <v>142</v>
      </c>
      <c r="P445" s="472" t="s">
        <v>599</v>
      </c>
      <c r="Q445" s="158" t="s">
        <v>320</v>
      </c>
      <c r="R445" s="259" t="s">
        <v>317</v>
      </c>
      <c r="S445" s="196" t="s">
        <v>345</v>
      </c>
      <c r="T445" s="98" t="str">
        <f t="shared" si="10"/>
        <v>7900 SolverUltima Mk7 2M R/A</v>
      </c>
    </row>
    <row r="446" spans="14:20">
      <c r="N446" s="3">
        <v>429</v>
      </c>
      <c r="O446" s="158">
        <v>142</v>
      </c>
      <c r="P446" s="472" t="s">
        <v>599</v>
      </c>
      <c r="Q446" s="158" t="s">
        <v>320</v>
      </c>
      <c r="R446" s="259" t="s">
        <v>317</v>
      </c>
      <c r="S446" s="196" t="s">
        <v>346</v>
      </c>
      <c r="T446" s="98" t="str">
        <f t="shared" si="10"/>
        <v>7900 SolverUltima Mk7 4M</v>
      </c>
    </row>
    <row r="447" spans="14:20" ht="13.5" thickBot="1">
      <c r="N447" s="3">
        <v>430</v>
      </c>
      <c r="O447" s="158">
        <v>142</v>
      </c>
      <c r="P447" s="472" t="s">
        <v>599</v>
      </c>
      <c r="Q447" s="158" t="s">
        <v>320</v>
      </c>
      <c r="R447" s="259" t="s">
        <v>317</v>
      </c>
      <c r="S447" s="373" t="s">
        <v>347</v>
      </c>
      <c r="T447" s="98" t="str">
        <f t="shared" si="10"/>
        <v>7900 SolverUltima Mk7 4M R/A</v>
      </c>
    </row>
    <row r="448" spans="14:20">
      <c r="N448" s="3">
        <v>431</v>
      </c>
      <c r="O448" s="158">
        <v>154</v>
      </c>
      <c r="P448" s="472" t="s">
        <v>602</v>
      </c>
      <c r="Q448" s="158">
        <v>4900</v>
      </c>
      <c r="R448" s="259" t="s">
        <v>317</v>
      </c>
      <c r="S448" s="370" t="s">
        <v>344</v>
      </c>
      <c r="T448" s="98" t="str">
        <f t="shared" si="10"/>
        <v>4900Ultima Mk7 2M</v>
      </c>
    </row>
    <row r="449" spans="14:20">
      <c r="N449" s="3">
        <v>432</v>
      </c>
      <c r="O449" s="158">
        <v>154</v>
      </c>
      <c r="P449" s="472" t="s">
        <v>602</v>
      </c>
      <c r="Q449" s="158">
        <v>4900</v>
      </c>
      <c r="R449" s="259" t="s">
        <v>317</v>
      </c>
      <c r="S449" s="196" t="s">
        <v>345</v>
      </c>
      <c r="T449" s="98" t="str">
        <f t="shared" si="10"/>
        <v>4900Ultima Mk7 2M R/A</v>
      </c>
    </row>
    <row r="450" spans="14:20">
      <c r="N450" s="3">
        <v>433</v>
      </c>
      <c r="O450" s="158">
        <v>154</v>
      </c>
      <c r="P450" s="472" t="s">
        <v>602</v>
      </c>
      <c r="Q450" s="158">
        <v>4900</v>
      </c>
      <c r="R450" s="259" t="s">
        <v>317</v>
      </c>
      <c r="S450" s="196" t="s">
        <v>346</v>
      </c>
      <c r="T450" s="98" t="str">
        <f t="shared" si="10"/>
        <v>4900Ultima Mk7 4M</v>
      </c>
    </row>
    <row r="451" spans="14:20" ht="13.5" thickBot="1">
      <c r="N451" s="3">
        <v>434</v>
      </c>
      <c r="O451" s="158">
        <v>154</v>
      </c>
      <c r="P451" s="472" t="s">
        <v>602</v>
      </c>
      <c r="Q451" s="158">
        <v>4900</v>
      </c>
      <c r="R451" s="259" t="s">
        <v>317</v>
      </c>
      <c r="S451" s="373" t="s">
        <v>347</v>
      </c>
      <c r="T451" s="98" t="str">
        <f t="shared" si="10"/>
        <v>4900Ultima Mk7 4M R/A</v>
      </c>
    </row>
    <row r="452" spans="14:20">
      <c r="N452" s="3">
        <v>435</v>
      </c>
      <c r="O452" s="158">
        <v>155</v>
      </c>
      <c r="P452" s="472" t="s">
        <v>602</v>
      </c>
      <c r="Q452" s="158" t="s">
        <v>391</v>
      </c>
      <c r="R452" s="259" t="s">
        <v>317</v>
      </c>
      <c r="S452" s="370" t="s">
        <v>344</v>
      </c>
      <c r="T452" s="98" t="str">
        <f t="shared" si="10"/>
        <v>4900 DCUltima Mk7 2M</v>
      </c>
    </row>
    <row r="453" spans="14:20">
      <c r="N453" s="3">
        <v>436</v>
      </c>
      <c r="O453" s="158">
        <v>155</v>
      </c>
      <c r="P453" s="472" t="s">
        <v>602</v>
      </c>
      <c r="Q453" s="158" t="s">
        <v>391</v>
      </c>
      <c r="R453" s="259" t="s">
        <v>317</v>
      </c>
      <c r="S453" s="196" t="s">
        <v>345</v>
      </c>
      <c r="T453" s="98" t="str">
        <f t="shared" si="10"/>
        <v>4900 DCUltima Mk7 2M R/A</v>
      </c>
    </row>
    <row r="454" spans="14:20">
      <c r="N454" s="3">
        <v>437</v>
      </c>
      <c r="O454" s="158">
        <v>155</v>
      </c>
      <c r="P454" s="472" t="s">
        <v>602</v>
      </c>
      <c r="Q454" s="158" t="s">
        <v>391</v>
      </c>
      <c r="R454" s="259" t="s">
        <v>317</v>
      </c>
      <c r="S454" s="196" t="s">
        <v>346</v>
      </c>
      <c r="T454" s="98" t="str">
        <f t="shared" si="10"/>
        <v>4900 DCUltima Mk7 4M</v>
      </c>
    </row>
    <row r="455" spans="14:20" ht="13.5" thickBot="1">
      <c r="N455" s="3">
        <v>438</v>
      </c>
      <c r="O455" s="158">
        <v>155</v>
      </c>
      <c r="P455" s="472" t="s">
        <v>602</v>
      </c>
      <c r="Q455" s="158" t="s">
        <v>391</v>
      </c>
      <c r="R455" s="259" t="s">
        <v>317</v>
      </c>
      <c r="S455" s="373" t="s">
        <v>347</v>
      </c>
      <c r="T455" s="98" t="str">
        <f t="shared" si="10"/>
        <v>4900 DCUltima Mk7 4M R/A</v>
      </c>
    </row>
    <row r="456" spans="14:20">
      <c r="N456" s="3">
        <v>439</v>
      </c>
      <c r="O456" s="158">
        <v>156</v>
      </c>
      <c r="P456" s="472" t="s">
        <v>602</v>
      </c>
      <c r="Q456" s="158">
        <v>7900</v>
      </c>
      <c r="R456" s="259" t="s">
        <v>317</v>
      </c>
      <c r="S456" s="370" t="s">
        <v>344</v>
      </c>
      <c r="T456" s="98" t="str">
        <f t="shared" si="10"/>
        <v>7900Ultima Mk7 2M</v>
      </c>
    </row>
    <row r="457" spans="14:20">
      <c r="N457" s="3">
        <v>440</v>
      </c>
      <c r="O457" s="158">
        <v>156</v>
      </c>
      <c r="P457" s="472" t="s">
        <v>602</v>
      </c>
      <c r="Q457" s="158">
        <v>7900</v>
      </c>
      <c r="R457" s="259" t="s">
        <v>317</v>
      </c>
      <c r="S457" s="196" t="s">
        <v>345</v>
      </c>
      <c r="T457" s="98" t="str">
        <f t="shared" si="10"/>
        <v>7900Ultima Mk7 2M R/A</v>
      </c>
    </row>
    <row r="458" spans="14:20">
      <c r="N458" s="3">
        <v>441</v>
      </c>
      <c r="O458" s="158">
        <v>156</v>
      </c>
      <c r="P458" s="472" t="s">
        <v>602</v>
      </c>
      <c r="Q458" s="158">
        <v>7900</v>
      </c>
      <c r="R458" s="259" t="s">
        <v>317</v>
      </c>
      <c r="S458" s="196" t="s">
        <v>346</v>
      </c>
      <c r="T458" s="98" t="str">
        <f t="shared" si="10"/>
        <v>7900Ultima Mk7 4M</v>
      </c>
    </row>
    <row r="459" spans="14:20" ht="13.5" thickBot="1">
      <c r="N459" s="3">
        <v>442</v>
      </c>
      <c r="O459" s="158">
        <v>156</v>
      </c>
      <c r="P459" s="472" t="s">
        <v>602</v>
      </c>
      <c r="Q459" s="158">
        <v>7900</v>
      </c>
      <c r="R459" s="259" t="s">
        <v>317</v>
      </c>
      <c r="S459" s="373" t="s">
        <v>347</v>
      </c>
      <c r="T459" s="98" t="str">
        <f t="shared" si="10"/>
        <v>7900Ultima Mk7 4M R/A</v>
      </c>
    </row>
    <row r="460" spans="14:20">
      <c r="N460" s="3">
        <v>443</v>
      </c>
      <c r="O460" s="158">
        <v>53</v>
      </c>
      <c r="P460" s="472" t="s">
        <v>592</v>
      </c>
      <c r="Q460" s="158">
        <v>4900</v>
      </c>
      <c r="R460" s="259" t="s">
        <v>381</v>
      </c>
      <c r="S460" s="370" t="s">
        <v>352</v>
      </c>
      <c r="T460" s="98" t="str">
        <f t="shared" si="10"/>
        <v>4900Ultima A Mk7 2M</v>
      </c>
    </row>
    <row r="461" spans="14:20">
      <c r="N461" s="3">
        <v>444</v>
      </c>
      <c r="O461" s="158">
        <v>53</v>
      </c>
      <c r="P461" s="472" t="s">
        <v>592</v>
      </c>
      <c r="Q461" s="158">
        <v>4900</v>
      </c>
      <c r="R461" s="259" t="s">
        <v>381</v>
      </c>
      <c r="S461" s="196" t="s">
        <v>353</v>
      </c>
      <c r="T461" s="98" t="str">
        <f t="shared" si="10"/>
        <v>4900Ultima A Mk7 2M R/A</v>
      </c>
    </row>
    <row r="462" spans="14:20">
      <c r="N462" s="3">
        <v>445</v>
      </c>
      <c r="O462" s="158">
        <v>53</v>
      </c>
      <c r="P462" s="472" t="s">
        <v>592</v>
      </c>
      <c r="Q462" s="158">
        <v>4900</v>
      </c>
      <c r="R462" s="259" t="s">
        <v>381</v>
      </c>
      <c r="S462" s="196" t="s">
        <v>354</v>
      </c>
      <c r="T462" s="98" t="str">
        <f t="shared" si="10"/>
        <v>4900Ultima A Mk7 4M</v>
      </c>
    </row>
    <row r="463" spans="14:20" ht="13.5" thickBot="1">
      <c r="N463" s="3">
        <v>446</v>
      </c>
      <c r="O463" s="158">
        <v>53</v>
      </c>
      <c r="P463" s="472" t="s">
        <v>592</v>
      </c>
      <c r="Q463" s="158">
        <v>4900</v>
      </c>
      <c r="R463" s="259" t="s">
        <v>381</v>
      </c>
      <c r="S463" s="373" t="s">
        <v>355</v>
      </c>
      <c r="T463" s="98" t="str">
        <f t="shared" si="10"/>
        <v>4900Ultima A Mk7 4M R/A</v>
      </c>
    </row>
    <row r="464" spans="14:20">
      <c r="N464" s="3">
        <v>447</v>
      </c>
      <c r="O464" s="158">
        <v>54</v>
      </c>
      <c r="P464" s="472" t="s">
        <v>592</v>
      </c>
      <c r="Q464" s="158" t="s">
        <v>646</v>
      </c>
      <c r="R464" s="259" t="s">
        <v>381</v>
      </c>
      <c r="S464" s="370" t="s">
        <v>352</v>
      </c>
      <c r="T464" s="98" t="str">
        <f t="shared" si="10"/>
        <v>4900 BCUltima A Mk7 2M</v>
      </c>
    </row>
    <row r="465" spans="14:20">
      <c r="N465" s="3">
        <v>448</v>
      </c>
      <c r="O465" s="158">
        <v>54</v>
      </c>
      <c r="P465" s="472" t="s">
        <v>592</v>
      </c>
      <c r="Q465" s="158" t="s">
        <v>646</v>
      </c>
      <c r="R465" s="259" t="s">
        <v>381</v>
      </c>
      <c r="S465" s="196" t="s">
        <v>353</v>
      </c>
      <c r="T465" s="98" t="str">
        <f t="shared" si="10"/>
        <v>4900 BCUltima A Mk7 2M R/A</v>
      </c>
    </row>
    <row r="466" spans="14:20">
      <c r="N466" s="3">
        <v>449</v>
      </c>
      <c r="O466" s="158">
        <v>54</v>
      </c>
      <c r="P466" s="472" t="s">
        <v>592</v>
      </c>
      <c r="Q466" s="158" t="s">
        <v>646</v>
      </c>
      <c r="R466" s="259" t="s">
        <v>381</v>
      </c>
      <c r="S466" s="196" t="s">
        <v>354</v>
      </c>
      <c r="T466" s="98" t="str">
        <f t="shared" si="10"/>
        <v>4900 BCUltima A Mk7 4M</v>
      </c>
    </row>
    <row r="467" spans="14:20" ht="13.5" thickBot="1">
      <c r="N467" s="3">
        <v>450</v>
      </c>
      <c r="O467" s="158">
        <v>54</v>
      </c>
      <c r="P467" s="472" t="s">
        <v>592</v>
      </c>
      <c r="Q467" s="158" t="s">
        <v>646</v>
      </c>
      <c r="R467" s="259" t="s">
        <v>381</v>
      </c>
      <c r="S467" s="373" t="s">
        <v>355</v>
      </c>
      <c r="T467" s="98" t="str">
        <f t="shared" ref="T467:T530" si="11">Q467&amp;S467</f>
        <v>4900 BCUltima A Mk7 4M R/A</v>
      </c>
    </row>
    <row r="468" spans="14:20">
      <c r="N468" s="3">
        <v>451</v>
      </c>
      <c r="O468" s="158">
        <v>55</v>
      </c>
      <c r="P468" s="472" t="s">
        <v>592</v>
      </c>
      <c r="Q468" s="158" t="s">
        <v>391</v>
      </c>
      <c r="R468" s="259" t="s">
        <v>381</v>
      </c>
      <c r="S468" s="370" t="s">
        <v>352</v>
      </c>
      <c r="T468" s="98" t="str">
        <f t="shared" si="11"/>
        <v>4900 DCUltima A Mk7 2M</v>
      </c>
    </row>
    <row r="469" spans="14:20">
      <c r="N469" s="3">
        <v>452</v>
      </c>
      <c r="O469" s="158">
        <v>55</v>
      </c>
      <c r="P469" s="472" t="s">
        <v>592</v>
      </c>
      <c r="Q469" s="158" t="s">
        <v>391</v>
      </c>
      <c r="R469" s="259" t="s">
        <v>381</v>
      </c>
      <c r="S469" s="196" t="s">
        <v>353</v>
      </c>
      <c r="T469" s="98" t="str">
        <f t="shared" si="11"/>
        <v>4900 DCUltima A Mk7 2M R/A</v>
      </c>
    </row>
    <row r="470" spans="14:20">
      <c r="N470" s="3">
        <v>453</v>
      </c>
      <c r="O470" s="158">
        <v>55</v>
      </c>
      <c r="P470" s="472" t="s">
        <v>592</v>
      </c>
      <c r="Q470" s="158" t="s">
        <v>391</v>
      </c>
      <c r="R470" s="259" t="s">
        <v>381</v>
      </c>
      <c r="S470" s="196" t="s">
        <v>354</v>
      </c>
      <c r="T470" s="98" t="str">
        <f t="shared" si="11"/>
        <v>4900 DCUltima A Mk7 4M</v>
      </c>
    </row>
    <row r="471" spans="14:20" ht="13.5" thickBot="1">
      <c r="N471" s="3">
        <v>454</v>
      </c>
      <c r="O471" s="158">
        <v>55</v>
      </c>
      <c r="P471" s="472" t="s">
        <v>592</v>
      </c>
      <c r="Q471" s="158" t="s">
        <v>391</v>
      </c>
      <c r="R471" s="259" t="s">
        <v>381</v>
      </c>
      <c r="S471" s="373" t="s">
        <v>355</v>
      </c>
      <c r="T471" s="98" t="str">
        <f t="shared" si="11"/>
        <v>4900 DCUltima A Mk7 4M R/A</v>
      </c>
    </row>
    <row r="472" spans="14:20">
      <c r="N472" s="3">
        <v>455</v>
      </c>
      <c r="O472" s="158">
        <v>56</v>
      </c>
      <c r="P472" s="472" t="s">
        <v>592</v>
      </c>
      <c r="Q472" s="158">
        <v>7900</v>
      </c>
      <c r="R472" s="259" t="s">
        <v>381</v>
      </c>
      <c r="S472" s="370" t="s">
        <v>352</v>
      </c>
      <c r="T472" s="98" t="str">
        <f t="shared" si="11"/>
        <v>7900Ultima A Mk7 2M</v>
      </c>
    </row>
    <row r="473" spans="14:20">
      <c r="N473" s="3">
        <v>456</v>
      </c>
      <c r="O473" s="158">
        <v>56</v>
      </c>
      <c r="P473" s="472" t="s">
        <v>592</v>
      </c>
      <c r="Q473" s="158">
        <v>7900</v>
      </c>
      <c r="R473" s="259" t="s">
        <v>381</v>
      </c>
      <c r="S473" s="196" t="s">
        <v>353</v>
      </c>
      <c r="T473" s="98" t="str">
        <f t="shared" si="11"/>
        <v>7900Ultima A Mk7 2M R/A</v>
      </c>
    </row>
    <row r="474" spans="14:20">
      <c r="N474" s="3">
        <v>457</v>
      </c>
      <c r="O474" s="158">
        <v>56</v>
      </c>
      <c r="P474" s="472" t="s">
        <v>592</v>
      </c>
      <c r="Q474" s="158">
        <v>7900</v>
      </c>
      <c r="R474" s="259" t="s">
        <v>381</v>
      </c>
      <c r="S474" s="196" t="s">
        <v>354</v>
      </c>
      <c r="T474" s="98" t="str">
        <f t="shared" si="11"/>
        <v>7900Ultima A Mk7 4M</v>
      </c>
    </row>
    <row r="475" spans="14:20" ht="13.5" thickBot="1">
      <c r="N475" s="3">
        <v>458</v>
      </c>
      <c r="O475" s="158">
        <v>56</v>
      </c>
      <c r="P475" s="472" t="s">
        <v>592</v>
      </c>
      <c r="Q475" s="158">
        <v>7900</v>
      </c>
      <c r="R475" s="259" t="s">
        <v>381</v>
      </c>
      <c r="S475" s="373" t="s">
        <v>355</v>
      </c>
      <c r="T475" s="98" t="str">
        <f t="shared" si="11"/>
        <v>7900Ultima A Mk7 4M R/A</v>
      </c>
    </row>
    <row r="476" spans="14:20">
      <c r="N476" s="3">
        <v>459</v>
      </c>
      <c r="O476" s="158">
        <v>57</v>
      </c>
      <c r="P476" s="472" t="s">
        <v>592</v>
      </c>
      <c r="Q476" s="158" t="s">
        <v>647</v>
      </c>
      <c r="R476" s="259" t="s">
        <v>381</v>
      </c>
      <c r="S476" s="370" t="s">
        <v>352</v>
      </c>
      <c r="T476" s="98" t="str">
        <f t="shared" si="11"/>
        <v>7900 BCUltima A Mk7 2M</v>
      </c>
    </row>
    <row r="477" spans="14:20">
      <c r="N477" s="3">
        <v>460</v>
      </c>
      <c r="O477" s="158">
        <v>57</v>
      </c>
      <c r="P477" s="472" t="s">
        <v>592</v>
      </c>
      <c r="Q477" s="158" t="s">
        <v>647</v>
      </c>
      <c r="R477" s="259" t="s">
        <v>381</v>
      </c>
      <c r="S477" s="196" t="s">
        <v>353</v>
      </c>
      <c r="T477" s="98" t="str">
        <f t="shared" si="11"/>
        <v>7900 BCUltima A Mk7 2M R/A</v>
      </c>
    </row>
    <row r="478" spans="14:20">
      <c r="N478" s="3">
        <v>461</v>
      </c>
      <c r="O478" s="158">
        <v>57</v>
      </c>
      <c r="P478" s="472" t="s">
        <v>592</v>
      </c>
      <c r="Q478" s="158" t="s">
        <v>647</v>
      </c>
      <c r="R478" s="259" t="s">
        <v>381</v>
      </c>
      <c r="S478" s="196" t="s">
        <v>354</v>
      </c>
      <c r="T478" s="98" t="str">
        <f t="shared" si="11"/>
        <v>7900 BCUltima A Mk7 4M</v>
      </c>
    </row>
    <row r="479" spans="14:20" ht="13.5" thickBot="1">
      <c r="N479" s="3">
        <v>462</v>
      </c>
      <c r="O479" s="158">
        <v>57</v>
      </c>
      <c r="P479" s="472" t="s">
        <v>592</v>
      </c>
      <c r="Q479" s="158" t="s">
        <v>647</v>
      </c>
      <c r="R479" s="259" t="s">
        <v>381</v>
      </c>
      <c r="S479" s="373" t="s">
        <v>355</v>
      </c>
      <c r="T479" s="98" t="str">
        <f t="shared" si="11"/>
        <v>7900 BCUltima A Mk7 4M R/A</v>
      </c>
    </row>
    <row r="480" spans="14:20">
      <c r="N480" s="3">
        <v>463</v>
      </c>
      <c r="O480" s="158">
        <v>97</v>
      </c>
      <c r="P480" s="472" t="s">
        <v>596</v>
      </c>
      <c r="Q480" s="158">
        <v>4900</v>
      </c>
      <c r="R480" s="259" t="s">
        <v>381</v>
      </c>
      <c r="S480" s="370" t="s">
        <v>352</v>
      </c>
      <c r="T480" s="98" t="str">
        <f t="shared" si="11"/>
        <v>4900Ultima A Mk7 2M</v>
      </c>
    </row>
    <row r="481" spans="14:20">
      <c r="N481" s="3">
        <v>464</v>
      </c>
      <c r="O481" s="158">
        <v>97</v>
      </c>
      <c r="P481" s="472" t="s">
        <v>596</v>
      </c>
      <c r="Q481" s="158">
        <v>4900</v>
      </c>
      <c r="R481" s="259" t="s">
        <v>381</v>
      </c>
      <c r="S481" s="196" t="s">
        <v>353</v>
      </c>
      <c r="T481" s="98" t="str">
        <f t="shared" si="11"/>
        <v>4900Ultima A Mk7 2M R/A</v>
      </c>
    </row>
    <row r="482" spans="14:20">
      <c r="N482" s="3">
        <v>465</v>
      </c>
      <c r="O482" s="158">
        <v>97</v>
      </c>
      <c r="P482" s="472" t="s">
        <v>596</v>
      </c>
      <c r="Q482" s="158">
        <v>4900</v>
      </c>
      <c r="R482" s="259" t="s">
        <v>381</v>
      </c>
      <c r="S482" s="196" t="s">
        <v>354</v>
      </c>
      <c r="T482" s="98" t="str">
        <f t="shared" si="11"/>
        <v>4900Ultima A Mk7 4M</v>
      </c>
    </row>
    <row r="483" spans="14:20" ht="13.5" thickBot="1">
      <c r="N483" s="3">
        <v>466</v>
      </c>
      <c r="O483" s="158">
        <v>97</v>
      </c>
      <c r="P483" s="472" t="s">
        <v>596</v>
      </c>
      <c r="Q483" s="158">
        <v>4900</v>
      </c>
      <c r="R483" s="259" t="s">
        <v>381</v>
      </c>
      <c r="S483" s="373" t="s">
        <v>355</v>
      </c>
      <c r="T483" s="98" t="str">
        <f t="shared" si="11"/>
        <v>4900Ultima A Mk7 4M R/A</v>
      </c>
    </row>
    <row r="484" spans="14:20">
      <c r="N484" s="3">
        <v>467</v>
      </c>
      <c r="O484" s="158">
        <v>98</v>
      </c>
      <c r="P484" s="472" t="s">
        <v>596</v>
      </c>
      <c r="Q484" s="158" t="s">
        <v>391</v>
      </c>
      <c r="R484" s="259" t="s">
        <v>381</v>
      </c>
      <c r="S484" s="370" t="s">
        <v>352</v>
      </c>
      <c r="T484" s="98" t="str">
        <f t="shared" si="11"/>
        <v>4900 DCUltima A Mk7 2M</v>
      </c>
    </row>
    <row r="485" spans="14:20">
      <c r="N485" s="3">
        <v>468</v>
      </c>
      <c r="O485" s="158">
        <v>98</v>
      </c>
      <c r="P485" s="472" t="s">
        <v>596</v>
      </c>
      <c r="Q485" s="158" t="s">
        <v>391</v>
      </c>
      <c r="R485" s="259" t="s">
        <v>381</v>
      </c>
      <c r="S485" s="196" t="s">
        <v>353</v>
      </c>
      <c r="T485" s="98" t="str">
        <f t="shared" si="11"/>
        <v>4900 DCUltima A Mk7 2M R/A</v>
      </c>
    </row>
    <row r="486" spans="14:20">
      <c r="N486" s="3">
        <v>469</v>
      </c>
      <c r="O486" s="158">
        <v>98</v>
      </c>
      <c r="P486" s="472" t="s">
        <v>596</v>
      </c>
      <c r="Q486" s="158" t="s">
        <v>391</v>
      </c>
      <c r="R486" s="259" t="s">
        <v>381</v>
      </c>
      <c r="S486" s="196" t="s">
        <v>354</v>
      </c>
      <c r="T486" s="98" t="str">
        <f t="shared" si="11"/>
        <v>4900 DCUltima A Mk7 4M</v>
      </c>
    </row>
    <row r="487" spans="14:20" ht="13.5" thickBot="1">
      <c r="N487" s="3">
        <v>470</v>
      </c>
      <c r="O487" s="158">
        <v>98</v>
      </c>
      <c r="P487" s="472" t="s">
        <v>596</v>
      </c>
      <c r="Q487" s="158" t="s">
        <v>391</v>
      </c>
      <c r="R487" s="259" t="s">
        <v>381</v>
      </c>
      <c r="S487" s="373" t="s">
        <v>355</v>
      </c>
      <c r="T487" s="98" t="str">
        <f t="shared" si="11"/>
        <v>4900 DCUltima A Mk7 4M R/A</v>
      </c>
    </row>
    <row r="488" spans="14:20">
      <c r="N488" s="3">
        <v>471</v>
      </c>
      <c r="O488" s="158">
        <v>99</v>
      </c>
      <c r="P488" s="472" t="s">
        <v>596</v>
      </c>
      <c r="Q488" s="158" t="s">
        <v>646</v>
      </c>
      <c r="R488" s="259" t="s">
        <v>381</v>
      </c>
      <c r="S488" s="370" t="s">
        <v>352</v>
      </c>
      <c r="T488" s="98" t="str">
        <f t="shared" si="11"/>
        <v>4900 BCUltima A Mk7 2M</v>
      </c>
    </row>
    <row r="489" spans="14:20">
      <c r="N489" s="3">
        <v>472</v>
      </c>
      <c r="O489" s="158">
        <v>99</v>
      </c>
      <c r="P489" s="472" t="s">
        <v>596</v>
      </c>
      <c r="Q489" s="158" t="s">
        <v>646</v>
      </c>
      <c r="R489" s="259" t="s">
        <v>381</v>
      </c>
      <c r="S489" s="196" t="s">
        <v>353</v>
      </c>
      <c r="T489" s="98" t="str">
        <f t="shared" si="11"/>
        <v>4900 BCUltima A Mk7 2M R/A</v>
      </c>
    </row>
    <row r="490" spans="14:20">
      <c r="N490" s="3">
        <v>473</v>
      </c>
      <c r="O490" s="158">
        <v>99</v>
      </c>
      <c r="P490" s="472" t="s">
        <v>596</v>
      </c>
      <c r="Q490" s="158" t="s">
        <v>646</v>
      </c>
      <c r="R490" s="259" t="s">
        <v>381</v>
      </c>
      <c r="S490" s="196" t="s">
        <v>354</v>
      </c>
      <c r="T490" s="98" t="str">
        <f t="shared" si="11"/>
        <v>4900 BCUltima A Mk7 4M</v>
      </c>
    </row>
    <row r="491" spans="14:20" ht="13.5" thickBot="1">
      <c r="N491" s="3">
        <v>474</v>
      </c>
      <c r="O491" s="158">
        <v>99</v>
      </c>
      <c r="P491" s="472" t="s">
        <v>596</v>
      </c>
      <c r="Q491" s="158" t="s">
        <v>646</v>
      </c>
      <c r="R491" s="259" t="s">
        <v>381</v>
      </c>
      <c r="S491" s="373" t="s">
        <v>355</v>
      </c>
      <c r="T491" s="98" t="str">
        <f t="shared" si="11"/>
        <v>4900 BCUltima A Mk7 4M R/A</v>
      </c>
    </row>
    <row r="492" spans="14:20">
      <c r="N492" s="3">
        <v>475</v>
      </c>
      <c r="O492" s="158">
        <v>100</v>
      </c>
      <c r="P492" s="472" t="s">
        <v>596</v>
      </c>
      <c r="Q492" s="158">
        <v>7900</v>
      </c>
      <c r="R492" s="259" t="s">
        <v>381</v>
      </c>
      <c r="S492" s="370" t="s">
        <v>352</v>
      </c>
      <c r="T492" s="98" t="str">
        <f t="shared" si="11"/>
        <v>7900Ultima A Mk7 2M</v>
      </c>
    </row>
    <row r="493" spans="14:20">
      <c r="N493" s="3">
        <v>476</v>
      </c>
      <c r="O493" s="158">
        <v>100</v>
      </c>
      <c r="P493" s="472" t="s">
        <v>596</v>
      </c>
      <c r="Q493" s="158">
        <v>7900</v>
      </c>
      <c r="R493" s="259" t="s">
        <v>381</v>
      </c>
      <c r="S493" s="196" t="s">
        <v>353</v>
      </c>
      <c r="T493" s="98" t="str">
        <f t="shared" si="11"/>
        <v>7900Ultima A Mk7 2M R/A</v>
      </c>
    </row>
    <row r="494" spans="14:20">
      <c r="N494" s="3">
        <v>477</v>
      </c>
      <c r="O494" s="158">
        <v>100</v>
      </c>
      <c r="P494" s="472" t="s">
        <v>596</v>
      </c>
      <c r="Q494" s="158">
        <v>7900</v>
      </c>
      <c r="R494" s="259" t="s">
        <v>381</v>
      </c>
      <c r="S494" s="196" t="s">
        <v>354</v>
      </c>
      <c r="T494" s="98" t="str">
        <f t="shared" si="11"/>
        <v>7900Ultima A Mk7 4M</v>
      </c>
    </row>
    <row r="495" spans="14:20" ht="13.5" thickBot="1">
      <c r="N495" s="3">
        <v>478</v>
      </c>
      <c r="O495" s="158">
        <v>100</v>
      </c>
      <c r="P495" s="472" t="s">
        <v>596</v>
      </c>
      <c r="Q495" s="158">
        <v>7900</v>
      </c>
      <c r="R495" s="259" t="s">
        <v>381</v>
      </c>
      <c r="S495" s="373" t="s">
        <v>355</v>
      </c>
      <c r="T495" s="98" t="str">
        <f t="shared" si="11"/>
        <v>7900Ultima A Mk7 4M R/A</v>
      </c>
    </row>
    <row r="496" spans="14:20">
      <c r="N496" s="3">
        <v>479</v>
      </c>
      <c r="O496" s="158">
        <v>101</v>
      </c>
      <c r="P496" s="472" t="s">
        <v>596</v>
      </c>
      <c r="Q496" s="158" t="s">
        <v>647</v>
      </c>
      <c r="R496" s="259" t="s">
        <v>381</v>
      </c>
      <c r="S496" s="370" t="s">
        <v>352</v>
      </c>
      <c r="T496" s="98" t="str">
        <f t="shared" si="11"/>
        <v>7900 BCUltima A Mk7 2M</v>
      </c>
    </row>
    <row r="497" spans="14:20">
      <c r="N497" s="3">
        <v>480</v>
      </c>
      <c r="O497" s="158">
        <v>101</v>
      </c>
      <c r="P497" s="472" t="s">
        <v>596</v>
      </c>
      <c r="Q497" s="158" t="s">
        <v>647</v>
      </c>
      <c r="R497" s="259" t="s">
        <v>381</v>
      </c>
      <c r="S497" s="196" t="s">
        <v>353</v>
      </c>
      <c r="T497" s="98" t="str">
        <f t="shared" si="11"/>
        <v>7900 BCUltima A Mk7 2M R/A</v>
      </c>
    </row>
    <row r="498" spans="14:20">
      <c r="N498" s="3">
        <v>481</v>
      </c>
      <c r="O498" s="158">
        <v>101</v>
      </c>
      <c r="P498" s="472" t="s">
        <v>596</v>
      </c>
      <c r="Q498" s="158" t="s">
        <v>647</v>
      </c>
      <c r="R498" s="259" t="s">
        <v>381</v>
      </c>
      <c r="S498" s="196" t="s">
        <v>354</v>
      </c>
      <c r="T498" s="98" t="str">
        <f t="shared" si="11"/>
        <v>7900 BCUltima A Mk7 4M</v>
      </c>
    </row>
    <row r="499" spans="14:20" ht="13.5" thickBot="1">
      <c r="N499" s="3">
        <v>482</v>
      </c>
      <c r="O499" s="158">
        <v>101</v>
      </c>
      <c r="P499" s="472" t="s">
        <v>596</v>
      </c>
      <c r="Q499" s="158" t="s">
        <v>647</v>
      </c>
      <c r="R499" s="259" t="s">
        <v>381</v>
      </c>
      <c r="S499" s="373" t="s">
        <v>355</v>
      </c>
      <c r="T499" s="98" t="str">
        <f t="shared" si="11"/>
        <v>7900 BCUltima A Mk7 4M R/A</v>
      </c>
    </row>
    <row r="500" spans="14:20">
      <c r="N500" s="3">
        <v>483</v>
      </c>
      <c r="O500" s="158">
        <v>104</v>
      </c>
      <c r="P500" s="472" t="s">
        <v>596</v>
      </c>
      <c r="Q500" s="158" t="s">
        <v>320</v>
      </c>
      <c r="R500" s="259" t="s">
        <v>381</v>
      </c>
      <c r="S500" s="370" t="s">
        <v>352</v>
      </c>
      <c r="T500" s="98" t="str">
        <f t="shared" si="11"/>
        <v>7900 SolverUltima A Mk7 2M</v>
      </c>
    </row>
    <row r="501" spans="14:20">
      <c r="N501" s="3">
        <v>484</v>
      </c>
      <c r="O501" s="158">
        <v>104</v>
      </c>
      <c r="P501" s="472" t="s">
        <v>596</v>
      </c>
      <c r="Q501" s="158" t="s">
        <v>320</v>
      </c>
      <c r="R501" s="259" t="s">
        <v>381</v>
      </c>
      <c r="S501" s="196" t="s">
        <v>353</v>
      </c>
      <c r="T501" s="98" t="str">
        <f t="shared" si="11"/>
        <v>7900 SolverUltima A Mk7 2M R/A</v>
      </c>
    </row>
    <row r="502" spans="14:20">
      <c r="N502" s="3">
        <v>485</v>
      </c>
      <c r="O502" s="158">
        <v>104</v>
      </c>
      <c r="P502" s="472" t="s">
        <v>596</v>
      </c>
      <c r="Q502" s="158" t="s">
        <v>320</v>
      </c>
      <c r="R502" s="259" t="s">
        <v>381</v>
      </c>
      <c r="S502" s="196" t="s">
        <v>354</v>
      </c>
      <c r="T502" s="98" t="str">
        <f t="shared" si="11"/>
        <v>7900 SolverUltima A Mk7 4M</v>
      </c>
    </row>
    <row r="503" spans="14:20" ht="13.5" thickBot="1">
      <c r="N503" s="3">
        <v>486</v>
      </c>
      <c r="O503" s="158">
        <v>104</v>
      </c>
      <c r="P503" s="472" t="s">
        <v>596</v>
      </c>
      <c r="Q503" s="158" t="s">
        <v>320</v>
      </c>
      <c r="R503" s="259" t="s">
        <v>381</v>
      </c>
      <c r="S503" s="373" t="s">
        <v>355</v>
      </c>
      <c r="T503" s="98" t="str">
        <f t="shared" si="11"/>
        <v>7900 SolverUltima A Mk7 4M R/A</v>
      </c>
    </row>
    <row r="504" spans="14:20">
      <c r="N504" s="3">
        <v>487</v>
      </c>
      <c r="O504" s="158">
        <v>145</v>
      </c>
      <c r="P504" s="472" t="s">
        <v>601</v>
      </c>
      <c r="Q504" s="158">
        <v>4900</v>
      </c>
      <c r="R504" s="259" t="s">
        <v>381</v>
      </c>
      <c r="S504" s="370" t="s">
        <v>352</v>
      </c>
      <c r="T504" s="98" t="str">
        <f t="shared" si="11"/>
        <v>4900Ultima A Mk7 2M</v>
      </c>
    </row>
    <row r="505" spans="14:20">
      <c r="N505" s="3">
        <v>488</v>
      </c>
      <c r="O505" s="158">
        <v>145</v>
      </c>
      <c r="P505" s="472" t="s">
        <v>601</v>
      </c>
      <c r="Q505" s="158">
        <v>4900</v>
      </c>
      <c r="R505" s="259" t="s">
        <v>381</v>
      </c>
      <c r="S505" s="196" t="s">
        <v>353</v>
      </c>
      <c r="T505" s="98" t="str">
        <f t="shared" si="11"/>
        <v>4900Ultima A Mk7 2M R/A</v>
      </c>
    </row>
    <row r="506" spans="14:20">
      <c r="N506" s="3">
        <v>489</v>
      </c>
      <c r="O506" s="158">
        <v>145</v>
      </c>
      <c r="P506" s="472" t="s">
        <v>601</v>
      </c>
      <c r="Q506" s="158">
        <v>4900</v>
      </c>
      <c r="R506" s="259" t="s">
        <v>381</v>
      </c>
      <c r="S506" s="196" t="s">
        <v>354</v>
      </c>
      <c r="T506" s="98" t="str">
        <f t="shared" si="11"/>
        <v>4900Ultima A Mk7 4M</v>
      </c>
    </row>
    <row r="507" spans="14:20" ht="13.5" thickBot="1">
      <c r="N507" s="3">
        <v>490</v>
      </c>
      <c r="O507" s="158">
        <v>145</v>
      </c>
      <c r="P507" s="472" t="s">
        <v>601</v>
      </c>
      <c r="Q507" s="158">
        <v>4900</v>
      </c>
      <c r="R507" s="259" t="s">
        <v>381</v>
      </c>
      <c r="S507" s="373" t="s">
        <v>355</v>
      </c>
      <c r="T507" s="98" t="str">
        <f t="shared" si="11"/>
        <v>4900Ultima A Mk7 4M R/A</v>
      </c>
    </row>
    <row r="508" spans="14:20">
      <c r="N508" s="3">
        <v>491</v>
      </c>
      <c r="O508" s="158">
        <v>146</v>
      </c>
      <c r="P508" s="472" t="s">
        <v>601</v>
      </c>
      <c r="Q508" s="158" t="s">
        <v>391</v>
      </c>
      <c r="R508" s="259" t="s">
        <v>381</v>
      </c>
      <c r="S508" s="370" t="s">
        <v>352</v>
      </c>
      <c r="T508" s="98" t="str">
        <f t="shared" si="11"/>
        <v>4900 DCUltima A Mk7 2M</v>
      </c>
    </row>
    <row r="509" spans="14:20">
      <c r="N509" s="3">
        <v>492</v>
      </c>
      <c r="O509" s="158">
        <v>146</v>
      </c>
      <c r="P509" s="472" t="s">
        <v>601</v>
      </c>
      <c r="Q509" s="158" t="s">
        <v>391</v>
      </c>
      <c r="R509" s="259" t="s">
        <v>381</v>
      </c>
      <c r="S509" s="196" t="s">
        <v>353</v>
      </c>
      <c r="T509" s="98" t="str">
        <f t="shared" si="11"/>
        <v>4900 DCUltima A Mk7 2M R/A</v>
      </c>
    </row>
    <row r="510" spans="14:20">
      <c r="N510" s="3">
        <v>493</v>
      </c>
      <c r="O510" s="158">
        <v>146</v>
      </c>
      <c r="P510" s="472" t="s">
        <v>601</v>
      </c>
      <c r="Q510" s="158" t="s">
        <v>391</v>
      </c>
      <c r="R510" s="259" t="s">
        <v>381</v>
      </c>
      <c r="S510" s="196" t="s">
        <v>354</v>
      </c>
      <c r="T510" s="98" t="str">
        <f t="shared" si="11"/>
        <v>4900 DCUltima A Mk7 4M</v>
      </c>
    </row>
    <row r="511" spans="14:20" ht="13.5" thickBot="1">
      <c r="N511" s="3">
        <v>494</v>
      </c>
      <c r="O511" s="158">
        <v>146</v>
      </c>
      <c r="P511" s="472" t="s">
        <v>601</v>
      </c>
      <c r="Q511" s="158" t="s">
        <v>391</v>
      </c>
      <c r="R511" s="259" t="s">
        <v>381</v>
      </c>
      <c r="S511" s="373" t="s">
        <v>355</v>
      </c>
      <c r="T511" s="98" t="str">
        <f t="shared" si="11"/>
        <v>4900 DCUltima A Mk7 4M R/A</v>
      </c>
    </row>
    <row r="512" spans="14:20">
      <c r="N512" s="3">
        <v>495</v>
      </c>
      <c r="O512" s="158">
        <v>147</v>
      </c>
      <c r="P512" s="472" t="s">
        <v>601</v>
      </c>
      <c r="Q512" s="158" t="s">
        <v>646</v>
      </c>
      <c r="R512" s="259" t="s">
        <v>381</v>
      </c>
      <c r="S512" s="370" t="s">
        <v>352</v>
      </c>
      <c r="T512" s="98" t="str">
        <f t="shared" si="11"/>
        <v>4900 BCUltima A Mk7 2M</v>
      </c>
    </row>
    <row r="513" spans="14:20">
      <c r="N513" s="3">
        <v>496</v>
      </c>
      <c r="O513" s="158">
        <v>147</v>
      </c>
      <c r="P513" s="472" t="s">
        <v>601</v>
      </c>
      <c r="Q513" s="158" t="s">
        <v>646</v>
      </c>
      <c r="R513" s="259" t="s">
        <v>381</v>
      </c>
      <c r="S513" s="196" t="s">
        <v>353</v>
      </c>
      <c r="T513" s="98" t="str">
        <f t="shared" si="11"/>
        <v>4900 BCUltima A Mk7 2M R/A</v>
      </c>
    </row>
    <row r="514" spans="14:20">
      <c r="N514" s="3">
        <v>497</v>
      </c>
      <c r="O514" s="158">
        <v>147</v>
      </c>
      <c r="P514" s="472" t="s">
        <v>601</v>
      </c>
      <c r="Q514" s="158" t="s">
        <v>646</v>
      </c>
      <c r="R514" s="259" t="s">
        <v>381</v>
      </c>
      <c r="S514" s="196" t="s">
        <v>354</v>
      </c>
      <c r="T514" s="98" t="str">
        <f t="shared" si="11"/>
        <v>4900 BCUltima A Mk7 4M</v>
      </c>
    </row>
    <row r="515" spans="14:20" ht="13.5" thickBot="1">
      <c r="N515" s="3">
        <v>498</v>
      </c>
      <c r="O515" s="158">
        <v>147</v>
      </c>
      <c r="P515" s="472" t="s">
        <v>601</v>
      </c>
      <c r="Q515" s="158" t="s">
        <v>646</v>
      </c>
      <c r="R515" s="259" t="s">
        <v>381</v>
      </c>
      <c r="S515" s="373" t="s">
        <v>355</v>
      </c>
      <c r="T515" s="98" t="str">
        <f t="shared" si="11"/>
        <v>4900 BCUltima A Mk7 4M R/A</v>
      </c>
    </row>
    <row r="516" spans="14:20">
      <c r="N516" s="3">
        <v>499</v>
      </c>
      <c r="O516" s="158">
        <v>148</v>
      </c>
      <c r="P516" s="472" t="s">
        <v>601</v>
      </c>
      <c r="Q516" s="158">
        <v>7900</v>
      </c>
      <c r="R516" s="259" t="s">
        <v>381</v>
      </c>
      <c r="S516" s="370" t="s">
        <v>352</v>
      </c>
      <c r="T516" s="98" t="str">
        <f t="shared" si="11"/>
        <v>7900Ultima A Mk7 2M</v>
      </c>
    </row>
    <row r="517" spans="14:20">
      <c r="N517" s="3">
        <v>500</v>
      </c>
      <c r="O517" s="158">
        <v>148</v>
      </c>
      <c r="P517" s="472" t="s">
        <v>601</v>
      </c>
      <c r="Q517" s="158">
        <v>7900</v>
      </c>
      <c r="R517" s="259" t="s">
        <v>381</v>
      </c>
      <c r="S517" s="196" t="s">
        <v>353</v>
      </c>
      <c r="T517" s="98" t="str">
        <f t="shared" si="11"/>
        <v>7900Ultima A Mk7 2M R/A</v>
      </c>
    </row>
    <row r="518" spans="14:20">
      <c r="N518" s="3">
        <v>501</v>
      </c>
      <c r="O518" s="158">
        <v>148</v>
      </c>
      <c r="P518" s="472" t="s">
        <v>601</v>
      </c>
      <c r="Q518" s="158">
        <v>7900</v>
      </c>
      <c r="R518" s="259" t="s">
        <v>381</v>
      </c>
      <c r="S518" s="196" t="s">
        <v>354</v>
      </c>
      <c r="T518" s="98" t="str">
        <f t="shared" si="11"/>
        <v>7900Ultima A Mk7 4M</v>
      </c>
    </row>
    <row r="519" spans="14:20" ht="13.5" thickBot="1">
      <c r="N519" s="3">
        <v>502</v>
      </c>
      <c r="O519" s="158">
        <v>148</v>
      </c>
      <c r="P519" s="472" t="s">
        <v>601</v>
      </c>
      <c r="Q519" s="158">
        <v>7900</v>
      </c>
      <c r="R519" s="259" t="s">
        <v>381</v>
      </c>
      <c r="S519" s="373" t="s">
        <v>355</v>
      </c>
      <c r="T519" s="98" t="str">
        <f t="shared" si="11"/>
        <v>7900Ultima A Mk7 4M R/A</v>
      </c>
    </row>
    <row r="520" spans="14:20">
      <c r="N520" s="3">
        <v>503</v>
      </c>
      <c r="O520" s="158">
        <v>149</v>
      </c>
      <c r="P520" s="472" t="s">
        <v>601</v>
      </c>
      <c r="Q520" s="158" t="s">
        <v>647</v>
      </c>
      <c r="R520" s="259" t="s">
        <v>381</v>
      </c>
      <c r="S520" s="370" t="s">
        <v>352</v>
      </c>
      <c r="T520" s="98" t="str">
        <f t="shared" si="11"/>
        <v>7900 BCUltima A Mk7 2M</v>
      </c>
    </row>
    <row r="521" spans="14:20">
      <c r="N521" s="3">
        <v>504</v>
      </c>
      <c r="O521" s="158">
        <v>149</v>
      </c>
      <c r="P521" s="472" t="s">
        <v>601</v>
      </c>
      <c r="Q521" s="158" t="s">
        <v>647</v>
      </c>
      <c r="R521" s="259" t="s">
        <v>381</v>
      </c>
      <c r="S521" s="196" t="s">
        <v>353</v>
      </c>
      <c r="T521" s="98" t="str">
        <f t="shared" si="11"/>
        <v>7900 BCUltima A Mk7 2M R/A</v>
      </c>
    </row>
    <row r="522" spans="14:20">
      <c r="N522" s="3">
        <v>505</v>
      </c>
      <c r="O522" s="158">
        <v>149</v>
      </c>
      <c r="P522" s="472" t="s">
        <v>601</v>
      </c>
      <c r="Q522" s="158" t="s">
        <v>647</v>
      </c>
      <c r="R522" s="259" t="s">
        <v>381</v>
      </c>
      <c r="S522" s="196" t="s">
        <v>354</v>
      </c>
      <c r="T522" s="98" t="str">
        <f t="shared" si="11"/>
        <v>7900 BCUltima A Mk7 4M</v>
      </c>
    </row>
    <row r="523" spans="14:20" ht="13.5" thickBot="1">
      <c r="N523" s="3">
        <v>506</v>
      </c>
      <c r="O523" s="158">
        <v>149</v>
      </c>
      <c r="P523" s="472" t="s">
        <v>601</v>
      </c>
      <c r="Q523" s="158" t="s">
        <v>647</v>
      </c>
      <c r="R523" s="259" t="s">
        <v>381</v>
      </c>
      <c r="S523" s="373" t="s">
        <v>355</v>
      </c>
      <c r="T523" s="98" t="str">
        <f t="shared" si="11"/>
        <v>7900 BCUltima A Mk7 4M R/A</v>
      </c>
    </row>
    <row r="524" spans="14:20">
      <c r="N524" s="3">
        <v>507</v>
      </c>
      <c r="O524" s="158">
        <v>152</v>
      </c>
      <c r="P524" s="472" t="s">
        <v>601</v>
      </c>
      <c r="Q524" s="158" t="s">
        <v>320</v>
      </c>
      <c r="R524" s="259" t="s">
        <v>381</v>
      </c>
      <c r="S524" s="370" t="s">
        <v>352</v>
      </c>
      <c r="T524" s="98" t="str">
        <f t="shared" si="11"/>
        <v>7900 SolverUltima A Mk7 2M</v>
      </c>
    </row>
    <row r="525" spans="14:20">
      <c r="N525" s="3">
        <v>508</v>
      </c>
      <c r="O525" s="158">
        <v>152</v>
      </c>
      <c r="P525" s="472" t="s">
        <v>601</v>
      </c>
      <c r="Q525" s="158" t="s">
        <v>320</v>
      </c>
      <c r="R525" s="259" t="s">
        <v>381</v>
      </c>
      <c r="S525" s="196" t="s">
        <v>353</v>
      </c>
      <c r="T525" s="98" t="str">
        <f t="shared" si="11"/>
        <v>7900 SolverUltima A Mk7 2M R/A</v>
      </c>
    </row>
    <row r="526" spans="14:20">
      <c r="N526" s="3">
        <v>509</v>
      </c>
      <c r="O526" s="158">
        <v>152</v>
      </c>
      <c r="P526" s="472" t="s">
        <v>601</v>
      </c>
      <c r="Q526" s="158" t="s">
        <v>320</v>
      </c>
      <c r="R526" s="259" t="s">
        <v>381</v>
      </c>
      <c r="S526" s="196" t="s">
        <v>354</v>
      </c>
      <c r="T526" s="98" t="str">
        <f t="shared" si="11"/>
        <v>7900 SolverUltima A Mk7 4M</v>
      </c>
    </row>
    <row r="527" spans="14:20" ht="13.5" thickBot="1">
      <c r="N527" s="3">
        <v>510</v>
      </c>
      <c r="O527" s="158">
        <v>152</v>
      </c>
      <c r="P527" s="472" t="s">
        <v>601</v>
      </c>
      <c r="Q527" s="158" t="s">
        <v>320</v>
      </c>
      <c r="R527" s="259" t="s">
        <v>381</v>
      </c>
      <c r="S527" s="373" t="s">
        <v>355</v>
      </c>
      <c r="T527" s="98" t="str">
        <f t="shared" si="11"/>
        <v>7900 SolverUltima A Mk7 4M R/A</v>
      </c>
    </row>
    <row r="528" spans="14:20">
      <c r="N528" s="3">
        <v>511</v>
      </c>
      <c r="O528" s="158">
        <v>169</v>
      </c>
      <c r="P528" s="472" t="s">
        <v>603</v>
      </c>
      <c r="Q528" s="158">
        <v>4900</v>
      </c>
      <c r="R528" s="259" t="s">
        <v>381</v>
      </c>
      <c r="S528" s="370" t="s">
        <v>352</v>
      </c>
      <c r="T528" s="98" t="str">
        <f t="shared" si="11"/>
        <v>4900Ultima A Mk7 2M</v>
      </c>
    </row>
    <row r="529" spans="14:20">
      <c r="N529" s="3">
        <v>512</v>
      </c>
      <c r="O529" s="158">
        <v>169</v>
      </c>
      <c r="P529" s="472" t="s">
        <v>603</v>
      </c>
      <c r="Q529" s="158">
        <v>4900</v>
      </c>
      <c r="R529" s="259" t="s">
        <v>381</v>
      </c>
      <c r="S529" s="196" t="s">
        <v>353</v>
      </c>
      <c r="T529" s="98" t="str">
        <f t="shared" si="11"/>
        <v>4900Ultima A Mk7 2M R/A</v>
      </c>
    </row>
    <row r="530" spans="14:20">
      <c r="N530" s="3">
        <v>513</v>
      </c>
      <c r="O530" s="158">
        <v>169</v>
      </c>
      <c r="P530" s="472" t="s">
        <v>603</v>
      </c>
      <c r="Q530" s="158">
        <v>4900</v>
      </c>
      <c r="R530" s="259" t="s">
        <v>381</v>
      </c>
      <c r="S530" s="196" t="s">
        <v>354</v>
      </c>
      <c r="T530" s="98" t="str">
        <f t="shared" si="11"/>
        <v>4900Ultima A Mk7 4M</v>
      </c>
    </row>
    <row r="531" spans="14:20" ht="13.5" thickBot="1">
      <c r="N531" s="3">
        <v>514</v>
      </c>
      <c r="O531" s="158">
        <v>169</v>
      </c>
      <c r="P531" s="472" t="s">
        <v>603</v>
      </c>
      <c r="Q531" s="158">
        <v>4900</v>
      </c>
      <c r="R531" s="259" t="s">
        <v>381</v>
      </c>
      <c r="S531" s="373" t="s">
        <v>355</v>
      </c>
      <c r="T531" s="98" t="str">
        <f t="shared" ref="T531:T594" si="12">Q531&amp;S531</f>
        <v>4900Ultima A Mk7 4M R/A</v>
      </c>
    </row>
    <row r="532" spans="14:20">
      <c r="N532" s="3">
        <v>515</v>
      </c>
      <c r="O532" s="158">
        <v>170</v>
      </c>
      <c r="P532" s="472" t="s">
        <v>603</v>
      </c>
      <c r="Q532" s="158" t="s">
        <v>391</v>
      </c>
      <c r="R532" s="259" t="s">
        <v>381</v>
      </c>
      <c r="S532" s="370" t="s">
        <v>352</v>
      </c>
      <c r="T532" s="98" t="str">
        <f t="shared" si="12"/>
        <v>4900 DCUltima A Mk7 2M</v>
      </c>
    </row>
    <row r="533" spans="14:20">
      <c r="N533" s="3">
        <v>516</v>
      </c>
      <c r="O533" s="158">
        <v>170</v>
      </c>
      <c r="P533" s="472" t="s">
        <v>603</v>
      </c>
      <c r="Q533" s="158" t="s">
        <v>391</v>
      </c>
      <c r="R533" s="259" t="s">
        <v>381</v>
      </c>
      <c r="S533" s="196" t="s">
        <v>353</v>
      </c>
      <c r="T533" s="98" t="str">
        <f t="shared" si="12"/>
        <v>4900 DCUltima A Mk7 2M R/A</v>
      </c>
    </row>
    <row r="534" spans="14:20">
      <c r="N534" s="3">
        <v>517</v>
      </c>
      <c r="O534" s="158">
        <v>170</v>
      </c>
      <c r="P534" s="472" t="s">
        <v>603</v>
      </c>
      <c r="Q534" s="158" t="s">
        <v>391</v>
      </c>
      <c r="R534" s="259" t="s">
        <v>381</v>
      </c>
      <c r="S534" s="196" t="s">
        <v>354</v>
      </c>
      <c r="T534" s="98" t="str">
        <f t="shared" si="12"/>
        <v>4900 DCUltima A Mk7 4M</v>
      </c>
    </row>
    <row r="535" spans="14:20" ht="13.5" thickBot="1">
      <c r="N535" s="3">
        <v>518</v>
      </c>
      <c r="O535" s="158">
        <v>170</v>
      </c>
      <c r="P535" s="472" t="s">
        <v>603</v>
      </c>
      <c r="Q535" s="158" t="s">
        <v>391</v>
      </c>
      <c r="R535" s="259" t="s">
        <v>381</v>
      </c>
      <c r="S535" s="373" t="s">
        <v>355</v>
      </c>
      <c r="T535" s="98" t="str">
        <f t="shared" si="12"/>
        <v>4900 DCUltima A Mk7 4M R/A</v>
      </c>
    </row>
    <row r="536" spans="14:20">
      <c r="N536" s="3">
        <v>519</v>
      </c>
      <c r="O536" s="158">
        <v>171</v>
      </c>
      <c r="P536" s="472" t="s">
        <v>603</v>
      </c>
      <c r="Q536" s="158" t="s">
        <v>646</v>
      </c>
      <c r="R536" s="259" t="s">
        <v>381</v>
      </c>
      <c r="S536" s="370" t="s">
        <v>352</v>
      </c>
      <c r="T536" s="98" t="str">
        <f t="shared" si="12"/>
        <v>4900 BCUltima A Mk7 2M</v>
      </c>
    </row>
    <row r="537" spans="14:20">
      <c r="N537" s="3">
        <v>520</v>
      </c>
      <c r="O537" s="158">
        <v>171</v>
      </c>
      <c r="P537" s="472" t="s">
        <v>603</v>
      </c>
      <c r="Q537" s="158" t="s">
        <v>646</v>
      </c>
      <c r="R537" s="259" t="s">
        <v>381</v>
      </c>
      <c r="S537" s="196" t="s">
        <v>353</v>
      </c>
      <c r="T537" s="98" t="str">
        <f t="shared" si="12"/>
        <v>4900 BCUltima A Mk7 2M R/A</v>
      </c>
    </row>
    <row r="538" spans="14:20">
      <c r="N538" s="3">
        <v>521</v>
      </c>
      <c r="O538" s="158">
        <v>171</v>
      </c>
      <c r="P538" s="472" t="s">
        <v>603</v>
      </c>
      <c r="Q538" s="158" t="s">
        <v>646</v>
      </c>
      <c r="R538" s="259" t="s">
        <v>381</v>
      </c>
      <c r="S538" s="196" t="s">
        <v>354</v>
      </c>
      <c r="T538" s="98" t="str">
        <f t="shared" si="12"/>
        <v>4900 BCUltima A Mk7 4M</v>
      </c>
    </row>
    <row r="539" spans="14:20" ht="13.5" thickBot="1">
      <c r="N539" s="3">
        <v>522</v>
      </c>
      <c r="O539" s="158">
        <v>171</v>
      </c>
      <c r="P539" s="472" t="s">
        <v>603</v>
      </c>
      <c r="Q539" s="158" t="s">
        <v>646</v>
      </c>
      <c r="R539" s="259" t="s">
        <v>381</v>
      </c>
      <c r="S539" s="373" t="s">
        <v>355</v>
      </c>
      <c r="T539" s="98" t="str">
        <f t="shared" si="12"/>
        <v>4900 BCUltima A Mk7 4M R/A</v>
      </c>
    </row>
    <row r="540" spans="14:20">
      <c r="N540" s="3">
        <v>523</v>
      </c>
      <c r="O540" s="158">
        <v>172</v>
      </c>
      <c r="P540" s="472" t="s">
        <v>603</v>
      </c>
      <c r="Q540" s="158">
        <v>7900</v>
      </c>
      <c r="R540" s="259" t="s">
        <v>381</v>
      </c>
      <c r="S540" s="370" t="s">
        <v>352</v>
      </c>
      <c r="T540" s="98" t="str">
        <f t="shared" si="12"/>
        <v>7900Ultima A Mk7 2M</v>
      </c>
    </row>
    <row r="541" spans="14:20">
      <c r="N541" s="3">
        <v>524</v>
      </c>
      <c r="O541" s="158">
        <v>172</v>
      </c>
      <c r="P541" s="472" t="s">
        <v>603</v>
      </c>
      <c r="Q541" s="158">
        <v>7900</v>
      </c>
      <c r="R541" s="259" t="s">
        <v>381</v>
      </c>
      <c r="S541" s="196" t="s">
        <v>353</v>
      </c>
      <c r="T541" s="98" t="str">
        <f t="shared" si="12"/>
        <v>7900Ultima A Mk7 2M R/A</v>
      </c>
    </row>
    <row r="542" spans="14:20">
      <c r="N542" s="3">
        <v>525</v>
      </c>
      <c r="O542" s="158">
        <v>172</v>
      </c>
      <c r="P542" s="472" t="s">
        <v>603</v>
      </c>
      <c r="Q542" s="158">
        <v>7900</v>
      </c>
      <c r="R542" s="259" t="s">
        <v>381</v>
      </c>
      <c r="S542" s="196" t="s">
        <v>354</v>
      </c>
      <c r="T542" s="98" t="str">
        <f t="shared" si="12"/>
        <v>7900Ultima A Mk7 4M</v>
      </c>
    </row>
    <row r="543" spans="14:20" ht="13.5" thickBot="1">
      <c r="N543" s="3">
        <v>526</v>
      </c>
      <c r="O543" s="158">
        <v>172</v>
      </c>
      <c r="P543" s="472" t="s">
        <v>603</v>
      </c>
      <c r="Q543" s="158">
        <v>7900</v>
      </c>
      <c r="R543" s="259" t="s">
        <v>381</v>
      </c>
      <c r="S543" s="373" t="s">
        <v>355</v>
      </c>
      <c r="T543" s="98" t="str">
        <f t="shared" si="12"/>
        <v>7900Ultima A Mk7 4M R/A</v>
      </c>
    </row>
    <row r="544" spans="14:20">
      <c r="N544" s="3">
        <v>527</v>
      </c>
      <c r="O544" s="158">
        <v>173</v>
      </c>
      <c r="P544" s="472" t="s">
        <v>603</v>
      </c>
      <c r="Q544" s="158" t="s">
        <v>647</v>
      </c>
      <c r="R544" s="259" t="s">
        <v>381</v>
      </c>
      <c r="S544" s="370" t="s">
        <v>352</v>
      </c>
      <c r="T544" s="98" t="str">
        <f t="shared" si="12"/>
        <v>7900 BCUltima A Mk7 2M</v>
      </c>
    </row>
    <row r="545" spans="14:20">
      <c r="N545" s="3">
        <v>528</v>
      </c>
      <c r="O545" s="158">
        <v>173</v>
      </c>
      <c r="P545" s="472" t="s">
        <v>603</v>
      </c>
      <c r="Q545" s="158" t="s">
        <v>647</v>
      </c>
      <c r="R545" s="259" t="s">
        <v>381</v>
      </c>
      <c r="S545" s="196" t="s">
        <v>353</v>
      </c>
      <c r="T545" s="98" t="str">
        <f t="shared" si="12"/>
        <v>7900 BCUltima A Mk7 2M R/A</v>
      </c>
    </row>
    <row r="546" spans="14:20">
      <c r="N546" s="3">
        <v>529</v>
      </c>
      <c r="O546" s="158">
        <v>173</v>
      </c>
      <c r="P546" s="472" t="s">
        <v>603</v>
      </c>
      <c r="Q546" s="158" t="s">
        <v>647</v>
      </c>
      <c r="R546" s="259" t="s">
        <v>381</v>
      </c>
      <c r="S546" s="196" t="s">
        <v>354</v>
      </c>
      <c r="T546" s="98" t="str">
        <f t="shared" si="12"/>
        <v>7900 BCUltima A Mk7 4M</v>
      </c>
    </row>
    <row r="547" spans="14:20" ht="13.5" thickBot="1">
      <c r="N547" s="3">
        <v>530</v>
      </c>
      <c r="O547" s="158">
        <v>173</v>
      </c>
      <c r="P547" s="472" t="s">
        <v>603</v>
      </c>
      <c r="Q547" s="158" t="s">
        <v>647</v>
      </c>
      <c r="R547" s="259" t="s">
        <v>381</v>
      </c>
      <c r="S547" s="373" t="s">
        <v>355</v>
      </c>
      <c r="T547" s="98" t="str">
        <f t="shared" si="12"/>
        <v>7900 BCUltima A Mk7 4M R/A</v>
      </c>
    </row>
    <row r="548" spans="14:20">
      <c r="N548" s="3">
        <v>531</v>
      </c>
      <c r="O548" s="158">
        <v>1</v>
      </c>
      <c r="P548" s="472" t="s">
        <v>588</v>
      </c>
      <c r="Q548" s="158">
        <v>4900</v>
      </c>
      <c r="R548" s="259" t="s">
        <v>379</v>
      </c>
      <c r="S548" s="370" t="s">
        <v>348</v>
      </c>
      <c r="T548" s="98" t="str">
        <f t="shared" si="12"/>
        <v>4900Ultima Plus Mk7 2M</v>
      </c>
    </row>
    <row r="549" spans="14:20">
      <c r="N549" s="3">
        <v>532</v>
      </c>
      <c r="O549" s="158">
        <v>1</v>
      </c>
      <c r="P549" s="472" t="s">
        <v>588</v>
      </c>
      <c r="Q549" s="158">
        <v>4900</v>
      </c>
      <c r="R549" s="259" t="s">
        <v>379</v>
      </c>
      <c r="S549" s="196" t="s">
        <v>349</v>
      </c>
      <c r="T549" s="98" t="str">
        <f t="shared" si="12"/>
        <v>4900Ultima Plus Mk7 2M R/A</v>
      </c>
    </row>
    <row r="550" spans="14:20">
      <c r="N550" s="3">
        <v>533</v>
      </c>
      <c r="O550" s="158">
        <v>1</v>
      </c>
      <c r="P550" s="472" t="s">
        <v>588</v>
      </c>
      <c r="Q550" s="158">
        <v>4900</v>
      </c>
      <c r="R550" s="259" t="s">
        <v>379</v>
      </c>
      <c r="S550" s="196" t="s">
        <v>350</v>
      </c>
      <c r="T550" s="98" t="str">
        <f t="shared" si="12"/>
        <v>4900Ultima Plus Mk7 4M</v>
      </c>
    </row>
    <row r="551" spans="14:20" ht="13.5" thickBot="1">
      <c r="N551" s="3">
        <v>534</v>
      </c>
      <c r="O551" s="158">
        <v>1</v>
      </c>
      <c r="P551" s="472" t="s">
        <v>588</v>
      </c>
      <c r="Q551" s="158">
        <v>4900</v>
      </c>
      <c r="R551" s="259" t="s">
        <v>379</v>
      </c>
      <c r="S551" s="373" t="s">
        <v>351</v>
      </c>
      <c r="T551" s="98" t="str">
        <f t="shared" si="12"/>
        <v>4900Ultima Plus Mk7 4M R/A</v>
      </c>
    </row>
    <row r="552" spans="14:20">
      <c r="N552" s="3">
        <v>535</v>
      </c>
      <c r="O552" s="158">
        <v>2</v>
      </c>
      <c r="P552" s="472" t="s">
        <v>588</v>
      </c>
      <c r="Q552" s="158" t="s">
        <v>391</v>
      </c>
      <c r="R552" s="259" t="s">
        <v>379</v>
      </c>
      <c r="S552" s="370" t="s">
        <v>348</v>
      </c>
      <c r="T552" s="98" t="str">
        <f t="shared" si="12"/>
        <v>4900 DCUltima Plus Mk7 2M</v>
      </c>
    </row>
    <row r="553" spans="14:20">
      <c r="N553" s="3">
        <v>536</v>
      </c>
      <c r="O553" s="158">
        <v>2</v>
      </c>
      <c r="P553" s="472" t="s">
        <v>588</v>
      </c>
      <c r="Q553" s="158" t="s">
        <v>391</v>
      </c>
      <c r="R553" s="259" t="s">
        <v>379</v>
      </c>
      <c r="S553" s="196" t="s">
        <v>349</v>
      </c>
      <c r="T553" s="98" t="str">
        <f t="shared" si="12"/>
        <v>4900 DCUltima Plus Mk7 2M R/A</v>
      </c>
    </row>
    <row r="554" spans="14:20">
      <c r="N554" s="3">
        <v>537</v>
      </c>
      <c r="O554" s="158">
        <v>2</v>
      </c>
      <c r="P554" s="472" t="s">
        <v>588</v>
      </c>
      <c r="Q554" s="158" t="s">
        <v>391</v>
      </c>
      <c r="R554" s="259" t="s">
        <v>379</v>
      </c>
      <c r="S554" s="196" t="s">
        <v>350</v>
      </c>
      <c r="T554" s="98" t="str">
        <f t="shared" si="12"/>
        <v>4900 DCUltima Plus Mk7 4M</v>
      </c>
    </row>
    <row r="555" spans="14:20" ht="13.5" thickBot="1">
      <c r="N555" s="3">
        <v>538</v>
      </c>
      <c r="O555" s="158">
        <v>2</v>
      </c>
      <c r="P555" s="472" t="s">
        <v>588</v>
      </c>
      <c r="Q555" s="158" t="s">
        <v>391</v>
      </c>
      <c r="R555" s="259" t="s">
        <v>379</v>
      </c>
      <c r="S555" s="373" t="s">
        <v>351</v>
      </c>
      <c r="T555" s="98" t="str">
        <f t="shared" si="12"/>
        <v>4900 DCUltima Plus Mk7 4M R/A</v>
      </c>
    </row>
    <row r="556" spans="14:20">
      <c r="N556" s="3">
        <v>539</v>
      </c>
      <c r="O556" s="158">
        <v>3</v>
      </c>
      <c r="P556" s="472" t="s">
        <v>588</v>
      </c>
      <c r="Q556" s="158">
        <v>7900</v>
      </c>
      <c r="R556" s="259" t="s">
        <v>379</v>
      </c>
      <c r="S556" s="370" t="s">
        <v>348</v>
      </c>
      <c r="T556" s="98" t="str">
        <f t="shared" si="12"/>
        <v>7900Ultima Plus Mk7 2M</v>
      </c>
    </row>
    <row r="557" spans="14:20">
      <c r="N557" s="3">
        <v>540</v>
      </c>
      <c r="O557" s="158">
        <v>3</v>
      </c>
      <c r="P557" s="472" t="s">
        <v>588</v>
      </c>
      <c r="Q557" s="158">
        <v>7900</v>
      </c>
      <c r="R557" s="259" t="s">
        <v>379</v>
      </c>
      <c r="S557" s="196" t="s">
        <v>349</v>
      </c>
      <c r="T557" s="98" t="str">
        <f t="shared" si="12"/>
        <v>7900Ultima Plus Mk7 2M R/A</v>
      </c>
    </row>
    <row r="558" spans="14:20">
      <c r="N558" s="3">
        <v>541</v>
      </c>
      <c r="O558" s="158">
        <v>3</v>
      </c>
      <c r="P558" s="472" t="s">
        <v>588</v>
      </c>
      <c r="Q558" s="158">
        <v>7900</v>
      </c>
      <c r="R558" s="259" t="s">
        <v>379</v>
      </c>
      <c r="S558" s="196" t="s">
        <v>350</v>
      </c>
      <c r="T558" s="98" t="str">
        <f t="shared" si="12"/>
        <v>7900Ultima Plus Mk7 4M</v>
      </c>
    </row>
    <row r="559" spans="14:20" ht="13.5" thickBot="1">
      <c r="N559" s="3">
        <v>542</v>
      </c>
      <c r="O559" s="158">
        <v>3</v>
      </c>
      <c r="P559" s="472" t="s">
        <v>588</v>
      </c>
      <c r="Q559" s="158">
        <v>7900</v>
      </c>
      <c r="R559" s="259" t="s">
        <v>379</v>
      </c>
      <c r="S559" s="373" t="s">
        <v>351</v>
      </c>
      <c r="T559" s="98" t="str">
        <f t="shared" si="12"/>
        <v>7900Ultima Plus Mk7 4M R/A</v>
      </c>
    </row>
    <row r="560" spans="14:20">
      <c r="N560" s="3">
        <v>543</v>
      </c>
      <c r="O560" s="158">
        <v>4</v>
      </c>
      <c r="P560" s="472" t="s">
        <v>588</v>
      </c>
      <c r="Q560" s="158" t="s">
        <v>316</v>
      </c>
      <c r="R560" s="259" t="s">
        <v>379</v>
      </c>
      <c r="S560" s="370" t="s">
        <v>348</v>
      </c>
      <c r="T560" s="98" t="str">
        <f t="shared" si="12"/>
        <v>7900 SpectrumUltima Plus Mk7 2M</v>
      </c>
    </row>
    <row r="561" spans="14:20">
      <c r="N561" s="3">
        <v>544</v>
      </c>
      <c r="O561" s="158">
        <v>4</v>
      </c>
      <c r="P561" s="472" t="s">
        <v>588</v>
      </c>
      <c r="Q561" s="158" t="s">
        <v>316</v>
      </c>
      <c r="R561" s="259" t="s">
        <v>379</v>
      </c>
      <c r="S561" s="196" t="s">
        <v>349</v>
      </c>
      <c r="T561" s="98" t="str">
        <f t="shared" si="12"/>
        <v>7900 SpectrumUltima Plus Mk7 2M R/A</v>
      </c>
    </row>
    <row r="562" spans="14:20">
      <c r="N562" s="3">
        <v>545</v>
      </c>
      <c r="O562" s="158">
        <v>4</v>
      </c>
      <c r="P562" s="472" t="s">
        <v>588</v>
      </c>
      <c r="Q562" s="158" t="s">
        <v>316</v>
      </c>
      <c r="R562" s="259" t="s">
        <v>379</v>
      </c>
      <c r="S562" s="196" t="s">
        <v>350</v>
      </c>
      <c r="T562" s="98" t="str">
        <f t="shared" si="12"/>
        <v>7900 SpectrumUltima Plus Mk7 4M</v>
      </c>
    </row>
    <row r="563" spans="14:20" ht="13.5" thickBot="1">
      <c r="N563" s="3">
        <v>546</v>
      </c>
      <c r="O563" s="158">
        <v>4</v>
      </c>
      <c r="P563" s="472" t="s">
        <v>588</v>
      </c>
      <c r="Q563" s="158" t="s">
        <v>316</v>
      </c>
      <c r="R563" s="259" t="s">
        <v>379</v>
      </c>
      <c r="S563" s="373" t="s">
        <v>351</v>
      </c>
      <c r="T563" s="98" t="str">
        <f t="shared" si="12"/>
        <v>7900 SpectrumUltima Plus Mk7 4M R/A</v>
      </c>
    </row>
    <row r="564" spans="14:20">
      <c r="N564" s="3">
        <v>547</v>
      </c>
      <c r="O564" s="158">
        <v>11</v>
      </c>
      <c r="P564" s="472" t="s">
        <v>589</v>
      </c>
      <c r="Q564" s="158">
        <v>4900</v>
      </c>
      <c r="R564" s="259" t="s">
        <v>379</v>
      </c>
      <c r="S564" s="370" t="s">
        <v>348</v>
      </c>
      <c r="T564" s="98" t="str">
        <f t="shared" si="12"/>
        <v>4900Ultima Plus Mk7 2M</v>
      </c>
    </row>
    <row r="565" spans="14:20">
      <c r="N565" s="3">
        <v>548</v>
      </c>
      <c r="O565" s="158">
        <v>11</v>
      </c>
      <c r="P565" s="472" t="s">
        <v>589</v>
      </c>
      <c r="Q565" s="158">
        <v>4900</v>
      </c>
      <c r="R565" s="259" t="s">
        <v>379</v>
      </c>
      <c r="S565" s="196" t="s">
        <v>349</v>
      </c>
      <c r="T565" s="98" t="str">
        <f t="shared" si="12"/>
        <v>4900Ultima Plus Mk7 2M R/A</v>
      </c>
    </row>
    <row r="566" spans="14:20">
      <c r="N566" s="3">
        <v>549</v>
      </c>
      <c r="O566" s="158">
        <v>11</v>
      </c>
      <c r="P566" s="472" t="s">
        <v>589</v>
      </c>
      <c r="Q566" s="158">
        <v>4900</v>
      </c>
      <c r="R566" s="259" t="s">
        <v>379</v>
      </c>
      <c r="S566" s="196" t="s">
        <v>350</v>
      </c>
      <c r="T566" s="98" t="str">
        <f t="shared" si="12"/>
        <v>4900Ultima Plus Mk7 4M</v>
      </c>
    </row>
    <row r="567" spans="14:20" ht="13.5" thickBot="1">
      <c r="N567" s="3">
        <v>550</v>
      </c>
      <c r="O567" s="158">
        <v>11</v>
      </c>
      <c r="P567" s="472" t="s">
        <v>589</v>
      </c>
      <c r="Q567" s="158">
        <v>4900</v>
      </c>
      <c r="R567" s="259" t="s">
        <v>379</v>
      </c>
      <c r="S567" s="373" t="s">
        <v>351</v>
      </c>
      <c r="T567" s="98" t="str">
        <f t="shared" si="12"/>
        <v>4900Ultima Plus Mk7 4M R/A</v>
      </c>
    </row>
    <row r="568" spans="14:20">
      <c r="N568" s="3">
        <v>551</v>
      </c>
      <c r="O568" s="158">
        <v>12</v>
      </c>
      <c r="P568" s="472" t="s">
        <v>589</v>
      </c>
      <c r="Q568" s="158" t="s">
        <v>391</v>
      </c>
      <c r="R568" s="259" t="s">
        <v>379</v>
      </c>
      <c r="S568" s="370" t="s">
        <v>348</v>
      </c>
      <c r="T568" s="98" t="str">
        <f t="shared" si="12"/>
        <v>4900 DCUltima Plus Mk7 2M</v>
      </c>
    </row>
    <row r="569" spans="14:20">
      <c r="N569" s="3">
        <v>552</v>
      </c>
      <c r="O569" s="158">
        <v>12</v>
      </c>
      <c r="P569" s="472" t="s">
        <v>589</v>
      </c>
      <c r="Q569" s="158" t="s">
        <v>391</v>
      </c>
      <c r="R569" s="259" t="s">
        <v>379</v>
      </c>
      <c r="S569" s="196" t="s">
        <v>349</v>
      </c>
      <c r="T569" s="98" t="str">
        <f t="shared" si="12"/>
        <v>4900 DCUltima Plus Mk7 2M R/A</v>
      </c>
    </row>
    <row r="570" spans="14:20">
      <c r="N570" s="3">
        <v>553</v>
      </c>
      <c r="O570" s="158">
        <v>12</v>
      </c>
      <c r="P570" s="472" t="s">
        <v>589</v>
      </c>
      <c r="Q570" s="158" t="s">
        <v>391</v>
      </c>
      <c r="R570" s="259" t="s">
        <v>379</v>
      </c>
      <c r="S570" s="196" t="s">
        <v>350</v>
      </c>
      <c r="T570" s="98" t="str">
        <f t="shared" si="12"/>
        <v>4900 DCUltima Plus Mk7 4M</v>
      </c>
    </row>
    <row r="571" spans="14:20" ht="13.5" thickBot="1">
      <c r="N571" s="3">
        <v>554</v>
      </c>
      <c r="O571" s="158">
        <v>12</v>
      </c>
      <c r="P571" s="472" t="s">
        <v>589</v>
      </c>
      <c r="Q571" s="158" t="s">
        <v>391</v>
      </c>
      <c r="R571" s="259" t="s">
        <v>379</v>
      </c>
      <c r="S571" s="373" t="s">
        <v>351</v>
      </c>
      <c r="T571" s="98" t="str">
        <f t="shared" si="12"/>
        <v>4900 DCUltima Plus Mk7 4M R/A</v>
      </c>
    </row>
    <row r="572" spans="14:20">
      <c r="N572" s="3">
        <v>555</v>
      </c>
      <c r="O572" s="158">
        <v>13</v>
      </c>
      <c r="P572" s="472" t="s">
        <v>589</v>
      </c>
      <c r="Q572" s="158">
        <v>7900</v>
      </c>
      <c r="R572" s="259" t="s">
        <v>379</v>
      </c>
      <c r="S572" s="370" t="s">
        <v>348</v>
      </c>
      <c r="T572" s="98" t="str">
        <f t="shared" si="12"/>
        <v>7900Ultima Plus Mk7 2M</v>
      </c>
    </row>
    <row r="573" spans="14:20">
      <c r="N573" s="3">
        <v>556</v>
      </c>
      <c r="O573" s="158">
        <v>13</v>
      </c>
      <c r="P573" s="472" t="s">
        <v>589</v>
      </c>
      <c r="Q573" s="158">
        <v>7900</v>
      </c>
      <c r="R573" s="259" t="s">
        <v>379</v>
      </c>
      <c r="S573" s="196" t="s">
        <v>349</v>
      </c>
      <c r="T573" s="98" t="str">
        <f t="shared" si="12"/>
        <v>7900Ultima Plus Mk7 2M R/A</v>
      </c>
    </row>
    <row r="574" spans="14:20">
      <c r="N574" s="3">
        <v>557</v>
      </c>
      <c r="O574" s="158">
        <v>13</v>
      </c>
      <c r="P574" s="472" t="s">
        <v>589</v>
      </c>
      <c r="Q574" s="158">
        <v>7900</v>
      </c>
      <c r="R574" s="259" t="s">
        <v>379</v>
      </c>
      <c r="S574" s="196" t="s">
        <v>350</v>
      </c>
      <c r="T574" s="98" t="str">
        <f t="shared" si="12"/>
        <v>7900Ultima Plus Mk7 4M</v>
      </c>
    </row>
    <row r="575" spans="14:20" ht="13.5" thickBot="1">
      <c r="N575" s="3">
        <v>558</v>
      </c>
      <c r="O575" s="158">
        <v>13</v>
      </c>
      <c r="P575" s="472" t="s">
        <v>589</v>
      </c>
      <c r="Q575" s="158">
        <v>7900</v>
      </c>
      <c r="R575" s="259" t="s">
        <v>379</v>
      </c>
      <c r="S575" s="373" t="s">
        <v>351</v>
      </c>
      <c r="T575" s="98" t="str">
        <f t="shared" si="12"/>
        <v>7900Ultima Plus Mk7 4M R/A</v>
      </c>
    </row>
    <row r="576" spans="14:20">
      <c r="N576" s="3">
        <v>559</v>
      </c>
      <c r="O576" s="158">
        <v>14</v>
      </c>
      <c r="P576" s="472" t="s">
        <v>589</v>
      </c>
      <c r="Q576" s="158" t="s">
        <v>316</v>
      </c>
      <c r="R576" s="259" t="s">
        <v>379</v>
      </c>
      <c r="S576" s="370" t="s">
        <v>348</v>
      </c>
      <c r="T576" s="98" t="str">
        <f t="shared" si="12"/>
        <v>7900 SpectrumUltima Plus Mk7 2M</v>
      </c>
    </row>
    <row r="577" spans="14:20">
      <c r="N577" s="3">
        <v>560</v>
      </c>
      <c r="O577" s="158">
        <v>14</v>
      </c>
      <c r="P577" s="472" t="s">
        <v>589</v>
      </c>
      <c r="Q577" s="158" t="s">
        <v>316</v>
      </c>
      <c r="R577" s="259" t="s">
        <v>379</v>
      </c>
      <c r="S577" s="196" t="s">
        <v>349</v>
      </c>
      <c r="T577" s="98" t="str">
        <f t="shared" si="12"/>
        <v>7900 SpectrumUltima Plus Mk7 2M R/A</v>
      </c>
    </row>
    <row r="578" spans="14:20">
      <c r="N578" s="3">
        <v>561</v>
      </c>
      <c r="O578" s="158">
        <v>14</v>
      </c>
      <c r="P578" s="472" t="s">
        <v>589</v>
      </c>
      <c r="Q578" s="158" t="s">
        <v>316</v>
      </c>
      <c r="R578" s="259" t="s">
        <v>379</v>
      </c>
      <c r="S578" s="196" t="s">
        <v>350</v>
      </c>
      <c r="T578" s="98" t="str">
        <f t="shared" si="12"/>
        <v>7900 SpectrumUltima Plus Mk7 4M</v>
      </c>
    </row>
    <row r="579" spans="14:20" ht="13.5" thickBot="1">
      <c r="N579" s="3">
        <v>562</v>
      </c>
      <c r="O579" s="158">
        <v>14</v>
      </c>
      <c r="P579" s="472" t="s">
        <v>589</v>
      </c>
      <c r="Q579" s="158" t="s">
        <v>316</v>
      </c>
      <c r="R579" s="259" t="s">
        <v>379</v>
      </c>
      <c r="S579" s="373" t="s">
        <v>351</v>
      </c>
      <c r="T579" s="98" t="str">
        <f t="shared" si="12"/>
        <v>7900 SpectrumUltima Plus Mk7 4M R/A</v>
      </c>
    </row>
    <row r="580" spans="14:20">
      <c r="N580" s="3">
        <v>563</v>
      </c>
      <c r="O580" s="158">
        <v>23</v>
      </c>
      <c r="P580" s="472" t="s">
        <v>590</v>
      </c>
      <c r="Q580" s="158">
        <v>4900</v>
      </c>
      <c r="R580" s="259" t="s">
        <v>379</v>
      </c>
      <c r="S580" s="370" t="s">
        <v>348</v>
      </c>
      <c r="T580" s="98" t="str">
        <f t="shared" si="12"/>
        <v>4900Ultima Plus Mk7 2M</v>
      </c>
    </row>
    <row r="581" spans="14:20">
      <c r="N581" s="3">
        <v>564</v>
      </c>
      <c r="O581" s="158">
        <v>23</v>
      </c>
      <c r="P581" s="472" t="s">
        <v>590</v>
      </c>
      <c r="Q581" s="158">
        <v>4900</v>
      </c>
      <c r="R581" s="259" t="s">
        <v>379</v>
      </c>
      <c r="S581" s="196" t="s">
        <v>349</v>
      </c>
      <c r="T581" s="98" t="str">
        <f t="shared" si="12"/>
        <v>4900Ultima Plus Mk7 2M R/A</v>
      </c>
    </row>
    <row r="582" spans="14:20">
      <c r="N582" s="3">
        <v>565</v>
      </c>
      <c r="O582" s="158">
        <v>23</v>
      </c>
      <c r="P582" s="472" t="s">
        <v>590</v>
      </c>
      <c r="Q582" s="158">
        <v>4900</v>
      </c>
      <c r="R582" s="259" t="s">
        <v>379</v>
      </c>
      <c r="S582" s="196" t="s">
        <v>350</v>
      </c>
      <c r="T582" s="98" t="str">
        <f t="shared" si="12"/>
        <v>4900Ultima Plus Mk7 4M</v>
      </c>
    </row>
    <row r="583" spans="14:20" ht="13.5" thickBot="1">
      <c r="N583" s="3">
        <v>566</v>
      </c>
      <c r="O583" s="158">
        <v>23</v>
      </c>
      <c r="P583" s="472" t="s">
        <v>590</v>
      </c>
      <c r="Q583" s="158">
        <v>4900</v>
      </c>
      <c r="R583" s="259" t="s">
        <v>379</v>
      </c>
      <c r="S583" s="373" t="s">
        <v>351</v>
      </c>
      <c r="T583" s="98" t="str">
        <f t="shared" si="12"/>
        <v>4900Ultima Plus Mk7 4M R/A</v>
      </c>
    </row>
    <row r="584" spans="14:20">
      <c r="N584" s="3">
        <v>567</v>
      </c>
      <c r="O584" s="158">
        <v>24</v>
      </c>
      <c r="P584" s="472" t="s">
        <v>590</v>
      </c>
      <c r="Q584" s="158" t="s">
        <v>391</v>
      </c>
      <c r="R584" s="259" t="s">
        <v>379</v>
      </c>
      <c r="S584" s="370" t="s">
        <v>348</v>
      </c>
      <c r="T584" s="98" t="str">
        <f t="shared" si="12"/>
        <v>4900 DCUltima Plus Mk7 2M</v>
      </c>
    </row>
    <row r="585" spans="14:20">
      <c r="N585" s="3">
        <v>568</v>
      </c>
      <c r="O585" s="158">
        <v>24</v>
      </c>
      <c r="P585" s="472" t="s">
        <v>590</v>
      </c>
      <c r="Q585" s="158" t="s">
        <v>391</v>
      </c>
      <c r="R585" s="259" t="s">
        <v>379</v>
      </c>
      <c r="S585" s="196" t="s">
        <v>349</v>
      </c>
      <c r="T585" s="98" t="str">
        <f t="shared" si="12"/>
        <v>4900 DCUltima Plus Mk7 2M R/A</v>
      </c>
    </row>
    <row r="586" spans="14:20">
      <c r="N586" s="3">
        <v>569</v>
      </c>
      <c r="O586" s="158">
        <v>24</v>
      </c>
      <c r="P586" s="472" t="s">
        <v>590</v>
      </c>
      <c r="Q586" s="158" t="s">
        <v>391</v>
      </c>
      <c r="R586" s="259" t="s">
        <v>379</v>
      </c>
      <c r="S586" s="196" t="s">
        <v>350</v>
      </c>
      <c r="T586" s="98" t="str">
        <f t="shared" si="12"/>
        <v>4900 DCUltima Plus Mk7 4M</v>
      </c>
    </row>
    <row r="587" spans="14:20" ht="13.5" thickBot="1">
      <c r="N587" s="3">
        <v>570</v>
      </c>
      <c r="O587" s="158">
        <v>24</v>
      </c>
      <c r="P587" s="472" t="s">
        <v>590</v>
      </c>
      <c r="Q587" s="158" t="s">
        <v>391</v>
      </c>
      <c r="R587" s="259" t="s">
        <v>379</v>
      </c>
      <c r="S587" s="373" t="s">
        <v>351</v>
      </c>
      <c r="T587" s="98" t="str">
        <f t="shared" si="12"/>
        <v>4900 DCUltima Plus Mk7 4M R/A</v>
      </c>
    </row>
    <row r="588" spans="14:20">
      <c r="N588" s="3">
        <v>571</v>
      </c>
      <c r="O588" s="158">
        <v>25</v>
      </c>
      <c r="P588" s="472" t="s">
        <v>590</v>
      </c>
      <c r="Q588" s="158">
        <v>7900</v>
      </c>
      <c r="R588" s="259" t="s">
        <v>379</v>
      </c>
      <c r="S588" s="370" t="s">
        <v>348</v>
      </c>
      <c r="T588" s="98" t="str">
        <f t="shared" si="12"/>
        <v>7900Ultima Plus Mk7 2M</v>
      </c>
    </row>
    <row r="589" spans="14:20">
      <c r="N589" s="3">
        <v>572</v>
      </c>
      <c r="O589" s="158">
        <v>25</v>
      </c>
      <c r="P589" s="472" t="s">
        <v>590</v>
      </c>
      <c r="Q589" s="158">
        <v>7900</v>
      </c>
      <c r="R589" s="259" t="s">
        <v>379</v>
      </c>
      <c r="S589" s="196" t="s">
        <v>349</v>
      </c>
      <c r="T589" s="98" t="str">
        <f t="shared" si="12"/>
        <v>7900Ultima Plus Mk7 2M R/A</v>
      </c>
    </row>
    <row r="590" spans="14:20">
      <c r="N590" s="3">
        <v>573</v>
      </c>
      <c r="O590" s="158">
        <v>25</v>
      </c>
      <c r="P590" s="472" t="s">
        <v>590</v>
      </c>
      <c r="Q590" s="158">
        <v>7900</v>
      </c>
      <c r="R590" s="259" t="s">
        <v>379</v>
      </c>
      <c r="S590" s="196" t="s">
        <v>350</v>
      </c>
      <c r="T590" s="98" t="str">
        <f t="shared" si="12"/>
        <v>7900Ultima Plus Mk7 4M</v>
      </c>
    </row>
    <row r="591" spans="14:20" ht="13.5" thickBot="1">
      <c r="N591" s="3">
        <v>574</v>
      </c>
      <c r="O591" s="158">
        <v>25</v>
      </c>
      <c r="P591" s="472" t="s">
        <v>590</v>
      </c>
      <c r="Q591" s="158">
        <v>7900</v>
      </c>
      <c r="R591" s="259" t="s">
        <v>379</v>
      </c>
      <c r="S591" s="373" t="s">
        <v>351</v>
      </c>
      <c r="T591" s="98" t="str">
        <f t="shared" si="12"/>
        <v>7900Ultima Plus Mk7 4M R/A</v>
      </c>
    </row>
    <row r="592" spans="14:20">
      <c r="N592" s="3">
        <v>575</v>
      </c>
      <c r="O592" s="158">
        <v>26</v>
      </c>
      <c r="P592" s="472" t="s">
        <v>590</v>
      </c>
      <c r="Q592" s="158" t="s">
        <v>316</v>
      </c>
      <c r="R592" s="259" t="s">
        <v>379</v>
      </c>
      <c r="S592" s="370" t="s">
        <v>348</v>
      </c>
      <c r="T592" s="98" t="str">
        <f t="shared" si="12"/>
        <v>7900 SpectrumUltima Plus Mk7 2M</v>
      </c>
    </row>
    <row r="593" spans="14:20">
      <c r="N593" s="3">
        <v>576</v>
      </c>
      <c r="O593" s="158">
        <v>26</v>
      </c>
      <c r="P593" s="472" t="s">
        <v>590</v>
      </c>
      <c r="Q593" s="158" t="s">
        <v>316</v>
      </c>
      <c r="R593" s="259" t="s">
        <v>379</v>
      </c>
      <c r="S593" s="196" t="s">
        <v>349</v>
      </c>
      <c r="T593" s="98" t="str">
        <f t="shared" si="12"/>
        <v>7900 SpectrumUltima Plus Mk7 2M R/A</v>
      </c>
    </row>
    <row r="594" spans="14:20">
      <c r="N594" s="3">
        <v>577</v>
      </c>
      <c r="O594" s="158">
        <v>26</v>
      </c>
      <c r="P594" s="472" t="s">
        <v>590</v>
      </c>
      <c r="Q594" s="158" t="s">
        <v>316</v>
      </c>
      <c r="R594" s="259" t="s">
        <v>379</v>
      </c>
      <c r="S594" s="196" t="s">
        <v>350</v>
      </c>
      <c r="T594" s="98" t="str">
        <f t="shared" si="12"/>
        <v>7900 SpectrumUltima Plus Mk7 4M</v>
      </c>
    </row>
    <row r="595" spans="14:20" ht="13.5" thickBot="1">
      <c r="N595" s="3">
        <v>578</v>
      </c>
      <c r="O595" s="158">
        <v>26</v>
      </c>
      <c r="P595" s="472" t="s">
        <v>590</v>
      </c>
      <c r="Q595" s="158" t="s">
        <v>316</v>
      </c>
      <c r="R595" s="259" t="s">
        <v>379</v>
      </c>
      <c r="S595" s="373" t="s">
        <v>351</v>
      </c>
      <c r="T595" s="98" t="str">
        <f t="shared" ref="T595:T658" si="13">Q595&amp;S595</f>
        <v>7900 SpectrumUltima Plus Mk7 4M R/A</v>
      </c>
    </row>
    <row r="596" spans="14:20">
      <c r="N596" s="3">
        <v>579</v>
      </c>
      <c r="O596" s="158">
        <v>35</v>
      </c>
      <c r="P596" s="472" t="s">
        <v>591</v>
      </c>
      <c r="Q596" s="158">
        <v>4900</v>
      </c>
      <c r="R596" s="259" t="s">
        <v>379</v>
      </c>
      <c r="S596" s="370" t="s">
        <v>348</v>
      </c>
      <c r="T596" s="98" t="str">
        <f t="shared" si="13"/>
        <v>4900Ultima Plus Mk7 2M</v>
      </c>
    </row>
    <row r="597" spans="14:20">
      <c r="N597" s="3">
        <v>580</v>
      </c>
      <c r="O597" s="158">
        <v>35</v>
      </c>
      <c r="P597" s="472" t="s">
        <v>591</v>
      </c>
      <c r="Q597" s="158">
        <v>4900</v>
      </c>
      <c r="R597" s="259" t="s">
        <v>379</v>
      </c>
      <c r="S597" s="196" t="s">
        <v>349</v>
      </c>
      <c r="T597" s="98" t="str">
        <f t="shared" si="13"/>
        <v>4900Ultima Plus Mk7 2M R/A</v>
      </c>
    </row>
    <row r="598" spans="14:20">
      <c r="N598" s="3">
        <v>581</v>
      </c>
      <c r="O598" s="158">
        <v>35</v>
      </c>
      <c r="P598" s="472" t="s">
        <v>591</v>
      </c>
      <c r="Q598" s="158">
        <v>4900</v>
      </c>
      <c r="R598" s="259" t="s">
        <v>379</v>
      </c>
      <c r="S598" s="196" t="s">
        <v>350</v>
      </c>
      <c r="T598" s="98" t="str">
        <f t="shared" si="13"/>
        <v>4900Ultima Plus Mk7 4M</v>
      </c>
    </row>
    <row r="599" spans="14:20" ht="13.5" thickBot="1">
      <c r="N599" s="3">
        <v>582</v>
      </c>
      <c r="O599" s="158">
        <v>35</v>
      </c>
      <c r="P599" s="472" t="s">
        <v>591</v>
      </c>
      <c r="Q599" s="158">
        <v>4900</v>
      </c>
      <c r="R599" s="259" t="s">
        <v>379</v>
      </c>
      <c r="S599" s="373" t="s">
        <v>351</v>
      </c>
      <c r="T599" s="98" t="str">
        <f t="shared" si="13"/>
        <v>4900Ultima Plus Mk7 4M R/A</v>
      </c>
    </row>
    <row r="600" spans="14:20">
      <c r="N600" s="3">
        <v>583</v>
      </c>
      <c r="O600" s="158">
        <v>36</v>
      </c>
      <c r="P600" s="472" t="s">
        <v>591</v>
      </c>
      <c r="Q600" s="158" t="s">
        <v>391</v>
      </c>
      <c r="R600" s="259" t="s">
        <v>379</v>
      </c>
      <c r="S600" s="370" t="s">
        <v>348</v>
      </c>
      <c r="T600" s="98" t="str">
        <f t="shared" si="13"/>
        <v>4900 DCUltima Plus Mk7 2M</v>
      </c>
    </row>
    <row r="601" spans="14:20">
      <c r="N601" s="3">
        <v>584</v>
      </c>
      <c r="O601" s="158">
        <v>36</v>
      </c>
      <c r="P601" s="472" t="s">
        <v>591</v>
      </c>
      <c r="Q601" s="158" t="s">
        <v>391</v>
      </c>
      <c r="R601" s="259" t="s">
        <v>379</v>
      </c>
      <c r="S601" s="196" t="s">
        <v>349</v>
      </c>
      <c r="T601" s="98" t="str">
        <f t="shared" si="13"/>
        <v>4900 DCUltima Plus Mk7 2M R/A</v>
      </c>
    </row>
    <row r="602" spans="14:20">
      <c r="N602" s="3">
        <v>585</v>
      </c>
      <c r="O602" s="158">
        <v>36</v>
      </c>
      <c r="P602" s="472" t="s">
        <v>591</v>
      </c>
      <c r="Q602" s="158" t="s">
        <v>391</v>
      </c>
      <c r="R602" s="259" t="s">
        <v>379</v>
      </c>
      <c r="S602" s="196" t="s">
        <v>350</v>
      </c>
      <c r="T602" s="98" t="str">
        <f t="shared" si="13"/>
        <v>4900 DCUltima Plus Mk7 4M</v>
      </c>
    </row>
    <row r="603" spans="14:20" ht="13.5" thickBot="1">
      <c r="N603" s="3">
        <v>586</v>
      </c>
      <c r="O603" s="158">
        <v>36</v>
      </c>
      <c r="P603" s="472" t="s">
        <v>591</v>
      </c>
      <c r="Q603" s="158" t="s">
        <v>391</v>
      </c>
      <c r="R603" s="259" t="s">
        <v>379</v>
      </c>
      <c r="S603" s="373" t="s">
        <v>351</v>
      </c>
      <c r="T603" s="98" t="str">
        <f t="shared" si="13"/>
        <v>4900 DCUltima Plus Mk7 4M R/A</v>
      </c>
    </row>
    <row r="604" spans="14:20">
      <c r="N604" s="3">
        <v>587</v>
      </c>
      <c r="O604" s="158">
        <v>37</v>
      </c>
      <c r="P604" s="472" t="s">
        <v>591</v>
      </c>
      <c r="Q604" s="158">
        <v>7900</v>
      </c>
      <c r="R604" s="259" t="s">
        <v>379</v>
      </c>
      <c r="S604" s="370" t="s">
        <v>348</v>
      </c>
      <c r="T604" s="98" t="str">
        <f t="shared" si="13"/>
        <v>7900Ultima Plus Mk7 2M</v>
      </c>
    </row>
    <row r="605" spans="14:20">
      <c r="N605" s="3">
        <v>588</v>
      </c>
      <c r="O605" s="158">
        <v>37</v>
      </c>
      <c r="P605" s="472" t="s">
        <v>591</v>
      </c>
      <c r="Q605" s="158">
        <v>7900</v>
      </c>
      <c r="R605" s="259" t="s">
        <v>379</v>
      </c>
      <c r="S605" s="196" t="s">
        <v>349</v>
      </c>
      <c r="T605" s="98" t="str">
        <f t="shared" si="13"/>
        <v>7900Ultima Plus Mk7 2M R/A</v>
      </c>
    </row>
    <row r="606" spans="14:20">
      <c r="N606" s="3">
        <v>589</v>
      </c>
      <c r="O606" s="158">
        <v>37</v>
      </c>
      <c r="P606" s="472" t="s">
        <v>591</v>
      </c>
      <c r="Q606" s="158">
        <v>7900</v>
      </c>
      <c r="R606" s="259" t="s">
        <v>379</v>
      </c>
      <c r="S606" s="196" t="s">
        <v>350</v>
      </c>
      <c r="T606" s="98" t="str">
        <f t="shared" si="13"/>
        <v>7900Ultima Plus Mk7 4M</v>
      </c>
    </row>
    <row r="607" spans="14:20" ht="13.5" thickBot="1">
      <c r="N607" s="3">
        <v>590</v>
      </c>
      <c r="O607" s="158">
        <v>37</v>
      </c>
      <c r="P607" s="472" t="s">
        <v>591</v>
      </c>
      <c r="Q607" s="158">
        <v>7900</v>
      </c>
      <c r="R607" s="259" t="s">
        <v>379</v>
      </c>
      <c r="S607" s="373" t="s">
        <v>351</v>
      </c>
      <c r="T607" s="98" t="str">
        <f t="shared" si="13"/>
        <v>7900Ultima Plus Mk7 4M R/A</v>
      </c>
    </row>
    <row r="608" spans="14:20">
      <c r="N608" s="3">
        <v>591</v>
      </c>
      <c r="O608" s="158">
        <v>38</v>
      </c>
      <c r="P608" s="472" t="s">
        <v>591</v>
      </c>
      <c r="Q608" s="158" t="s">
        <v>316</v>
      </c>
      <c r="R608" s="259" t="s">
        <v>379</v>
      </c>
      <c r="S608" s="370" t="s">
        <v>348</v>
      </c>
      <c r="T608" s="98" t="str">
        <f t="shared" si="13"/>
        <v>7900 SpectrumUltima Plus Mk7 2M</v>
      </c>
    </row>
    <row r="609" spans="14:20">
      <c r="N609" s="3">
        <v>592</v>
      </c>
      <c r="O609" s="158">
        <v>38</v>
      </c>
      <c r="P609" s="472" t="s">
        <v>591</v>
      </c>
      <c r="Q609" s="158" t="s">
        <v>316</v>
      </c>
      <c r="R609" s="259" t="s">
        <v>379</v>
      </c>
      <c r="S609" s="196" t="s">
        <v>349</v>
      </c>
      <c r="T609" s="98" t="str">
        <f t="shared" si="13"/>
        <v>7900 SpectrumUltima Plus Mk7 2M R/A</v>
      </c>
    </row>
    <row r="610" spans="14:20">
      <c r="N610" s="3">
        <v>593</v>
      </c>
      <c r="O610" s="158">
        <v>38</v>
      </c>
      <c r="P610" s="472" t="s">
        <v>591</v>
      </c>
      <c r="Q610" s="158" t="s">
        <v>316</v>
      </c>
      <c r="R610" s="259" t="s">
        <v>379</v>
      </c>
      <c r="S610" s="196" t="s">
        <v>350</v>
      </c>
      <c r="T610" s="98" t="str">
        <f t="shared" si="13"/>
        <v>7900 SpectrumUltima Plus Mk7 4M</v>
      </c>
    </row>
    <row r="611" spans="14:20" ht="13.5" thickBot="1">
      <c r="N611" s="3">
        <v>594</v>
      </c>
      <c r="O611" s="158">
        <v>38</v>
      </c>
      <c r="P611" s="472" t="s">
        <v>591</v>
      </c>
      <c r="Q611" s="158" t="s">
        <v>316</v>
      </c>
      <c r="R611" s="259" t="s">
        <v>379</v>
      </c>
      <c r="S611" s="373" t="s">
        <v>351</v>
      </c>
      <c r="T611" s="98" t="str">
        <f t="shared" si="13"/>
        <v>7900 SpectrumUltima Plus Mk7 4M R/A</v>
      </c>
    </row>
    <row r="612" spans="14:20">
      <c r="N612" s="3">
        <v>595</v>
      </c>
      <c r="O612" s="158">
        <v>43</v>
      </c>
      <c r="P612" s="472" t="s">
        <v>592</v>
      </c>
      <c r="Q612" s="158">
        <v>4900</v>
      </c>
      <c r="R612" s="259" t="s">
        <v>379</v>
      </c>
      <c r="S612" s="370" t="s">
        <v>348</v>
      </c>
      <c r="T612" s="98" t="str">
        <f t="shared" si="13"/>
        <v>4900Ultima Plus Mk7 2M</v>
      </c>
    </row>
    <row r="613" spans="14:20">
      <c r="N613" s="3">
        <v>596</v>
      </c>
      <c r="O613" s="158">
        <v>43</v>
      </c>
      <c r="P613" s="472" t="s">
        <v>592</v>
      </c>
      <c r="Q613" s="158">
        <v>4900</v>
      </c>
      <c r="R613" s="259" t="s">
        <v>379</v>
      </c>
      <c r="S613" s="196" t="s">
        <v>349</v>
      </c>
      <c r="T613" s="98" t="str">
        <f t="shared" si="13"/>
        <v>4900Ultima Plus Mk7 2M R/A</v>
      </c>
    </row>
    <row r="614" spans="14:20">
      <c r="N614" s="3">
        <v>597</v>
      </c>
      <c r="O614" s="158">
        <v>43</v>
      </c>
      <c r="P614" s="472" t="s">
        <v>592</v>
      </c>
      <c r="Q614" s="158">
        <v>4900</v>
      </c>
      <c r="R614" s="259" t="s">
        <v>379</v>
      </c>
      <c r="S614" s="196" t="s">
        <v>350</v>
      </c>
      <c r="T614" s="98" t="str">
        <f t="shared" si="13"/>
        <v>4900Ultima Plus Mk7 4M</v>
      </c>
    </row>
    <row r="615" spans="14:20" ht="13.5" thickBot="1">
      <c r="N615" s="3">
        <v>598</v>
      </c>
      <c r="O615" s="158">
        <v>43</v>
      </c>
      <c r="P615" s="472" t="s">
        <v>592</v>
      </c>
      <c r="Q615" s="158">
        <v>4900</v>
      </c>
      <c r="R615" s="259" t="s">
        <v>379</v>
      </c>
      <c r="S615" s="373" t="s">
        <v>351</v>
      </c>
      <c r="T615" s="98" t="str">
        <f t="shared" si="13"/>
        <v>4900Ultima Plus Mk7 4M R/A</v>
      </c>
    </row>
    <row r="616" spans="14:20">
      <c r="N616" s="3">
        <v>599</v>
      </c>
      <c r="O616" s="158">
        <v>44</v>
      </c>
      <c r="P616" s="472" t="s">
        <v>592</v>
      </c>
      <c r="Q616" s="158" t="s">
        <v>391</v>
      </c>
      <c r="R616" s="259" t="s">
        <v>379</v>
      </c>
      <c r="S616" s="370" t="s">
        <v>348</v>
      </c>
      <c r="T616" s="98" t="str">
        <f t="shared" si="13"/>
        <v>4900 DCUltima Plus Mk7 2M</v>
      </c>
    </row>
    <row r="617" spans="14:20">
      <c r="N617" s="3">
        <v>600</v>
      </c>
      <c r="O617" s="158">
        <v>44</v>
      </c>
      <c r="P617" s="472" t="s">
        <v>592</v>
      </c>
      <c r="Q617" s="158" t="s">
        <v>391</v>
      </c>
      <c r="R617" s="259" t="s">
        <v>379</v>
      </c>
      <c r="S617" s="196" t="s">
        <v>349</v>
      </c>
      <c r="T617" s="98" t="str">
        <f t="shared" si="13"/>
        <v>4900 DCUltima Plus Mk7 2M R/A</v>
      </c>
    </row>
    <row r="618" spans="14:20">
      <c r="N618" s="3">
        <v>601</v>
      </c>
      <c r="O618" s="158">
        <v>44</v>
      </c>
      <c r="P618" s="472" t="s">
        <v>592</v>
      </c>
      <c r="Q618" s="158" t="s">
        <v>391</v>
      </c>
      <c r="R618" s="259" t="s">
        <v>379</v>
      </c>
      <c r="S618" s="196" t="s">
        <v>350</v>
      </c>
      <c r="T618" s="98" t="str">
        <f t="shared" si="13"/>
        <v>4900 DCUltima Plus Mk7 4M</v>
      </c>
    </row>
    <row r="619" spans="14:20" ht="13.5" thickBot="1">
      <c r="N619" s="3">
        <v>602</v>
      </c>
      <c r="O619" s="158">
        <v>44</v>
      </c>
      <c r="P619" s="472" t="s">
        <v>592</v>
      </c>
      <c r="Q619" s="158" t="s">
        <v>391</v>
      </c>
      <c r="R619" s="259" t="s">
        <v>379</v>
      </c>
      <c r="S619" s="373" t="s">
        <v>351</v>
      </c>
      <c r="T619" s="98" t="str">
        <f t="shared" si="13"/>
        <v>4900 DCUltima Plus Mk7 4M R/A</v>
      </c>
    </row>
    <row r="620" spans="14:20">
      <c r="N620" s="3">
        <v>603</v>
      </c>
      <c r="O620" s="158">
        <v>45</v>
      </c>
      <c r="P620" s="472" t="s">
        <v>592</v>
      </c>
      <c r="Q620" s="158">
        <v>7900</v>
      </c>
      <c r="R620" s="259" t="s">
        <v>379</v>
      </c>
      <c r="S620" s="370" t="s">
        <v>348</v>
      </c>
      <c r="T620" s="98" t="str">
        <f t="shared" si="13"/>
        <v>7900Ultima Plus Mk7 2M</v>
      </c>
    </row>
    <row r="621" spans="14:20">
      <c r="N621" s="3">
        <v>604</v>
      </c>
      <c r="O621" s="158">
        <v>45</v>
      </c>
      <c r="P621" s="472" t="s">
        <v>592</v>
      </c>
      <c r="Q621" s="158">
        <v>7900</v>
      </c>
      <c r="R621" s="259" t="s">
        <v>379</v>
      </c>
      <c r="S621" s="196" t="s">
        <v>349</v>
      </c>
      <c r="T621" s="98" t="str">
        <f t="shared" si="13"/>
        <v>7900Ultima Plus Mk7 2M R/A</v>
      </c>
    </row>
    <row r="622" spans="14:20">
      <c r="N622" s="3">
        <v>605</v>
      </c>
      <c r="O622" s="158">
        <v>45</v>
      </c>
      <c r="P622" s="472" t="s">
        <v>592</v>
      </c>
      <c r="Q622" s="158">
        <v>7900</v>
      </c>
      <c r="R622" s="259" t="s">
        <v>379</v>
      </c>
      <c r="S622" s="196" t="s">
        <v>350</v>
      </c>
      <c r="T622" s="98" t="str">
        <f t="shared" si="13"/>
        <v>7900Ultima Plus Mk7 4M</v>
      </c>
    </row>
    <row r="623" spans="14:20" ht="13.5" thickBot="1">
      <c r="N623" s="3">
        <v>606</v>
      </c>
      <c r="O623" s="158">
        <v>45</v>
      </c>
      <c r="P623" s="472" t="s">
        <v>592</v>
      </c>
      <c r="Q623" s="158">
        <v>7900</v>
      </c>
      <c r="R623" s="259" t="s">
        <v>379</v>
      </c>
      <c r="S623" s="373" t="s">
        <v>351</v>
      </c>
      <c r="T623" s="98" t="str">
        <f t="shared" si="13"/>
        <v>7900Ultima Plus Mk7 4M R/A</v>
      </c>
    </row>
    <row r="624" spans="14:20">
      <c r="N624" s="3">
        <v>607</v>
      </c>
      <c r="O624" s="158">
        <v>46</v>
      </c>
      <c r="P624" s="472" t="s">
        <v>592</v>
      </c>
      <c r="Q624" s="158" t="s">
        <v>316</v>
      </c>
      <c r="R624" s="259" t="s">
        <v>379</v>
      </c>
      <c r="S624" s="370" t="s">
        <v>348</v>
      </c>
      <c r="T624" s="98" t="str">
        <f t="shared" si="13"/>
        <v>7900 SpectrumUltima Plus Mk7 2M</v>
      </c>
    </row>
    <row r="625" spans="14:20">
      <c r="N625" s="3">
        <v>608</v>
      </c>
      <c r="O625" s="158">
        <v>46</v>
      </c>
      <c r="P625" s="472" t="s">
        <v>592</v>
      </c>
      <c r="Q625" s="158" t="s">
        <v>316</v>
      </c>
      <c r="R625" s="259" t="s">
        <v>379</v>
      </c>
      <c r="S625" s="196" t="s">
        <v>349</v>
      </c>
      <c r="T625" s="98" t="str">
        <f t="shared" si="13"/>
        <v>7900 SpectrumUltima Plus Mk7 2M R/A</v>
      </c>
    </row>
    <row r="626" spans="14:20">
      <c r="N626" s="3">
        <v>609</v>
      </c>
      <c r="O626" s="158">
        <v>46</v>
      </c>
      <c r="P626" s="472" t="s">
        <v>592</v>
      </c>
      <c r="Q626" s="158" t="s">
        <v>316</v>
      </c>
      <c r="R626" s="259" t="s">
        <v>379</v>
      </c>
      <c r="S626" s="196" t="s">
        <v>350</v>
      </c>
      <c r="T626" s="98" t="str">
        <f t="shared" si="13"/>
        <v>7900 SpectrumUltima Plus Mk7 4M</v>
      </c>
    </row>
    <row r="627" spans="14:20" ht="13.5" thickBot="1">
      <c r="N627" s="3">
        <v>610</v>
      </c>
      <c r="O627" s="158">
        <v>46</v>
      </c>
      <c r="P627" s="472" t="s">
        <v>592</v>
      </c>
      <c r="Q627" s="158" t="s">
        <v>316</v>
      </c>
      <c r="R627" s="259" t="s">
        <v>379</v>
      </c>
      <c r="S627" s="373" t="s">
        <v>351</v>
      </c>
      <c r="T627" s="98" t="str">
        <f t="shared" si="13"/>
        <v>7900 SpectrumUltima Plus Mk7 4M R/A</v>
      </c>
    </row>
    <row r="628" spans="14:20">
      <c r="N628" s="3">
        <v>611</v>
      </c>
      <c r="O628" s="158">
        <v>62</v>
      </c>
      <c r="P628" s="472" t="s">
        <v>593</v>
      </c>
      <c r="Q628" s="158" t="s">
        <v>316</v>
      </c>
      <c r="R628" s="259" t="s">
        <v>379</v>
      </c>
      <c r="S628" s="370" t="s">
        <v>348</v>
      </c>
      <c r="T628" s="98" t="str">
        <f t="shared" si="13"/>
        <v>7900 SpectrumUltima Plus Mk7 2M</v>
      </c>
    </row>
    <row r="629" spans="14:20">
      <c r="N629" s="3">
        <v>612</v>
      </c>
      <c r="O629" s="158">
        <v>62</v>
      </c>
      <c r="P629" s="472" t="s">
        <v>593</v>
      </c>
      <c r="Q629" s="158" t="s">
        <v>316</v>
      </c>
      <c r="R629" s="259" t="s">
        <v>379</v>
      </c>
      <c r="S629" s="196" t="s">
        <v>349</v>
      </c>
      <c r="T629" s="98" t="str">
        <f t="shared" si="13"/>
        <v>7900 SpectrumUltima Plus Mk7 2M R/A</v>
      </c>
    </row>
    <row r="630" spans="14:20">
      <c r="N630" s="3">
        <v>613</v>
      </c>
      <c r="O630" s="158">
        <v>62</v>
      </c>
      <c r="P630" s="472" t="s">
        <v>593</v>
      </c>
      <c r="Q630" s="158" t="s">
        <v>316</v>
      </c>
      <c r="R630" s="259" t="s">
        <v>379</v>
      </c>
      <c r="S630" s="196" t="s">
        <v>350</v>
      </c>
      <c r="T630" s="98" t="str">
        <f t="shared" si="13"/>
        <v>7900 SpectrumUltima Plus Mk7 4M</v>
      </c>
    </row>
    <row r="631" spans="14:20" ht="13.5" thickBot="1">
      <c r="N631" s="3">
        <v>614</v>
      </c>
      <c r="O631" s="158">
        <v>62</v>
      </c>
      <c r="P631" s="472" t="s">
        <v>593</v>
      </c>
      <c r="Q631" s="158" t="s">
        <v>316</v>
      </c>
      <c r="R631" s="259" t="s">
        <v>379</v>
      </c>
      <c r="S631" s="373" t="s">
        <v>351</v>
      </c>
      <c r="T631" s="98" t="str">
        <f t="shared" si="13"/>
        <v>7900 SpectrumUltima Plus Mk7 4M R/A</v>
      </c>
    </row>
    <row r="632" spans="14:20">
      <c r="N632" s="3">
        <v>615</v>
      </c>
      <c r="O632" s="158">
        <v>65</v>
      </c>
      <c r="P632" s="472" t="s">
        <v>594</v>
      </c>
      <c r="Q632" s="158">
        <v>4900</v>
      </c>
      <c r="R632" s="259" t="s">
        <v>379</v>
      </c>
      <c r="S632" s="370" t="s">
        <v>348</v>
      </c>
      <c r="T632" s="98" t="str">
        <f t="shared" si="13"/>
        <v>4900Ultima Plus Mk7 2M</v>
      </c>
    </row>
    <row r="633" spans="14:20">
      <c r="N633" s="3">
        <v>616</v>
      </c>
      <c r="O633" s="158">
        <v>65</v>
      </c>
      <c r="P633" s="472" t="s">
        <v>594</v>
      </c>
      <c r="Q633" s="158">
        <v>4900</v>
      </c>
      <c r="R633" s="259" t="s">
        <v>379</v>
      </c>
      <c r="S633" s="196" t="s">
        <v>349</v>
      </c>
      <c r="T633" s="98" t="str">
        <f t="shared" si="13"/>
        <v>4900Ultima Plus Mk7 2M R/A</v>
      </c>
    </row>
    <row r="634" spans="14:20">
      <c r="N634" s="3">
        <v>617</v>
      </c>
      <c r="O634" s="158">
        <v>65</v>
      </c>
      <c r="P634" s="472" t="s">
        <v>594</v>
      </c>
      <c r="Q634" s="158">
        <v>4900</v>
      </c>
      <c r="R634" s="259" t="s">
        <v>379</v>
      </c>
      <c r="S634" s="196" t="s">
        <v>350</v>
      </c>
      <c r="T634" s="98" t="str">
        <f t="shared" si="13"/>
        <v>4900Ultima Plus Mk7 4M</v>
      </c>
    </row>
    <row r="635" spans="14:20" ht="13.5" thickBot="1">
      <c r="N635" s="3">
        <v>618</v>
      </c>
      <c r="O635" s="158">
        <v>65</v>
      </c>
      <c r="P635" s="472" t="s">
        <v>594</v>
      </c>
      <c r="Q635" s="158">
        <v>4900</v>
      </c>
      <c r="R635" s="259" t="s">
        <v>379</v>
      </c>
      <c r="S635" s="373" t="s">
        <v>351</v>
      </c>
      <c r="T635" s="98" t="str">
        <f t="shared" si="13"/>
        <v>4900Ultima Plus Mk7 4M R/A</v>
      </c>
    </row>
    <row r="636" spans="14:20">
      <c r="N636" s="3">
        <v>619</v>
      </c>
      <c r="O636" s="158">
        <v>66</v>
      </c>
      <c r="P636" s="472" t="s">
        <v>594</v>
      </c>
      <c r="Q636" s="158" t="s">
        <v>391</v>
      </c>
      <c r="R636" s="259" t="s">
        <v>379</v>
      </c>
      <c r="S636" s="370" t="s">
        <v>348</v>
      </c>
      <c r="T636" s="98" t="str">
        <f t="shared" si="13"/>
        <v>4900 DCUltima Plus Mk7 2M</v>
      </c>
    </row>
    <row r="637" spans="14:20">
      <c r="N637" s="3">
        <v>620</v>
      </c>
      <c r="O637" s="158">
        <v>66</v>
      </c>
      <c r="P637" s="472" t="s">
        <v>594</v>
      </c>
      <c r="Q637" s="158" t="s">
        <v>391</v>
      </c>
      <c r="R637" s="259" t="s">
        <v>379</v>
      </c>
      <c r="S637" s="196" t="s">
        <v>349</v>
      </c>
      <c r="T637" s="98" t="str">
        <f t="shared" si="13"/>
        <v>4900 DCUltima Plus Mk7 2M R/A</v>
      </c>
    </row>
    <row r="638" spans="14:20">
      <c r="N638" s="3">
        <v>621</v>
      </c>
      <c r="O638" s="158">
        <v>66</v>
      </c>
      <c r="P638" s="472" t="s">
        <v>594</v>
      </c>
      <c r="Q638" s="158" t="s">
        <v>391</v>
      </c>
      <c r="R638" s="259" t="s">
        <v>379</v>
      </c>
      <c r="S638" s="196" t="s">
        <v>350</v>
      </c>
      <c r="T638" s="98" t="str">
        <f t="shared" si="13"/>
        <v>4900 DCUltima Plus Mk7 4M</v>
      </c>
    </row>
    <row r="639" spans="14:20" ht="13.5" thickBot="1">
      <c r="N639" s="3">
        <v>622</v>
      </c>
      <c r="O639" s="158">
        <v>66</v>
      </c>
      <c r="P639" s="472" t="s">
        <v>594</v>
      </c>
      <c r="Q639" s="158" t="s">
        <v>391</v>
      </c>
      <c r="R639" s="259" t="s">
        <v>379</v>
      </c>
      <c r="S639" s="373" t="s">
        <v>351</v>
      </c>
      <c r="T639" s="98" t="str">
        <f t="shared" si="13"/>
        <v>4900 DCUltima Plus Mk7 4M R/A</v>
      </c>
    </row>
    <row r="640" spans="14:20">
      <c r="N640" s="3">
        <v>623</v>
      </c>
      <c r="O640" s="158">
        <v>67</v>
      </c>
      <c r="P640" s="472" t="s">
        <v>594</v>
      </c>
      <c r="Q640" s="158">
        <v>7900</v>
      </c>
      <c r="R640" s="259" t="s">
        <v>379</v>
      </c>
      <c r="S640" s="370" t="s">
        <v>348</v>
      </c>
      <c r="T640" s="98" t="str">
        <f t="shared" si="13"/>
        <v>7900Ultima Plus Mk7 2M</v>
      </c>
    </row>
    <row r="641" spans="14:20">
      <c r="N641" s="3">
        <v>624</v>
      </c>
      <c r="O641" s="158">
        <v>67</v>
      </c>
      <c r="P641" s="472" t="s">
        <v>594</v>
      </c>
      <c r="Q641" s="158">
        <v>7900</v>
      </c>
      <c r="R641" s="259" t="s">
        <v>379</v>
      </c>
      <c r="S641" s="196" t="s">
        <v>349</v>
      </c>
      <c r="T641" s="98" t="str">
        <f t="shared" si="13"/>
        <v>7900Ultima Plus Mk7 2M R/A</v>
      </c>
    </row>
    <row r="642" spans="14:20">
      <c r="N642" s="3">
        <v>625</v>
      </c>
      <c r="O642" s="158">
        <v>67</v>
      </c>
      <c r="P642" s="472" t="s">
        <v>594</v>
      </c>
      <c r="Q642" s="158">
        <v>7900</v>
      </c>
      <c r="R642" s="259" t="s">
        <v>379</v>
      </c>
      <c r="S642" s="196" t="s">
        <v>350</v>
      </c>
      <c r="T642" s="98" t="str">
        <f t="shared" si="13"/>
        <v>7900Ultima Plus Mk7 4M</v>
      </c>
    </row>
    <row r="643" spans="14:20" ht="13.5" thickBot="1">
      <c r="N643" s="3">
        <v>626</v>
      </c>
      <c r="O643" s="158">
        <v>67</v>
      </c>
      <c r="P643" s="472" t="s">
        <v>594</v>
      </c>
      <c r="Q643" s="158">
        <v>7900</v>
      </c>
      <c r="R643" s="259" t="s">
        <v>379</v>
      </c>
      <c r="S643" s="373" t="s">
        <v>351</v>
      </c>
      <c r="T643" s="98" t="str">
        <f t="shared" si="13"/>
        <v>7900Ultima Plus Mk7 4M R/A</v>
      </c>
    </row>
    <row r="644" spans="14:20">
      <c r="N644" s="3">
        <v>627</v>
      </c>
      <c r="O644" s="158">
        <v>68</v>
      </c>
      <c r="P644" s="472" t="s">
        <v>594</v>
      </c>
      <c r="Q644" s="158" t="s">
        <v>316</v>
      </c>
      <c r="R644" s="259" t="s">
        <v>379</v>
      </c>
      <c r="S644" s="370" t="s">
        <v>348</v>
      </c>
      <c r="T644" s="98" t="str">
        <f t="shared" si="13"/>
        <v>7900 SpectrumUltima Plus Mk7 2M</v>
      </c>
    </row>
    <row r="645" spans="14:20">
      <c r="N645" s="3">
        <v>628</v>
      </c>
      <c r="O645" s="158">
        <v>68</v>
      </c>
      <c r="P645" s="472" t="s">
        <v>594</v>
      </c>
      <c r="Q645" s="158" t="s">
        <v>316</v>
      </c>
      <c r="R645" s="259" t="s">
        <v>379</v>
      </c>
      <c r="S645" s="196" t="s">
        <v>349</v>
      </c>
      <c r="T645" s="98" t="str">
        <f t="shared" si="13"/>
        <v>7900 SpectrumUltima Plus Mk7 2M R/A</v>
      </c>
    </row>
    <row r="646" spans="14:20">
      <c r="N646" s="3">
        <v>629</v>
      </c>
      <c r="O646" s="158">
        <v>68</v>
      </c>
      <c r="P646" s="472" t="s">
        <v>594</v>
      </c>
      <c r="Q646" s="158" t="s">
        <v>316</v>
      </c>
      <c r="R646" s="259" t="s">
        <v>379</v>
      </c>
      <c r="S646" s="196" t="s">
        <v>350</v>
      </c>
      <c r="T646" s="98" t="str">
        <f t="shared" si="13"/>
        <v>7900 SpectrumUltima Plus Mk7 4M</v>
      </c>
    </row>
    <row r="647" spans="14:20" ht="13.5" thickBot="1">
      <c r="N647" s="3">
        <v>630</v>
      </c>
      <c r="O647" s="158">
        <v>68</v>
      </c>
      <c r="P647" s="472" t="s">
        <v>594</v>
      </c>
      <c r="Q647" s="158" t="s">
        <v>316</v>
      </c>
      <c r="R647" s="259" t="s">
        <v>379</v>
      </c>
      <c r="S647" s="373" t="s">
        <v>351</v>
      </c>
      <c r="T647" s="98" t="str">
        <f t="shared" si="13"/>
        <v>7900 SpectrumUltima Plus Mk7 4M R/A</v>
      </c>
    </row>
    <row r="648" spans="14:20">
      <c r="N648" s="3">
        <v>631</v>
      </c>
      <c r="O648" s="158">
        <v>78</v>
      </c>
      <c r="P648" s="472" t="s">
        <v>595</v>
      </c>
      <c r="Q648" s="158">
        <v>4900</v>
      </c>
      <c r="R648" s="259" t="s">
        <v>379</v>
      </c>
      <c r="S648" s="370" t="s">
        <v>348</v>
      </c>
      <c r="T648" s="98" t="str">
        <f t="shared" si="13"/>
        <v>4900Ultima Plus Mk7 2M</v>
      </c>
    </row>
    <row r="649" spans="14:20">
      <c r="N649" s="3">
        <v>632</v>
      </c>
      <c r="O649" s="158">
        <v>78</v>
      </c>
      <c r="P649" s="472" t="s">
        <v>595</v>
      </c>
      <c r="Q649" s="158">
        <v>4900</v>
      </c>
      <c r="R649" s="259" t="s">
        <v>379</v>
      </c>
      <c r="S649" s="196" t="s">
        <v>349</v>
      </c>
      <c r="T649" s="98" t="str">
        <f t="shared" si="13"/>
        <v>4900Ultima Plus Mk7 2M R/A</v>
      </c>
    </row>
    <row r="650" spans="14:20">
      <c r="N650" s="3">
        <v>633</v>
      </c>
      <c r="O650" s="158">
        <v>78</v>
      </c>
      <c r="P650" s="472" t="s">
        <v>595</v>
      </c>
      <c r="Q650" s="158">
        <v>4900</v>
      </c>
      <c r="R650" s="259" t="s">
        <v>379</v>
      </c>
      <c r="S650" s="196" t="s">
        <v>350</v>
      </c>
      <c r="T650" s="98" t="str">
        <f t="shared" si="13"/>
        <v>4900Ultima Plus Mk7 4M</v>
      </c>
    </row>
    <row r="651" spans="14:20" ht="13.5" thickBot="1">
      <c r="N651" s="3">
        <v>634</v>
      </c>
      <c r="O651" s="158">
        <v>78</v>
      </c>
      <c r="P651" s="472" t="s">
        <v>595</v>
      </c>
      <c r="Q651" s="158">
        <v>4900</v>
      </c>
      <c r="R651" s="259" t="s">
        <v>379</v>
      </c>
      <c r="S651" s="373" t="s">
        <v>351</v>
      </c>
      <c r="T651" s="98" t="str">
        <f t="shared" si="13"/>
        <v>4900Ultima Plus Mk7 4M R/A</v>
      </c>
    </row>
    <row r="652" spans="14:20">
      <c r="N652" s="3">
        <v>635</v>
      </c>
      <c r="O652" s="158">
        <v>79</v>
      </c>
      <c r="P652" s="472" t="s">
        <v>595</v>
      </c>
      <c r="Q652" s="158" t="s">
        <v>391</v>
      </c>
      <c r="R652" s="259" t="s">
        <v>379</v>
      </c>
      <c r="S652" s="370" t="s">
        <v>348</v>
      </c>
      <c r="T652" s="98" t="str">
        <f t="shared" si="13"/>
        <v>4900 DCUltima Plus Mk7 2M</v>
      </c>
    </row>
    <row r="653" spans="14:20">
      <c r="N653" s="3">
        <v>636</v>
      </c>
      <c r="O653" s="158">
        <v>79</v>
      </c>
      <c r="P653" s="472" t="s">
        <v>595</v>
      </c>
      <c r="Q653" s="158" t="s">
        <v>391</v>
      </c>
      <c r="R653" s="259" t="s">
        <v>379</v>
      </c>
      <c r="S653" s="196" t="s">
        <v>349</v>
      </c>
      <c r="T653" s="98" t="str">
        <f t="shared" si="13"/>
        <v>4900 DCUltima Plus Mk7 2M R/A</v>
      </c>
    </row>
    <row r="654" spans="14:20">
      <c r="N654" s="3">
        <v>637</v>
      </c>
      <c r="O654" s="158">
        <v>79</v>
      </c>
      <c r="P654" s="472" t="s">
        <v>595</v>
      </c>
      <c r="Q654" s="158" t="s">
        <v>391</v>
      </c>
      <c r="R654" s="259" t="s">
        <v>379</v>
      </c>
      <c r="S654" s="196" t="s">
        <v>350</v>
      </c>
      <c r="T654" s="98" t="str">
        <f t="shared" si="13"/>
        <v>4900 DCUltima Plus Mk7 4M</v>
      </c>
    </row>
    <row r="655" spans="14:20" ht="13.5" thickBot="1">
      <c r="N655" s="3">
        <v>638</v>
      </c>
      <c r="O655" s="158">
        <v>79</v>
      </c>
      <c r="P655" s="472" t="s">
        <v>595</v>
      </c>
      <c r="Q655" s="158" t="s">
        <v>391</v>
      </c>
      <c r="R655" s="259" t="s">
        <v>379</v>
      </c>
      <c r="S655" s="373" t="s">
        <v>351</v>
      </c>
      <c r="T655" s="98" t="str">
        <f t="shared" si="13"/>
        <v>4900 DCUltima Plus Mk7 4M R/A</v>
      </c>
    </row>
    <row r="656" spans="14:20">
      <c r="N656" s="3">
        <v>639</v>
      </c>
      <c r="O656" s="158">
        <v>80</v>
      </c>
      <c r="P656" s="472" t="s">
        <v>595</v>
      </c>
      <c r="Q656" s="158">
        <v>7900</v>
      </c>
      <c r="R656" s="259" t="s">
        <v>379</v>
      </c>
      <c r="S656" s="370" t="s">
        <v>348</v>
      </c>
      <c r="T656" s="98" t="str">
        <f t="shared" si="13"/>
        <v>7900Ultima Plus Mk7 2M</v>
      </c>
    </row>
    <row r="657" spans="14:20">
      <c r="N657" s="3">
        <v>640</v>
      </c>
      <c r="O657" s="158">
        <v>80</v>
      </c>
      <c r="P657" s="472" t="s">
        <v>595</v>
      </c>
      <c r="Q657" s="158">
        <v>7900</v>
      </c>
      <c r="R657" s="259" t="s">
        <v>379</v>
      </c>
      <c r="S657" s="196" t="s">
        <v>349</v>
      </c>
      <c r="T657" s="98" t="str">
        <f t="shared" si="13"/>
        <v>7900Ultima Plus Mk7 2M R/A</v>
      </c>
    </row>
    <row r="658" spans="14:20">
      <c r="N658" s="3">
        <v>641</v>
      </c>
      <c r="O658" s="158">
        <v>80</v>
      </c>
      <c r="P658" s="472" t="s">
        <v>595</v>
      </c>
      <c r="Q658" s="158">
        <v>7900</v>
      </c>
      <c r="R658" s="259" t="s">
        <v>379</v>
      </c>
      <c r="S658" s="196" t="s">
        <v>350</v>
      </c>
      <c r="T658" s="98" t="str">
        <f t="shared" si="13"/>
        <v>7900Ultima Plus Mk7 4M</v>
      </c>
    </row>
    <row r="659" spans="14:20" ht="13.5" thickBot="1">
      <c r="N659" s="3">
        <v>642</v>
      </c>
      <c r="O659" s="158">
        <v>80</v>
      </c>
      <c r="P659" s="472" t="s">
        <v>595</v>
      </c>
      <c r="Q659" s="158">
        <v>7900</v>
      </c>
      <c r="R659" s="259" t="s">
        <v>379</v>
      </c>
      <c r="S659" s="373" t="s">
        <v>351</v>
      </c>
      <c r="T659" s="98" t="str">
        <f t="shared" ref="T659:T722" si="14">Q659&amp;S659</f>
        <v>7900Ultima Plus Mk7 4M R/A</v>
      </c>
    </row>
    <row r="660" spans="14:20">
      <c r="N660" s="3">
        <v>643</v>
      </c>
      <c r="O660" s="158">
        <v>81</v>
      </c>
      <c r="P660" s="472" t="s">
        <v>595</v>
      </c>
      <c r="Q660" s="158" t="s">
        <v>316</v>
      </c>
      <c r="R660" s="259" t="s">
        <v>379</v>
      </c>
      <c r="S660" s="370" t="s">
        <v>348</v>
      </c>
      <c r="T660" s="98" t="str">
        <f t="shared" si="14"/>
        <v>7900 SpectrumUltima Plus Mk7 2M</v>
      </c>
    </row>
    <row r="661" spans="14:20">
      <c r="N661" s="3">
        <v>644</v>
      </c>
      <c r="O661" s="158">
        <v>81</v>
      </c>
      <c r="P661" s="472" t="s">
        <v>595</v>
      </c>
      <c r="Q661" s="158" t="s">
        <v>316</v>
      </c>
      <c r="R661" s="259" t="s">
        <v>379</v>
      </c>
      <c r="S661" s="196" t="s">
        <v>349</v>
      </c>
      <c r="T661" s="98" t="str">
        <f t="shared" si="14"/>
        <v>7900 SpectrumUltima Plus Mk7 2M R/A</v>
      </c>
    </row>
    <row r="662" spans="14:20">
      <c r="N662" s="3">
        <v>645</v>
      </c>
      <c r="O662" s="158">
        <v>81</v>
      </c>
      <c r="P662" s="472" t="s">
        <v>595</v>
      </c>
      <c r="Q662" s="158" t="s">
        <v>316</v>
      </c>
      <c r="R662" s="259" t="s">
        <v>379</v>
      </c>
      <c r="S662" s="196" t="s">
        <v>350</v>
      </c>
      <c r="T662" s="98" t="str">
        <f t="shared" si="14"/>
        <v>7900 SpectrumUltima Plus Mk7 4M</v>
      </c>
    </row>
    <row r="663" spans="14:20" ht="13.5" thickBot="1">
      <c r="N663" s="3">
        <v>646</v>
      </c>
      <c r="O663" s="158">
        <v>81</v>
      </c>
      <c r="P663" s="472" t="s">
        <v>595</v>
      </c>
      <c r="Q663" s="158" t="s">
        <v>316</v>
      </c>
      <c r="R663" s="259" t="s">
        <v>379</v>
      </c>
      <c r="S663" s="373" t="s">
        <v>351</v>
      </c>
      <c r="T663" s="98" t="str">
        <f t="shared" si="14"/>
        <v>7900 SpectrumUltima Plus Mk7 4M R/A</v>
      </c>
    </row>
    <row r="664" spans="14:20">
      <c r="N664" s="3">
        <v>647</v>
      </c>
      <c r="O664" s="158">
        <v>91</v>
      </c>
      <c r="P664" s="472" t="s">
        <v>596</v>
      </c>
      <c r="Q664" s="158">
        <v>4900</v>
      </c>
      <c r="R664" s="259" t="s">
        <v>379</v>
      </c>
      <c r="S664" s="370" t="s">
        <v>348</v>
      </c>
      <c r="T664" s="98" t="str">
        <f t="shared" si="14"/>
        <v>4900Ultima Plus Mk7 2M</v>
      </c>
    </row>
    <row r="665" spans="14:20">
      <c r="N665" s="3">
        <v>648</v>
      </c>
      <c r="O665" s="158">
        <v>91</v>
      </c>
      <c r="P665" s="472" t="s">
        <v>596</v>
      </c>
      <c r="Q665" s="158">
        <v>4900</v>
      </c>
      <c r="R665" s="259" t="s">
        <v>379</v>
      </c>
      <c r="S665" s="196" t="s">
        <v>349</v>
      </c>
      <c r="T665" s="98" t="str">
        <f t="shared" si="14"/>
        <v>4900Ultima Plus Mk7 2M R/A</v>
      </c>
    </row>
    <row r="666" spans="14:20">
      <c r="N666" s="3">
        <v>649</v>
      </c>
      <c r="O666" s="158">
        <v>91</v>
      </c>
      <c r="P666" s="472" t="s">
        <v>596</v>
      </c>
      <c r="Q666" s="158">
        <v>4900</v>
      </c>
      <c r="R666" s="259" t="s">
        <v>379</v>
      </c>
      <c r="S666" s="196" t="s">
        <v>350</v>
      </c>
      <c r="T666" s="98" t="str">
        <f t="shared" si="14"/>
        <v>4900Ultima Plus Mk7 4M</v>
      </c>
    </row>
    <row r="667" spans="14:20" ht="13.5" thickBot="1">
      <c r="N667" s="3">
        <v>650</v>
      </c>
      <c r="O667" s="158">
        <v>91</v>
      </c>
      <c r="P667" s="472" t="s">
        <v>596</v>
      </c>
      <c r="Q667" s="158">
        <v>4900</v>
      </c>
      <c r="R667" s="259" t="s">
        <v>379</v>
      </c>
      <c r="S667" s="373" t="s">
        <v>351</v>
      </c>
      <c r="T667" s="98" t="str">
        <f t="shared" si="14"/>
        <v>4900Ultima Plus Mk7 4M R/A</v>
      </c>
    </row>
    <row r="668" spans="14:20">
      <c r="N668" s="3">
        <v>651</v>
      </c>
      <c r="O668" s="158">
        <v>92</v>
      </c>
      <c r="P668" s="472" t="s">
        <v>596</v>
      </c>
      <c r="Q668" s="158" t="s">
        <v>391</v>
      </c>
      <c r="R668" s="259" t="s">
        <v>379</v>
      </c>
      <c r="S668" s="370" t="s">
        <v>348</v>
      </c>
      <c r="T668" s="98" t="str">
        <f t="shared" si="14"/>
        <v>4900 DCUltima Plus Mk7 2M</v>
      </c>
    </row>
    <row r="669" spans="14:20">
      <c r="N669" s="3">
        <v>652</v>
      </c>
      <c r="O669" s="158">
        <v>92</v>
      </c>
      <c r="P669" s="472" t="s">
        <v>596</v>
      </c>
      <c r="Q669" s="158" t="s">
        <v>391</v>
      </c>
      <c r="R669" s="259" t="s">
        <v>379</v>
      </c>
      <c r="S669" s="196" t="s">
        <v>349</v>
      </c>
      <c r="T669" s="98" t="str">
        <f t="shared" si="14"/>
        <v>4900 DCUltima Plus Mk7 2M R/A</v>
      </c>
    </row>
    <row r="670" spans="14:20">
      <c r="N670" s="3">
        <v>653</v>
      </c>
      <c r="O670" s="158">
        <v>92</v>
      </c>
      <c r="P670" s="472" t="s">
        <v>596</v>
      </c>
      <c r="Q670" s="158" t="s">
        <v>391</v>
      </c>
      <c r="R670" s="259" t="s">
        <v>379</v>
      </c>
      <c r="S670" s="196" t="s">
        <v>350</v>
      </c>
      <c r="T670" s="98" t="str">
        <f t="shared" si="14"/>
        <v>4900 DCUltima Plus Mk7 4M</v>
      </c>
    </row>
    <row r="671" spans="14:20" ht="13.5" thickBot="1">
      <c r="N671" s="3">
        <v>654</v>
      </c>
      <c r="O671" s="158">
        <v>92</v>
      </c>
      <c r="P671" s="472" t="s">
        <v>596</v>
      </c>
      <c r="Q671" s="158" t="s">
        <v>391</v>
      </c>
      <c r="R671" s="259" t="s">
        <v>379</v>
      </c>
      <c r="S671" s="373" t="s">
        <v>351</v>
      </c>
      <c r="T671" s="98" t="str">
        <f t="shared" si="14"/>
        <v>4900 DCUltima Plus Mk7 4M R/A</v>
      </c>
    </row>
    <row r="672" spans="14:20">
      <c r="N672" s="3">
        <v>655</v>
      </c>
      <c r="O672" s="158">
        <v>93</v>
      </c>
      <c r="P672" s="472" t="s">
        <v>596</v>
      </c>
      <c r="Q672" s="158">
        <v>7900</v>
      </c>
      <c r="R672" s="259" t="s">
        <v>379</v>
      </c>
      <c r="S672" s="370" t="s">
        <v>348</v>
      </c>
      <c r="T672" s="98" t="str">
        <f t="shared" si="14"/>
        <v>7900Ultima Plus Mk7 2M</v>
      </c>
    </row>
    <row r="673" spans="14:20">
      <c r="N673" s="3">
        <v>656</v>
      </c>
      <c r="O673" s="158">
        <v>93</v>
      </c>
      <c r="P673" s="472" t="s">
        <v>596</v>
      </c>
      <c r="Q673" s="158">
        <v>7900</v>
      </c>
      <c r="R673" s="259" t="s">
        <v>379</v>
      </c>
      <c r="S673" s="196" t="s">
        <v>349</v>
      </c>
      <c r="T673" s="98" t="str">
        <f t="shared" si="14"/>
        <v>7900Ultima Plus Mk7 2M R/A</v>
      </c>
    </row>
    <row r="674" spans="14:20">
      <c r="N674" s="3">
        <v>657</v>
      </c>
      <c r="O674" s="158">
        <v>93</v>
      </c>
      <c r="P674" s="472" t="s">
        <v>596</v>
      </c>
      <c r="Q674" s="158">
        <v>7900</v>
      </c>
      <c r="R674" s="259" t="s">
        <v>379</v>
      </c>
      <c r="S674" s="196" t="s">
        <v>350</v>
      </c>
      <c r="T674" s="98" t="str">
        <f t="shared" si="14"/>
        <v>7900Ultima Plus Mk7 4M</v>
      </c>
    </row>
    <row r="675" spans="14:20" ht="13.5" thickBot="1">
      <c r="N675" s="3">
        <v>658</v>
      </c>
      <c r="O675" s="158">
        <v>93</v>
      </c>
      <c r="P675" s="472" t="s">
        <v>596</v>
      </c>
      <c r="Q675" s="158">
        <v>7900</v>
      </c>
      <c r="R675" s="259" t="s">
        <v>379</v>
      </c>
      <c r="S675" s="373" t="s">
        <v>351</v>
      </c>
      <c r="T675" s="98" t="str">
        <f t="shared" si="14"/>
        <v>7900Ultima Plus Mk7 4M R/A</v>
      </c>
    </row>
    <row r="676" spans="14:20">
      <c r="N676" s="3">
        <v>659</v>
      </c>
      <c r="O676" s="158">
        <v>94</v>
      </c>
      <c r="P676" s="472" t="s">
        <v>596</v>
      </c>
      <c r="Q676" s="158" t="s">
        <v>316</v>
      </c>
      <c r="R676" s="259" t="s">
        <v>379</v>
      </c>
      <c r="S676" s="370" t="s">
        <v>348</v>
      </c>
      <c r="T676" s="98" t="str">
        <f t="shared" si="14"/>
        <v>7900 SpectrumUltima Plus Mk7 2M</v>
      </c>
    </row>
    <row r="677" spans="14:20">
      <c r="N677" s="3">
        <v>660</v>
      </c>
      <c r="O677" s="158">
        <v>94</v>
      </c>
      <c r="P677" s="472" t="s">
        <v>596</v>
      </c>
      <c r="Q677" s="158" t="s">
        <v>316</v>
      </c>
      <c r="R677" s="259" t="s">
        <v>379</v>
      </c>
      <c r="S677" s="196" t="s">
        <v>349</v>
      </c>
      <c r="T677" s="98" t="str">
        <f t="shared" si="14"/>
        <v>7900 SpectrumUltima Plus Mk7 2M R/A</v>
      </c>
    </row>
    <row r="678" spans="14:20">
      <c r="N678" s="3">
        <v>661</v>
      </c>
      <c r="O678" s="158">
        <v>94</v>
      </c>
      <c r="P678" s="472" t="s">
        <v>596</v>
      </c>
      <c r="Q678" s="158" t="s">
        <v>316</v>
      </c>
      <c r="R678" s="259" t="s">
        <v>379</v>
      </c>
      <c r="S678" s="196" t="s">
        <v>350</v>
      </c>
      <c r="T678" s="98" t="str">
        <f t="shared" si="14"/>
        <v>7900 SpectrumUltima Plus Mk7 4M</v>
      </c>
    </row>
    <row r="679" spans="14:20" ht="13.5" thickBot="1">
      <c r="N679" s="3">
        <v>662</v>
      </c>
      <c r="O679" s="158">
        <v>94</v>
      </c>
      <c r="P679" s="472" t="s">
        <v>596</v>
      </c>
      <c r="Q679" s="158" t="s">
        <v>316</v>
      </c>
      <c r="R679" s="259" t="s">
        <v>379</v>
      </c>
      <c r="S679" s="373" t="s">
        <v>351</v>
      </c>
      <c r="T679" s="98" t="str">
        <f t="shared" si="14"/>
        <v>7900 SpectrumUltima Plus Mk7 4M R/A</v>
      </c>
    </row>
    <row r="680" spans="14:20">
      <c r="N680" s="3">
        <v>663</v>
      </c>
      <c r="O680" s="158">
        <v>110</v>
      </c>
      <c r="P680" s="472" t="s">
        <v>597</v>
      </c>
      <c r="Q680" s="158">
        <v>4900</v>
      </c>
      <c r="R680" s="259" t="s">
        <v>379</v>
      </c>
      <c r="S680" s="370" t="s">
        <v>348</v>
      </c>
      <c r="T680" s="98" t="str">
        <f t="shared" si="14"/>
        <v>4900Ultima Plus Mk7 2M</v>
      </c>
    </row>
    <row r="681" spans="14:20">
      <c r="N681" s="3">
        <v>664</v>
      </c>
      <c r="O681" s="158">
        <v>110</v>
      </c>
      <c r="P681" s="472" t="s">
        <v>597</v>
      </c>
      <c r="Q681" s="158">
        <v>4900</v>
      </c>
      <c r="R681" s="259" t="s">
        <v>379</v>
      </c>
      <c r="S681" s="196" t="s">
        <v>349</v>
      </c>
      <c r="T681" s="98" t="str">
        <f t="shared" si="14"/>
        <v>4900Ultima Plus Mk7 2M R/A</v>
      </c>
    </row>
    <row r="682" spans="14:20">
      <c r="N682" s="3">
        <v>665</v>
      </c>
      <c r="O682" s="158">
        <v>110</v>
      </c>
      <c r="P682" s="472" t="s">
        <v>597</v>
      </c>
      <c r="Q682" s="158">
        <v>4900</v>
      </c>
      <c r="R682" s="259" t="s">
        <v>379</v>
      </c>
      <c r="S682" s="196" t="s">
        <v>350</v>
      </c>
      <c r="T682" s="98" t="str">
        <f t="shared" si="14"/>
        <v>4900Ultima Plus Mk7 4M</v>
      </c>
    </row>
    <row r="683" spans="14:20" ht="13.5" thickBot="1">
      <c r="N683" s="3">
        <v>666</v>
      </c>
      <c r="O683" s="158">
        <v>110</v>
      </c>
      <c r="P683" s="472" t="s">
        <v>597</v>
      </c>
      <c r="Q683" s="158">
        <v>4900</v>
      </c>
      <c r="R683" s="259" t="s">
        <v>379</v>
      </c>
      <c r="S683" s="373" t="s">
        <v>351</v>
      </c>
      <c r="T683" s="98" t="str">
        <f t="shared" si="14"/>
        <v>4900Ultima Plus Mk7 4M R/A</v>
      </c>
    </row>
    <row r="684" spans="14:20">
      <c r="N684" s="3">
        <v>667</v>
      </c>
      <c r="O684" s="158">
        <v>111</v>
      </c>
      <c r="P684" s="472" t="s">
        <v>597</v>
      </c>
      <c r="Q684" s="158" t="s">
        <v>391</v>
      </c>
      <c r="R684" s="259" t="s">
        <v>379</v>
      </c>
      <c r="S684" s="370" t="s">
        <v>348</v>
      </c>
      <c r="T684" s="98" t="str">
        <f t="shared" si="14"/>
        <v>4900 DCUltima Plus Mk7 2M</v>
      </c>
    </row>
    <row r="685" spans="14:20">
      <c r="N685" s="3">
        <v>668</v>
      </c>
      <c r="O685" s="158">
        <v>111</v>
      </c>
      <c r="P685" s="472" t="s">
        <v>597</v>
      </c>
      <c r="Q685" s="158" t="s">
        <v>391</v>
      </c>
      <c r="R685" s="259" t="s">
        <v>379</v>
      </c>
      <c r="S685" s="196" t="s">
        <v>349</v>
      </c>
      <c r="T685" s="98" t="str">
        <f t="shared" si="14"/>
        <v>4900 DCUltima Plus Mk7 2M R/A</v>
      </c>
    </row>
    <row r="686" spans="14:20">
      <c r="N686" s="3">
        <v>669</v>
      </c>
      <c r="O686" s="158">
        <v>111</v>
      </c>
      <c r="P686" s="472" t="s">
        <v>597</v>
      </c>
      <c r="Q686" s="158" t="s">
        <v>391</v>
      </c>
      <c r="R686" s="259" t="s">
        <v>379</v>
      </c>
      <c r="S686" s="196" t="s">
        <v>350</v>
      </c>
      <c r="T686" s="98" t="str">
        <f t="shared" si="14"/>
        <v>4900 DCUltima Plus Mk7 4M</v>
      </c>
    </row>
    <row r="687" spans="14:20" ht="13.5" thickBot="1">
      <c r="N687" s="3">
        <v>670</v>
      </c>
      <c r="O687" s="158">
        <v>111</v>
      </c>
      <c r="P687" s="472" t="s">
        <v>597</v>
      </c>
      <c r="Q687" s="158" t="s">
        <v>391</v>
      </c>
      <c r="R687" s="259" t="s">
        <v>379</v>
      </c>
      <c r="S687" s="373" t="s">
        <v>351</v>
      </c>
      <c r="T687" s="98" t="str">
        <f t="shared" si="14"/>
        <v>4900 DCUltima Plus Mk7 4M R/A</v>
      </c>
    </row>
    <row r="688" spans="14:20">
      <c r="N688" s="3">
        <v>671</v>
      </c>
      <c r="O688" s="158">
        <v>112</v>
      </c>
      <c r="P688" s="472" t="s">
        <v>597</v>
      </c>
      <c r="Q688" s="158">
        <v>7900</v>
      </c>
      <c r="R688" s="259" t="s">
        <v>379</v>
      </c>
      <c r="S688" s="370" t="s">
        <v>348</v>
      </c>
      <c r="T688" s="98" t="str">
        <f t="shared" si="14"/>
        <v>7900Ultima Plus Mk7 2M</v>
      </c>
    </row>
    <row r="689" spans="14:20">
      <c r="N689" s="3">
        <v>672</v>
      </c>
      <c r="O689" s="158">
        <v>112</v>
      </c>
      <c r="P689" s="472" t="s">
        <v>597</v>
      </c>
      <c r="Q689" s="158">
        <v>7900</v>
      </c>
      <c r="R689" s="259" t="s">
        <v>379</v>
      </c>
      <c r="S689" s="196" t="s">
        <v>349</v>
      </c>
      <c r="T689" s="98" t="str">
        <f t="shared" si="14"/>
        <v>7900Ultima Plus Mk7 2M R/A</v>
      </c>
    </row>
    <row r="690" spans="14:20">
      <c r="N690" s="3">
        <v>673</v>
      </c>
      <c r="O690" s="158">
        <v>112</v>
      </c>
      <c r="P690" s="472" t="s">
        <v>597</v>
      </c>
      <c r="Q690" s="158">
        <v>7900</v>
      </c>
      <c r="R690" s="259" t="s">
        <v>379</v>
      </c>
      <c r="S690" s="196" t="s">
        <v>350</v>
      </c>
      <c r="T690" s="98" t="str">
        <f t="shared" si="14"/>
        <v>7900Ultima Plus Mk7 4M</v>
      </c>
    </row>
    <row r="691" spans="14:20" ht="13.5" thickBot="1">
      <c r="N691" s="3">
        <v>674</v>
      </c>
      <c r="O691" s="158">
        <v>112</v>
      </c>
      <c r="P691" s="472" t="s">
        <v>597</v>
      </c>
      <c r="Q691" s="158">
        <v>7900</v>
      </c>
      <c r="R691" s="259" t="s">
        <v>379</v>
      </c>
      <c r="S691" s="373" t="s">
        <v>351</v>
      </c>
      <c r="T691" s="98" t="str">
        <f t="shared" si="14"/>
        <v>7900Ultima Plus Mk7 4M R/A</v>
      </c>
    </row>
    <row r="692" spans="14:20">
      <c r="N692" s="3">
        <v>675</v>
      </c>
      <c r="O692" s="158">
        <v>113</v>
      </c>
      <c r="P692" s="472" t="s">
        <v>597</v>
      </c>
      <c r="Q692" s="158" t="s">
        <v>316</v>
      </c>
      <c r="R692" s="259" t="s">
        <v>379</v>
      </c>
      <c r="S692" s="370" t="s">
        <v>348</v>
      </c>
      <c r="T692" s="98" t="str">
        <f t="shared" si="14"/>
        <v>7900 SpectrumUltima Plus Mk7 2M</v>
      </c>
    </row>
    <row r="693" spans="14:20">
      <c r="N693" s="3">
        <v>676</v>
      </c>
      <c r="O693" s="158">
        <v>113</v>
      </c>
      <c r="P693" s="472" t="s">
        <v>597</v>
      </c>
      <c r="Q693" s="158" t="s">
        <v>316</v>
      </c>
      <c r="R693" s="259" t="s">
        <v>379</v>
      </c>
      <c r="S693" s="196" t="s">
        <v>349</v>
      </c>
      <c r="T693" s="98" t="str">
        <f t="shared" si="14"/>
        <v>7900 SpectrumUltima Plus Mk7 2M R/A</v>
      </c>
    </row>
    <row r="694" spans="14:20">
      <c r="N694" s="3">
        <v>677</v>
      </c>
      <c r="O694" s="158">
        <v>113</v>
      </c>
      <c r="P694" s="472" t="s">
        <v>597</v>
      </c>
      <c r="Q694" s="158" t="s">
        <v>316</v>
      </c>
      <c r="R694" s="259" t="s">
        <v>379</v>
      </c>
      <c r="S694" s="196" t="s">
        <v>350</v>
      </c>
      <c r="T694" s="98" t="str">
        <f t="shared" si="14"/>
        <v>7900 SpectrumUltima Plus Mk7 4M</v>
      </c>
    </row>
    <row r="695" spans="14:20" ht="13.5" thickBot="1">
      <c r="N695" s="3">
        <v>678</v>
      </c>
      <c r="O695" s="158">
        <v>113</v>
      </c>
      <c r="P695" s="472" t="s">
        <v>597</v>
      </c>
      <c r="Q695" s="158" t="s">
        <v>316</v>
      </c>
      <c r="R695" s="259" t="s">
        <v>379</v>
      </c>
      <c r="S695" s="373" t="s">
        <v>351</v>
      </c>
      <c r="T695" s="98" t="str">
        <f t="shared" si="14"/>
        <v>7900 SpectrumUltima Plus Mk7 4M R/A</v>
      </c>
    </row>
    <row r="696" spans="14:20">
      <c r="N696" s="3">
        <v>679</v>
      </c>
      <c r="O696" s="158">
        <v>123</v>
      </c>
      <c r="P696" s="472" t="s">
        <v>598</v>
      </c>
      <c r="Q696" s="158">
        <v>4900</v>
      </c>
      <c r="R696" s="259" t="s">
        <v>379</v>
      </c>
      <c r="S696" s="370" t="s">
        <v>348</v>
      </c>
      <c r="T696" s="98" t="str">
        <f t="shared" si="14"/>
        <v>4900Ultima Plus Mk7 2M</v>
      </c>
    </row>
    <row r="697" spans="14:20">
      <c r="N697" s="3">
        <v>680</v>
      </c>
      <c r="O697" s="158">
        <v>123</v>
      </c>
      <c r="P697" s="472" t="s">
        <v>598</v>
      </c>
      <c r="Q697" s="158">
        <v>4900</v>
      </c>
      <c r="R697" s="259" t="s">
        <v>379</v>
      </c>
      <c r="S697" s="196" t="s">
        <v>349</v>
      </c>
      <c r="T697" s="98" t="str">
        <f t="shared" si="14"/>
        <v>4900Ultima Plus Mk7 2M R/A</v>
      </c>
    </row>
    <row r="698" spans="14:20">
      <c r="N698" s="3">
        <v>681</v>
      </c>
      <c r="O698" s="158">
        <v>123</v>
      </c>
      <c r="P698" s="472" t="s">
        <v>598</v>
      </c>
      <c r="Q698" s="158">
        <v>4900</v>
      </c>
      <c r="R698" s="259" t="s">
        <v>379</v>
      </c>
      <c r="S698" s="196" t="s">
        <v>350</v>
      </c>
      <c r="T698" s="98" t="str">
        <f t="shared" si="14"/>
        <v>4900Ultima Plus Mk7 4M</v>
      </c>
    </row>
    <row r="699" spans="14:20" ht="13.5" thickBot="1">
      <c r="N699" s="3">
        <v>682</v>
      </c>
      <c r="O699" s="158">
        <v>123</v>
      </c>
      <c r="P699" s="472" t="s">
        <v>598</v>
      </c>
      <c r="Q699" s="158">
        <v>4900</v>
      </c>
      <c r="R699" s="259" t="s">
        <v>379</v>
      </c>
      <c r="S699" s="373" t="s">
        <v>351</v>
      </c>
      <c r="T699" s="98" t="str">
        <f t="shared" si="14"/>
        <v>4900Ultima Plus Mk7 4M R/A</v>
      </c>
    </row>
    <row r="700" spans="14:20">
      <c r="N700" s="3">
        <v>683</v>
      </c>
      <c r="O700" s="158">
        <v>124</v>
      </c>
      <c r="P700" s="472" t="s">
        <v>598</v>
      </c>
      <c r="Q700" s="158" t="s">
        <v>391</v>
      </c>
      <c r="R700" s="259" t="s">
        <v>379</v>
      </c>
      <c r="S700" s="370" t="s">
        <v>348</v>
      </c>
      <c r="T700" s="98" t="str">
        <f t="shared" si="14"/>
        <v>4900 DCUltima Plus Mk7 2M</v>
      </c>
    </row>
    <row r="701" spans="14:20">
      <c r="N701" s="3">
        <v>684</v>
      </c>
      <c r="O701" s="158">
        <v>124</v>
      </c>
      <c r="P701" s="472" t="s">
        <v>598</v>
      </c>
      <c r="Q701" s="158" t="s">
        <v>391</v>
      </c>
      <c r="R701" s="259" t="s">
        <v>379</v>
      </c>
      <c r="S701" s="196" t="s">
        <v>349</v>
      </c>
      <c r="T701" s="98" t="str">
        <f t="shared" si="14"/>
        <v>4900 DCUltima Plus Mk7 2M R/A</v>
      </c>
    </row>
    <row r="702" spans="14:20">
      <c r="N702" s="3">
        <v>685</v>
      </c>
      <c r="O702" s="158">
        <v>124</v>
      </c>
      <c r="P702" s="472" t="s">
        <v>598</v>
      </c>
      <c r="Q702" s="158" t="s">
        <v>391</v>
      </c>
      <c r="R702" s="259" t="s">
        <v>379</v>
      </c>
      <c r="S702" s="196" t="s">
        <v>350</v>
      </c>
      <c r="T702" s="98" t="str">
        <f t="shared" si="14"/>
        <v>4900 DCUltima Plus Mk7 4M</v>
      </c>
    </row>
    <row r="703" spans="14:20" ht="13.5" thickBot="1">
      <c r="N703" s="3">
        <v>686</v>
      </c>
      <c r="O703" s="158">
        <v>124</v>
      </c>
      <c r="P703" s="472" t="s">
        <v>598</v>
      </c>
      <c r="Q703" s="158" t="s">
        <v>391</v>
      </c>
      <c r="R703" s="259" t="s">
        <v>379</v>
      </c>
      <c r="S703" s="373" t="s">
        <v>351</v>
      </c>
      <c r="T703" s="98" t="str">
        <f t="shared" si="14"/>
        <v>4900 DCUltima Plus Mk7 4M R/A</v>
      </c>
    </row>
    <row r="704" spans="14:20">
      <c r="N704" s="3">
        <v>687</v>
      </c>
      <c r="O704" s="158">
        <v>125</v>
      </c>
      <c r="P704" s="472" t="s">
        <v>598</v>
      </c>
      <c r="Q704" s="158">
        <v>7900</v>
      </c>
      <c r="R704" s="259" t="s">
        <v>379</v>
      </c>
      <c r="S704" s="370" t="s">
        <v>348</v>
      </c>
      <c r="T704" s="98" t="str">
        <f t="shared" si="14"/>
        <v>7900Ultima Plus Mk7 2M</v>
      </c>
    </row>
    <row r="705" spans="14:20">
      <c r="N705" s="3">
        <v>688</v>
      </c>
      <c r="O705" s="158">
        <v>125</v>
      </c>
      <c r="P705" s="472" t="s">
        <v>598</v>
      </c>
      <c r="Q705" s="158">
        <v>7900</v>
      </c>
      <c r="R705" s="259" t="s">
        <v>379</v>
      </c>
      <c r="S705" s="196" t="s">
        <v>349</v>
      </c>
      <c r="T705" s="98" t="str">
        <f t="shared" si="14"/>
        <v>7900Ultima Plus Mk7 2M R/A</v>
      </c>
    </row>
    <row r="706" spans="14:20">
      <c r="N706" s="3">
        <v>689</v>
      </c>
      <c r="O706" s="158">
        <v>125</v>
      </c>
      <c r="P706" s="472" t="s">
        <v>598</v>
      </c>
      <c r="Q706" s="158">
        <v>7900</v>
      </c>
      <c r="R706" s="259" t="s">
        <v>379</v>
      </c>
      <c r="S706" s="196" t="s">
        <v>350</v>
      </c>
      <c r="T706" s="98" t="str">
        <f t="shared" si="14"/>
        <v>7900Ultima Plus Mk7 4M</v>
      </c>
    </row>
    <row r="707" spans="14:20" ht="13.5" thickBot="1">
      <c r="N707" s="3">
        <v>690</v>
      </c>
      <c r="O707" s="158">
        <v>125</v>
      </c>
      <c r="P707" s="472" t="s">
        <v>598</v>
      </c>
      <c r="Q707" s="158">
        <v>7900</v>
      </c>
      <c r="R707" s="259" t="s">
        <v>379</v>
      </c>
      <c r="S707" s="373" t="s">
        <v>351</v>
      </c>
      <c r="T707" s="98" t="str">
        <f t="shared" si="14"/>
        <v>7900Ultima Plus Mk7 4M R/A</v>
      </c>
    </row>
    <row r="708" spans="14:20">
      <c r="N708" s="3">
        <v>691</v>
      </c>
      <c r="O708" s="158">
        <v>126</v>
      </c>
      <c r="P708" s="472" t="s">
        <v>598</v>
      </c>
      <c r="Q708" s="158" t="s">
        <v>316</v>
      </c>
      <c r="R708" s="259" t="s">
        <v>379</v>
      </c>
      <c r="S708" s="370" t="s">
        <v>348</v>
      </c>
      <c r="T708" s="98" t="str">
        <f t="shared" si="14"/>
        <v>7900 SpectrumUltima Plus Mk7 2M</v>
      </c>
    </row>
    <row r="709" spans="14:20">
      <c r="N709" s="3">
        <v>692</v>
      </c>
      <c r="O709" s="158">
        <v>126</v>
      </c>
      <c r="P709" s="472" t="s">
        <v>598</v>
      </c>
      <c r="Q709" s="158" t="s">
        <v>316</v>
      </c>
      <c r="R709" s="259" t="s">
        <v>379</v>
      </c>
      <c r="S709" s="196" t="s">
        <v>349</v>
      </c>
      <c r="T709" s="98" t="str">
        <f t="shared" si="14"/>
        <v>7900 SpectrumUltima Plus Mk7 2M R/A</v>
      </c>
    </row>
    <row r="710" spans="14:20">
      <c r="N710" s="3">
        <v>693</v>
      </c>
      <c r="O710" s="158">
        <v>126</v>
      </c>
      <c r="P710" s="472" t="s">
        <v>598</v>
      </c>
      <c r="Q710" s="158" t="s">
        <v>316</v>
      </c>
      <c r="R710" s="259" t="s">
        <v>379</v>
      </c>
      <c r="S710" s="196" t="s">
        <v>350</v>
      </c>
      <c r="T710" s="98" t="str">
        <f t="shared" si="14"/>
        <v>7900 SpectrumUltima Plus Mk7 4M</v>
      </c>
    </row>
    <row r="711" spans="14:20" ht="13.5" thickBot="1">
      <c r="N711" s="3">
        <v>694</v>
      </c>
      <c r="O711" s="158">
        <v>126</v>
      </c>
      <c r="P711" s="472" t="s">
        <v>598</v>
      </c>
      <c r="Q711" s="158" t="s">
        <v>316</v>
      </c>
      <c r="R711" s="259" t="s">
        <v>379</v>
      </c>
      <c r="S711" s="373" t="s">
        <v>351</v>
      </c>
      <c r="T711" s="98" t="str">
        <f t="shared" si="14"/>
        <v>7900 SpectrumUltima Plus Mk7 4M R/A</v>
      </c>
    </row>
    <row r="712" spans="14:20">
      <c r="N712" s="3">
        <v>695</v>
      </c>
      <c r="O712" s="158">
        <v>135</v>
      </c>
      <c r="P712" s="472" t="s">
        <v>599</v>
      </c>
      <c r="Q712" s="158">
        <v>4900</v>
      </c>
      <c r="R712" s="259" t="s">
        <v>379</v>
      </c>
      <c r="S712" s="370" t="s">
        <v>348</v>
      </c>
      <c r="T712" s="98" t="str">
        <f t="shared" si="14"/>
        <v>4900Ultima Plus Mk7 2M</v>
      </c>
    </row>
    <row r="713" spans="14:20">
      <c r="N713" s="3">
        <v>696</v>
      </c>
      <c r="O713" s="158">
        <v>135</v>
      </c>
      <c r="P713" s="472" t="s">
        <v>599</v>
      </c>
      <c r="Q713" s="158">
        <v>4900</v>
      </c>
      <c r="R713" s="259" t="s">
        <v>379</v>
      </c>
      <c r="S713" s="196" t="s">
        <v>349</v>
      </c>
      <c r="T713" s="98" t="str">
        <f t="shared" si="14"/>
        <v>4900Ultima Plus Mk7 2M R/A</v>
      </c>
    </row>
    <row r="714" spans="14:20">
      <c r="N714" s="3">
        <v>697</v>
      </c>
      <c r="O714" s="158">
        <v>135</v>
      </c>
      <c r="P714" s="472" t="s">
        <v>599</v>
      </c>
      <c r="Q714" s="158">
        <v>4900</v>
      </c>
      <c r="R714" s="259" t="s">
        <v>379</v>
      </c>
      <c r="S714" s="196" t="s">
        <v>350</v>
      </c>
      <c r="T714" s="98" t="str">
        <f t="shared" si="14"/>
        <v>4900Ultima Plus Mk7 4M</v>
      </c>
    </row>
    <row r="715" spans="14:20" ht="13.5" thickBot="1">
      <c r="N715" s="3">
        <v>698</v>
      </c>
      <c r="O715" s="158">
        <v>135</v>
      </c>
      <c r="P715" s="472" t="s">
        <v>599</v>
      </c>
      <c r="Q715" s="158">
        <v>4900</v>
      </c>
      <c r="R715" s="259" t="s">
        <v>379</v>
      </c>
      <c r="S715" s="373" t="s">
        <v>351</v>
      </c>
      <c r="T715" s="98" t="str">
        <f t="shared" si="14"/>
        <v>4900Ultima Plus Mk7 4M R/A</v>
      </c>
    </row>
    <row r="716" spans="14:20">
      <c r="N716" s="3">
        <v>699</v>
      </c>
      <c r="O716" s="158">
        <v>136</v>
      </c>
      <c r="P716" s="472" t="s">
        <v>599</v>
      </c>
      <c r="Q716" s="158" t="s">
        <v>391</v>
      </c>
      <c r="R716" s="259" t="s">
        <v>379</v>
      </c>
      <c r="S716" s="370" t="s">
        <v>348</v>
      </c>
      <c r="T716" s="98" t="str">
        <f t="shared" si="14"/>
        <v>4900 DCUltima Plus Mk7 2M</v>
      </c>
    </row>
    <row r="717" spans="14:20">
      <c r="N717" s="3">
        <v>700</v>
      </c>
      <c r="O717" s="158">
        <v>136</v>
      </c>
      <c r="P717" s="472" t="s">
        <v>599</v>
      </c>
      <c r="Q717" s="158" t="s">
        <v>391</v>
      </c>
      <c r="R717" s="259" t="s">
        <v>379</v>
      </c>
      <c r="S717" s="196" t="s">
        <v>349</v>
      </c>
      <c r="T717" s="98" t="str">
        <f t="shared" si="14"/>
        <v>4900 DCUltima Plus Mk7 2M R/A</v>
      </c>
    </row>
    <row r="718" spans="14:20">
      <c r="N718" s="3">
        <v>701</v>
      </c>
      <c r="O718" s="158">
        <v>136</v>
      </c>
      <c r="P718" s="472" t="s">
        <v>599</v>
      </c>
      <c r="Q718" s="158" t="s">
        <v>391</v>
      </c>
      <c r="R718" s="259" t="s">
        <v>379</v>
      </c>
      <c r="S718" s="196" t="s">
        <v>350</v>
      </c>
      <c r="T718" s="98" t="str">
        <f t="shared" si="14"/>
        <v>4900 DCUltima Plus Mk7 4M</v>
      </c>
    </row>
    <row r="719" spans="14:20" ht="13.5" thickBot="1">
      <c r="N719" s="3">
        <v>702</v>
      </c>
      <c r="O719" s="158">
        <v>136</v>
      </c>
      <c r="P719" s="472" t="s">
        <v>599</v>
      </c>
      <c r="Q719" s="158" t="s">
        <v>391</v>
      </c>
      <c r="R719" s="259" t="s">
        <v>379</v>
      </c>
      <c r="S719" s="373" t="s">
        <v>351</v>
      </c>
      <c r="T719" s="98" t="str">
        <f t="shared" si="14"/>
        <v>4900 DCUltima Plus Mk7 4M R/A</v>
      </c>
    </row>
    <row r="720" spans="14:20">
      <c r="N720" s="3">
        <v>703</v>
      </c>
      <c r="O720" s="158">
        <v>137</v>
      </c>
      <c r="P720" s="472" t="s">
        <v>599</v>
      </c>
      <c r="Q720" s="158">
        <v>7900</v>
      </c>
      <c r="R720" s="259" t="s">
        <v>379</v>
      </c>
      <c r="S720" s="370" t="s">
        <v>348</v>
      </c>
      <c r="T720" s="98" t="str">
        <f t="shared" si="14"/>
        <v>7900Ultima Plus Mk7 2M</v>
      </c>
    </row>
    <row r="721" spans="14:20">
      <c r="N721" s="3">
        <v>704</v>
      </c>
      <c r="O721" s="158">
        <v>137</v>
      </c>
      <c r="P721" s="472" t="s">
        <v>599</v>
      </c>
      <c r="Q721" s="158">
        <v>7900</v>
      </c>
      <c r="R721" s="259" t="s">
        <v>379</v>
      </c>
      <c r="S721" s="196" t="s">
        <v>349</v>
      </c>
      <c r="T721" s="98" t="str">
        <f t="shared" si="14"/>
        <v>7900Ultima Plus Mk7 2M R/A</v>
      </c>
    </row>
    <row r="722" spans="14:20">
      <c r="N722" s="3">
        <v>705</v>
      </c>
      <c r="O722" s="158">
        <v>137</v>
      </c>
      <c r="P722" s="472" t="s">
        <v>599</v>
      </c>
      <c r="Q722" s="158">
        <v>7900</v>
      </c>
      <c r="R722" s="259" t="s">
        <v>379</v>
      </c>
      <c r="S722" s="196" t="s">
        <v>350</v>
      </c>
      <c r="T722" s="98" t="str">
        <f t="shared" si="14"/>
        <v>7900Ultima Plus Mk7 4M</v>
      </c>
    </row>
    <row r="723" spans="14:20" ht="13.5" thickBot="1">
      <c r="N723" s="3">
        <v>706</v>
      </c>
      <c r="O723" s="158">
        <v>137</v>
      </c>
      <c r="P723" s="472" t="s">
        <v>599</v>
      </c>
      <c r="Q723" s="158">
        <v>7900</v>
      </c>
      <c r="R723" s="259" t="s">
        <v>379</v>
      </c>
      <c r="S723" s="373" t="s">
        <v>351</v>
      </c>
      <c r="T723" s="98" t="str">
        <f t="shared" ref="T723:T786" si="15">Q723&amp;S723</f>
        <v>7900Ultima Plus Mk7 4M R/A</v>
      </c>
    </row>
    <row r="724" spans="14:20">
      <c r="N724" s="3">
        <v>707</v>
      </c>
      <c r="O724" s="158">
        <v>138</v>
      </c>
      <c r="P724" s="472" t="s">
        <v>599</v>
      </c>
      <c r="Q724" s="158" t="s">
        <v>316</v>
      </c>
      <c r="R724" s="259" t="s">
        <v>379</v>
      </c>
      <c r="S724" s="370" t="s">
        <v>348</v>
      </c>
      <c r="T724" s="98" t="str">
        <f t="shared" si="15"/>
        <v>7900 SpectrumUltima Plus Mk7 2M</v>
      </c>
    </row>
    <row r="725" spans="14:20">
      <c r="N725" s="3">
        <v>708</v>
      </c>
      <c r="O725" s="158">
        <v>138</v>
      </c>
      <c r="P725" s="472" t="s">
        <v>599</v>
      </c>
      <c r="Q725" s="158" t="s">
        <v>316</v>
      </c>
      <c r="R725" s="259" t="s">
        <v>379</v>
      </c>
      <c r="S725" s="196" t="s">
        <v>349</v>
      </c>
      <c r="T725" s="98" t="str">
        <f t="shared" si="15"/>
        <v>7900 SpectrumUltima Plus Mk7 2M R/A</v>
      </c>
    </row>
    <row r="726" spans="14:20">
      <c r="N726" s="3">
        <v>709</v>
      </c>
      <c r="O726" s="158">
        <v>138</v>
      </c>
      <c r="P726" s="472" t="s">
        <v>599</v>
      </c>
      <c r="Q726" s="158" t="s">
        <v>316</v>
      </c>
      <c r="R726" s="259" t="s">
        <v>379</v>
      </c>
      <c r="S726" s="196" t="s">
        <v>350</v>
      </c>
      <c r="T726" s="98" t="str">
        <f t="shared" si="15"/>
        <v>7900 SpectrumUltima Plus Mk7 4M</v>
      </c>
    </row>
    <row r="727" spans="14:20" ht="13.5" thickBot="1">
      <c r="N727" s="3">
        <v>710</v>
      </c>
      <c r="O727" s="158">
        <v>138</v>
      </c>
      <c r="P727" s="472" t="s">
        <v>599</v>
      </c>
      <c r="Q727" s="158" t="s">
        <v>316</v>
      </c>
      <c r="R727" s="259" t="s">
        <v>379</v>
      </c>
      <c r="S727" s="373" t="s">
        <v>351</v>
      </c>
      <c r="T727" s="98" t="str">
        <f t="shared" si="15"/>
        <v>7900 SpectrumUltima Plus Mk7 4M R/A</v>
      </c>
    </row>
    <row r="728" spans="14:20">
      <c r="N728" s="3">
        <v>711</v>
      </c>
      <c r="O728" s="158">
        <v>143</v>
      </c>
      <c r="P728" s="472" t="s">
        <v>600</v>
      </c>
      <c r="Q728" s="158" t="s">
        <v>316</v>
      </c>
      <c r="R728" s="259" t="s">
        <v>379</v>
      </c>
      <c r="S728" s="370" t="s">
        <v>348</v>
      </c>
      <c r="T728" s="98" t="str">
        <f t="shared" si="15"/>
        <v>7900 SpectrumUltima Plus Mk7 2M</v>
      </c>
    </row>
    <row r="729" spans="14:20">
      <c r="N729" s="3">
        <v>712</v>
      </c>
      <c r="O729" s="158">
        <v>143</v>
      </c>
      <c r="P729" s="472" t="s">
        <v>600</v>
      </c>
      <c r="Q729" s="158" t="s">
        <v>316</v>
      </c>
      <c r="R729" s="259" t="s">
        <v>379</v>
      </c>
      <c r="S729" s="196" t="s">
        <v>349</v>
      </c>
      <c r="T729" s="98" t="str">
        <f t="shared" si="15"/>
        <v>7900 SpectrumUltima Plus Mk7 2M R/A</v>
      </c>
    </row>
    <row r="730" spans="14:20">
      <c r="N730" s="3">
        <v>713</v>
      </c>
      <c r="O730" s="158">
        <v>143</v>
      </c>
      <c r="P730" s="472" t="s">
        <v>600</v>
      </c>
      <c r="Q730" s="158" t="s">
        <v>316</v>
      </c>
      <c r="R730" s="259" t="s">
        <v>379</v>
      </c>
      <c r="S730" s="196" t="s">
        <v>350</v>
      </c>
      <c r="T730" s="98" t="str">
        <f t="shared" si="15"/>
        <v>7900 SpectrumUltima Plus Mk7 4M</v>
      </c>
    </row>
    <row r="731" spans="14:20" ht="13.5" thickBot="1">
      <c r="N731" s="3">
        <v>714</v>
      </c>
      <c r="O731" s="158">
        <v>143</v>
      </c>
      <c r="P731" s="472" t="s">
        <v>600</v>
      </c>
      <c r="Q731" s="158" t="s">
        <v>316</v>
      </c>
      <c r="R731" s="259" t="s">
        <v>379</v>
      </c>
      <c r="S731" s="373" t="s">
        <v>351</v>
      </c>
      <c r="T731" s="98" t="str">
        <f t="shared" si="15"/>
        <v>7900 SpectrumUltima Plus Mk7 4M R/A</v>
      </c>
    </row>
    <row r="732" spans="14:20">
      <c r="N732" s="3">
        <v>715</v>
      </c>
      <c r="O732" s="158">
        <v>158</v>
      </c>
      <c r="P732" s="472" t="s">
        <v>602</v>
      </c>
      <c r="Q732" s="158">
        <v>4900</v>
      </c>
      <c r="R732" s="259" t="s">
        <v>379</v>
      </c>
      <c r="S732" s="370" t="s">
        <v>348</v>
      </c>
      <c r="T732" s="98" t="str">
        <f t="shared" si="15"/>
        <v>4900Ultima Plus Mk7 2M</v>
      </c>
    </row>
    <row r="733" spans="14:20">
      <c r="N733" s="3">
        <v>716</v>
      </c>
      <c r="O733" s="158">
        <v>158</v>
      </c>
      <c r="P733" s="472" t="s">
        <v>602</v>
      </c>
      <c r="Q733" s="158">
        <v>4900</v>
      </c>
      <c r="R733" s="259" t="s">
        <v>379</v>
      </c>
      <c r="S733" s="196" t="s">
        <v>349</v>
      </c>
      <c r="T733" s="98" t="str">
        <f t="shared" si="15"/>
        <v>4900Ultima Plus Mk7 2M R/A</v>
      </c>
    </row>
    <row r="734" spans="14:20">
      <c r="N734" s="3">
        <v>717</v>
      </c>
      <c r="O734" s="158">
        <v>158</v>
      </c>
      <c r="P734" s="472" t="s">
        <v>602</v>
      </c>
      <c r="Q734" s="158">
        <v>4900</v>
      </c>
      <c r="R734" s="259" t="s">
        <v>379</v>
      </c>
      <c r="S734" s="196" t="s">
        <v>350</v>
      </c>
      <c r="T734" s="98" t="str">
        <f t="shared" si="15"/>
        <v>4900Ultima Plus Mk7 4M</v>
      </c>
    </row>
    <row r="735" spans="14:20" ht="13.5" thickBot="1">
      <c r="N735" s="3">
        <v>718</v>
      </c>
      <c r="O735" s="158">
        <v>158</v>
      </c>
      <c r="P735" s="472" t="s">
        <v>602</v>
      </c>
      <c r="Q735" s="158">
        <v>4900</v>
      </c>
      <c r="R735" s="259" t="s">
        <v>379</v>
      </c>
      <c r="S735" s="373" t="s">
        <v>351</v>
      </c>
      <c r="T735" s="98" t="str">
        <f t="shared" si="15"/>
        <v>4900Ultima Plus Mk7 4M R/A</v>
      </c>
    </row>
    <row r="736" spans="14:20">
      <c r="N736" s="3">
        <v>719</v>
      </c>
      <c r="O736" s="158">
        <v>159</v>
      </c>
      <c r="P736" s="472" t="s">
        <v>602</v>
      </c>
      <c r="Q736" s="158" t="s">
        <v>391</v>
      </c>
      <c r="R736" s="259" t="s">
        <v>379</v>
      </c>
      <c r="S736" s="370" t="s">
        <v>348</v>
      </c>
      <c r="T736" s="98" t="str">
        <f t="shared" si="15"/>
        <v>4900 DCUltima Plus Mk7 2M</v>
      </c>
    </row>
    <row r="737" spans="14:20">
      <c r="N737" s="3">
        <v>720</v>
      </c>
      <c r="O737" s="158">
        <v>159</v>
      </c>
      <c r="P737" s="472" t="s">
        <v>602</v>
      </c>
      <c r="Q737" s="158" t="s">
        <v>391</v>
      </c>
      <c r="R737" s="259" t="s">
        <v>379</v>
      </c>
      <c r="S737" s="196" t="s">
        <v>349</v>
      </c>
      <c r="T737" s="98" t="str">
        <f t="shared" si="15"/>
        <v>4900 DCUltima Plus Mk7 2M R/A</v>
      </c>
    </row>
    <row r="738" spans="14:20">
      <c r="N738" s="3">
        <v>721</v>
      </c>
      <c r="O738" s="158">
        <v>159</v>
      </c>
      <c r="P738" s="472" t="s">
        <v>602</v>
      </c>
      <c r="Q738" s="158" t="s">
        <v>391</v>
      </c>
      <c r="R738" s="259" t="s">
        <v>379</v>
      </c>
      <c r="S738" s="196" t="s">
        <v>350</v>
      </c>
      <c r="T738" s="98" t="str">
        <f t="shared" si="15"/>
        <v>4900 DCUltima Plus Mk7 4M</v>
      </c>
    </row>
    <row r="739" spans="14:20" ht="13.5" thickBot="1">
      <c r="N739" s="3">
        <v>722</v>
      </c>
      <c r="O739" s="158">
        <v>159</v>
      </c>
      <c r="P739" s="472" t="s">
        <v>602</v>
      </c>
      <c r="Q739" s="158" t="s">
        <v>391</v>
      </c>
      <c r="R739" s="259" t="s">
        <v>379</v>
      </c>
      <c r="S739" s="373" t="s">
        <v>351</v>
      </c>
      <c r="T739" s="98" t="str">
        <f t="shared" si="15"/>
        <v>4900 DCUltima Plus Mk7 4M R/A</v>
      </c>
    </row>
    <row r="740" spans="14:20">
      <c r="N740" s="3">
        <v>723</v>
      </c>
      <c r="O740" s="158">
        <v>160</v>
      </c>
      <c r="P740" s="472" t="s">
        <v>602</v>
      </c>
      <c r="Q740" s="158">
        <v>7900</v>
      </c>
      <c r="R740" s="259" t="s">
        <v>379</v>
      </c>
      <c r="S740" s="370" t="s">
        <v>348</v>
      </c>
      <c r="T740" s="98" t="str">
        <f t="shared" si="15"/>
        <v>7900Ultima Plus Mk7 2M</v>
      </c>
    </row>
    <row r="741" spans="14:20">
      <c r="N741" s="3">
        <v>724</v>
      </c>
      <c r="O741" s="158">
        <v>160</v>
      </c>
      <c r="P741" s="472" t="s">
        <v>602</v>
      </c>
      <c r="Q741" s="158">
        <v>7900</v>
      </c>
      <c r="R741" s="259" t="s">
        <v>379</v>
      </c>
      <c r="S741" s="196" t="s">
        <v>349</v>
      </c>
      <c r="T741" s="98" t="str">
        <f t="shared" si="15"/>
        <v>7900Ultima Plus Mk7 2M R/A</v>
      </c>
    </row>
    <row r="742" spans="14:20">
      <c r="N742" s="3">
        <v>725</v>
      </c>
      <c r="O742" s="158">
        <v>160</v>
      </c>
      <c r="P742" s="472" t="s">
        <v>602</v>
      </c>
      <c r="Q742" s="158">
        <v>7900</v>
      </c>
      <c r="R742" s="259" t="s">
        <v>379</v>
      </c>
      <c r="S742" s="196" t="s">
        <v>350</v>
      </c>
      <c r="T742" s="98" t="str">
        <f t="shared" si="15"/>
        <v>7900Ultima Plus Mk7 4M</v>
      </c>
    </row>
    <row r="743" spans="14:20" ht="13.5" thickBot="1">
      <c r="N743" s="3">
        <v>726</v>
      </c>
      <c r="O743" s="158">
        <v>160</v>
      </c>
      <c r="P743" s="472" t="s">
        <v>602</v>
      </c>
      <c r="Q743" s="158">
        <v>7900</v>
      </c>
      <c r="R743" s="259" t="s">
        <v>379</v>
      </c>
      <c r="S743" s="373" t="s">
        <v>351</v>
      </c>
      <c r="T743" s="98" t="str">
        <f t="shared" si="15"/>
        <v>7900Ultima Plus Mk7 4M R/A</v>
      </c>
    </row>
    <row r="744" spans="14:20">
      <c r="N744" s="3">
        <v>727</v>
      </c>
      <c r="O744" s="158">
        <v>161</v>
      </c>
      <c r="P744" s="472" t="s">
        <v>602</v>
      </c>
      <c r="Q744" s="158" t="s">
        <v>316</v>
      </c>
      <c r="R744" s="259" t="s">
        <v>379</v>
      </c>
      <c r="S744" s="370" t="s">
        <v>348</v>
      </c>
      <c r="T744" s="98" t="str">
        <f t="shared" si="15"/>
        <v>7900 SpectrumUltima Plus Mk7 2M</v>
      </c>
    </row>
    <row r="745" spans="14:20">
      <c r="N745" s="3">
        <v>728</v>
      </c>
      <c r="O745" s="158">
        <v>161</v>
      </c>
      <c r="P745" s="472" t="s">
        <v>602</v>
      </c>
      <c r="Q745" s="158" t="s">
        <v>316</v>
      </c>
      <c r="R745" s="259" t="s">
        <v>379</v>
      </c>
      <c r="S745" s="196" t="s">
        <v>349</v>
      </c>
      <c r="T745" s="98" t="str">
        <f t="shared" si="15"/>
        <v>7900 SpectrumUltima Plus Mk7 2M R/A</v>
      </c>
    </row>
    <row r="746" spans="14:20">
      <c r="N746" s="3">
        <v>729</v>
      </c>
      <c r="O746" s="158">
        <v>161</v>
      </c>
      <c r="P746" s="472" t="s">
        <v>602</v>
      </c>
      <c r="Q746" s="158" t="s">
        <v>316</v>
      </c>
      <c r="R746" s="259" t="s">
        <v>379</v>
      </c>
      <c r="S746" s="196" t="s">
        <v>350</v>
      </c>
      <c r="T746" s="98" t="str">
        <f t="shared" si="15"/>
        <v>7900 SpectrumUltima Plus Mk7 4M</v>
      </c>
    </row>
    <row r="747" spans="14:20" ht="13.5" thickBot="1">
      <c r="N747" s="3">
        <v>730</v>
      </c>
      <c r="O747" s="158">
        <v>161</v>
      </c>
      <c r="P747" s="472" t="s">
        <v>602</v>
      </c>
      <c r="Q747" s="158" t="s">
        <v>316</v>
      </c>
      <c r="R747" s="259" t="s">
        <v>379</v>
      </c>
      <c r="S747" s="373" t="s">
        <v>351</v>
      </c>
      <c r="T747" s="98" t="str">
        <f t="shared" si="15"/>
        <v>7900 SpectrumUltima Plus Mk7 4M R/A</v>
      </c>
    </row>
    <row r="748" spans="14:20">
      <c r="N748" s="3">
        <v>731</v>
      </c>
      <c r="O748" s="158">
        <v>164</v>
      </c>
      <c r="P748" s="472" t="s">
        <v>603</v>
      </c>
      <c r="Q748" s="158">
        <v>4900</v>
      </c>
      <c r="R748" s="259" t="s">
        <v>379</v>
      </c>
      <c r="S748" s="370" t="s">
        <v>348</v>
      </c>
      <c r="T748" s="98" t="str">
        <f t="shared" si="15"/>
        <v>4900Ultima Plus Mk7 2M</v>
      </c>
    </row>
    <row r="749" spans="14:20">
      <c r="N749" s="3">
        <v>732</v>
      </c>
      <c r="O749" s="158">
        <v>164</v>
      </c>
      <c r="P749" s="472" t="s">
        <v>603</v>
      </c>
      <c r="Q749" s="158">
        <v>4900</v>
      </c>
      <c r="R749" s="259" t="s">
        <v>379</v>
      </c>
      <c r="S749" s="196" t="s">
        <v>349</v>
      </c>
      <c r="T749" s="98" t="str">
        <f t="shared" si="15"/>
        <v>4900Ultima Plus Mk7 2M R/A</v>
      </c>
    </row>
    <row r="750" spans="14:20">
      <c r="N750" s="3">
        <v>733</v>
      </c>
      <c r="O750" s="158">
        <v>164</v>
      </c>
      <c r="P750" s="472" t="s">
        <v>603</v>
      </c>
      <c r="Q750" s="158">
        <v>4900</v>
      </c>
      <c r="R750" s="259" t="s">
        <v>379</v>
      </c>
      <c r="S750" s="196" t="s">
        <v>350</v>
      </c>
      <c r="T750" s="98" t="str">
        <f t="shared" si="15"/>
        <v>4900Ultima Plus Mk7 4M</v>
      </c>
    </row>
    <row r="751" spans="14:20" ht="13.5" thickBot="1">
      <c r="N751" s="3">
        <v>734</v>
      </c>
      <c r="O751" s="158">
        <v>164</v>
      </c>
      <c r="P751" s="472" t="s">
        <v>603</v>
      </c>
      <c r="Q751" s="158">
        <v>4900</v>
      </c>
      <c r="R751" s="259" t="s">
        <v>379</v>
      </c>
      <c r="S751" s="373" t="s">
        <v>351</v>
      </c>
      <c r="T751" s="98" t="str">
        <f t="shared" si="15"/>
        <v>4900Ultima Plus Mk7 4M R/A</v>
      </c>
    </row>
    <row r="752" spans="14:20">
      <c r="N752" s="3">
        <v>735</v>
      </c>
      <c r="O752" s="158">
        <v>165</v>
      </c>
      <c r="P752" s="472" t="s">
        <v>603</v>
      </c>
      <c r="Q752" s="158" t="s">
        <v>391</v>
      </c>
      <c r="R752" s="259" t="s">
        <v>379</v>
      </c>
      <c r="S752" s="370" t="s">
        <v>348</v>
      </c>
      <c r="T752" s="98" t="str">
        <f t="shared" si="15"/>
        <v>4900 DCUltima Plus Mk7 2M</v>
      </c>
    </row>
    <row r="753" spans="14:20">
      <c r="N753" s="3">
        <v>736</v>
      </c>
      <c r="O753" s="158">
        <v>165</v>
      </c>
      <c r="P753" s="472" t="s">
        <v>603</v>
      </c>
      <c r="Q753" s="158" t="s">
        <v>391</v>
      </c>
      <c r="R753" s="259" t="s">
        <v>379</v>
      </c>
      <c r="S753" s="196" t="s">
        <v>349</v>
      </c>
      <c r="T753" s="98" t="str">
        <f t="shared" si="15"/>
        <v>4900 DCUltima Plus Mk7 2M R/A</v>
      </c>
    </row>
    <row r="754" spans="14:20">
      <c r="N754" s="3">
        <v>737</v>
      </c>
      <c r="O754" s="158">
        <v>165</v>
      </c>
      <c r="P754" s="472" t="s">
        <v>603</v>
      </c>
      <c r="Q754" s="158" t="s">
        <v>391</v>
      </c>
      <c r="R754" s="259" t="s">
        <v>379</v>
      </c>
      <c r="S754" s="196" t="s">
        <v>350</v>
      </c>
      <c r="T754" s="98" t="str">
        <f t="shared" si="15"/>
        <v>4900 DCUltima Plus Mk7 4M</v>
      </c>
    </row>
    <row r="755" spans="14:20" ht="13.5" thickBot="1">
      <c r="N755" s="3">
        <v>738</v>
      </c>
      <c r="O755" s="158">
        <v>165</v>
      </c>
      <c r="P755" s="472" t="s">
        <v>603</v>
      </c>
      <c r="Q755" s="158" t="s">
        <v>391</v>
      </c>
      <c r="R755" s="259" t="s">
        <v>379</v>
      </c>
      <c r="S755" s="373" t="s">
        <v>351</v>
      </c>
      <c r="T755" s="98" t="str">
        <f t="shared" si="15"/>
        <v>4900 DCUltima Plus Mk7 4M R/A</v>
      </c>
    </row>
    <row r="756" spans="14:20">
      <c r="N756" s="3">
        <v>739</v>
      </c>
      <c r="O756" s="158">
        <v>166</v>
      </c>
      <c r="P756" s="472" t="s">
        <v>603</v>
      </c>
      <c r="Q756" s="158">
        <v>7900</v>
      </c>
      <c r="R756" s="259" t="s">
        <v>379</v>
      </c>
      <c r="S756" s="370" t="s">
        <v>348</v>
      </c>
      <c r="T756" s="98" t="str">
        <f t="shared" si="15"/>
        <v>7900Ultima Plus Mk7 2M</v>
      </c>
    </row>
    <row r="757" spans="14:20">
      <c r="N757" s="3">
        <v>740</v>
      </c>
      <c r="O757" s="158">
        <v>166</v>
      </c>
      <c r="P757" s="472" t="s">
        <v>603</v>
      </c>
      <c r="Q757" s="158">
        <v>7900</v>
      </c>
      <c r="R757" s="259" t="s">
        <v>379</v>
      </c>
      <c r="S757" s="196" t="s">
        <v>349</v>
      </c>
      <c r="T757" s="98" t="str">
        <f t="shared" si="15"/>
        <v>7900Ultima Plus Mk7 2M R/A</v>
      </c>
    </row>
    <row r="758" spans="14:20">
      <c r="N758" s="3">
        <v>741</v>
      </c>
      <c r="O758" s="158">
        <v>166</v>
      </c>
      <c r="P758" s="472" t="s">
        <v>603</v>
      </c>
      <c r="Q758" s="158">
        <v>7900</v>
      </c>
      <c r="R758" s="259" t="s">
        <v>379</v>
      </c>
      <c r="S758" s="196" t="s">
        <v>350</v>
      </c>
      <c r="T758" s="98" t="str">
        <f t="shared" si="15"/>
        <v>7900Ultima Plus Mk7 4M</v>
      </c>
    </row>
    <row r="759" spans="14:20" ht="13.5" thickBot="1">
      <c r="N759" s="3">
        <v>742</v>
      </c>
      <c r="O759" s="158">
        <v>166</v>
      </c>
      <c r="P759" s="472" t="s">
        <v>603</v>
      </c>
      <c r="Q759" s="158">
        <v>7900</v>
      </c>
      <c r="R759" s="259" t="s">
        <v>379</v>
      </c>
      <c r="S759" s="373" t="s">
        <v>351</v>
      </c>
      <c r="T759" s="98" t="str">
        <f t="shared" si="15"/>
        <v>7900Ultima Plus Mk7 4M R/A</v>
      </c>
    </row>
    <row r="760" spans="14:20">
      <c r="N760" s="3">
        <v>743</v>
      </c>
      <c r="O760" s="158">
        <v>174</v>
      </c>
      <c r="P760" s="472" t="s">
        <v>604</v>
      </c>
      <c r="Q760" s="158">
        <v>4900</v>
      </c>
      <c r="R760" s="259" t="s">
        <v>379</v>
      </c>
      <c r="S760" s="370" t="s">
        <v>348</v>
      </c>
      <c r="T760" s="98" t="str">
        <f t="shared" si="15"/>
        <v>4900Ultima Plus Mk7 2M</v>
      </c>
    </row>
    <row r="761" spans="14:20">
      <c r="N761" s="3">
        <v>744</v>
      </c>
      <c r="O761" s="158">
        <v>174</v>
      </c>
      <c r="P761" s="472" t="s">
        <v>604</v>
      </c>
      <c r="Q761" s="158">
        <v>4900</v>
      </c>
      <c r="R761" s="259" t="s">
        <v>379</v>
      </c>
      <c r="S761" s="196" t="s">
        <v>349</v>
      </c>
      <c r="T761" s="98" t="str">
        <f t="shared" si="15"/>
        <v>4900Ultima Plus Mk7 2M R/A</v>
      </c>
    </row>
    <row r="762" spans="14:20">
      <c r="N762" s="3">
        <v>745</v>
      </c>
      <c r="O762" s="158">
        <v>174</v>
      </c>
      <c r="P762" s="472" t="s">
        <v>604</v>
      </c>
      <c r="Q762" s="158">
        <v>4900</v>
      </c>
      <c r="R762" s="259" t="s">
        <v>379</v>
      </c>
      <c r="S762" s="196" t="s">
        <v>350</v>
      </c>
      <c r="T762" s="98" t="str">
        <f t="shared" si="15"/>
        <v>4900Ultima Plus Mk7 4M</v>
      </c>
    </row>
    <row r="763" spans="14:20" ht="13.5" thickBot="1">
      <c r="N763" s="3">
        <v>746</v>
      </c>
      <c r="O763" s="158">
        <v>174</v>
      </c>
      <c r="P763" s="472" t="s">
        <v>604</v>
      </c>
      <c r="Q763" s="158">
        <v>4900</v>
      </c>
      <c r="R763" s="259" t="s">
        <v>379</v>
      </c>
      <c r="S763" s="373" t="s">
        <v>351</v>
      </c>
      <c r="T763" s="98" t="str">
        <f t="shared" si="15"/>
        <v>4900Ultima Plus Mk7 4M R/A</v>
      </c>
    </row>
    <row r="764" spans="14:20">
      <c r="N764" s="3">
        <v>747</v>
      </c>
      <c r="O764" s="158">
        <v>175</v>
      </c>
      <c r="P764" s="472" t="s">
        <v>604</v>
      </c>
      <c r="Q764" s="158" t="s">
        <v>391</v>
      </c>
      <c r="R764" s="259" t="s">
        <v>379</v>
      </c>
      <c r="S764" s="370" t="s">
        <v>348</v>
      </c>
      <c r="T764" s="98" t="str">
        <f t="shared" si="15"/>
        <v>4900 DCUltima Plus Mk7 2M</v>
      </c>
    </row>
    <row r="765" spans="14:20">
      <c r="N765" s="3">
        <v>748</v>
      </c>
      <c r="O765" s="158">
        <v>175</v>
      </c>
      <c r="P765" s="472" t="s">
        <v>604</v>
      </c>
      <c r="Q765" s="158" t="s">
        <v>391</v>
      </c>
      <c r="R765" s="259" t="s">
        <v>379</v>
      </c>
      <c r="S765" s="196" t="s">
        <v>349</v>
      </c>
      <c r="T765" s="98" t="str">
        <f t="shared" si="15"/>
        <v>4900 DCUltima Plus Mk7 2M R/A</v>
      </c>
    </row>
    <row r="766" spans="14:20">
      <c r="N766" s="3">
        <v>749</v>
      </c>
      <c r="O766" s="158">
        <v>175</v>
      </c>
      <c r="P766" s="472" t="s">
        <v>604</v>
      </c>
      <c r="Q766" s="158" t="s">
        <v>391</v>
      </c>
      <c r="R766" s="259" t="s">
        <v>379</v>
      </c>
      <c r="S766" s="196" t="s">
        <v>350</v>
      </c>
      <c r="T766" s="98" t="str">
        <f t="shared" si="15"/>
        <v>4900 DCUltima Plus Mk7 4M</v>
      </c>
    </row>
    <row r="767" spans="14:20" ht="13.5" thickBot="1">
      <c r="N767" s="3">
        <v>750</v>
      </c>
      <c r="O767" s="158">
        <v>175</v>
      </c>
      <c r="P767" s="472" t="s">
        <v>604</v>
      </c>
      <c r="Q767" s="158" t="s">
        <v>391</v>
      </c>
      <c r="R767" s="259" t="s">
        <v>379</v>
      </c>
      <c r="S767" s="373" t="s">
        <v>351</v>
      </c>
      <c r="T767" s="98" t="str">
        <f t="shared" si="15"/>
        <v>4900 DCUltima Plus Mk7 4M R/A</v>
      </c>
    </row>
    <row r="768" spans="14:20">
      <c r="N768" s="3">
        <v>751</v>
      </c>
      <c r="O768" s="158">
        <v>176</v>
      </c>
      <c r="P768" s="472" t="s">
        <v>604</v>
      </c>
      <c r="Q768" s="158">
        <v>7900</v>
      </c>
      <c r="R768" s="259" t="s">
        <v>379</v>
      </c>
      <c r="S768" s="370" t="s">
        <v>348</v>
      </c>
      <c r="T768" s="98" t="str">
        <f t="shared" si="15"/>
        <v>7900Ultima Plus Mk7 2M</v>
      </c>
    </row>
    <row r="769" spans="14:20">
      <c r="N769" s="3">
        <v>752</v>
      </c>
      <c r="O769" s="158">
        <v>176</v>
      </c>
      <c r="P769" s="472" t="s">
        <v>604</v>
      </c>
      <c r="Q769" s="158">
        <v>7900</v>
      </c>
      <c r="R769" s="259" t="s">
        <v>379</v>
      </c>
      <c r="S769" s="196" t="s">
        <v>349</v>
      </c>
      <c r="T769" s="98" t="str">
        <f t="shared" si="15"/>
        <v>7900Ultima Plus Mk7 2M R/A</v>
      </c>
    </row>
    <row r="770" spans="14:20">
      <c r="N770" s="3">
        <v>753</v>
      </c>
      <c r="O770" s="158">
        <v>176</v>
      </c>
      <c r="P770" s="472" t="s">
        <v>604</v>
      </c>
      <c r="Q770" s="158">
        <v>7900</v>
      </c>
      <c r="R770" s="259" t="s">
        <v>379</v>
      </c>
      <c r="S770" s="196" t="s">
        <v>350</v>
      </c>
      <c r="T770" s="98" t="str">
        <f t="shared" si="15"/>
        <v>7900Ultima Plus Mk7 4M</v>
      </c>
    </row>
    <row r="771" spans="14:20" ht="13.5" thickBot="1">
      <c r="N771" s="3">
        <v>754</v>
      </c>
      <c r="O771" s="158">
        <v>176</v>
      </c>
      <c r="P771" s="472" t="s">
        <v>604</v>
      </c>
      <c r="Q771" s="158">
        <v>7900</v>
      </c>
      <c r="R771" s="259" t="s">
        <v>379</v>
      </c>
      <c r="S771" s="373" t="s">
        <v>351</v>
      </c>
      <c r="T771" s="98" t="str">
        <f t="shared" si="15"/>
        <v>7900Ultima Plus Mk7 4M R/A</v>
      </c>
    </row>
    <row r="772" spans="14:20">
      <c r="N772" s="3">
        <v>755</v>
      </c>
      <c r="O772" s="158">
        <v>177</v>
      </c>
      <c r="P772" s="472" t="s">
        <v>604</v>
      </c>
      <c r="Q772" s="158" t="s">
        <v>316</v>
      </c>
      <c r="R772" s="259" t="s">
        <v>379</v>
      </c>
      <c r="S772" s="370" t="s">
        <v>348</v>
      </c>
      <c r="T772" s="98" t="str">
        <f t="shared" si="15"/>
        <v>7900 SpectrumUltima Plus Mk7 2M</v>
      </c>
    </row>
    <row r="773" spans="14:20">
      <c r="N773" s="3">
        <v>756</v>
      </c>
      <c r="O773" s="158">
        <v>177</v>
      </c>
      <c r="P773" s="472" t="s">
        <v>604</v>
      </c>
      <c r="Q773" s="158" t="s">
        <v>316</v>
      </c>
      <c r="R773" s="259" t="s">
        <v>379</v>
      </c>
      <c r="S773" s="196" t="s">
        <v>349</v>
      </c>
      <c r="T773" s="98" t="str">
        <f t="shared" si="15"/>
        <v>7900 SpectrumUltima Plus Mk7 2M R/A</v>
      </c>
    </row>
    <row r="774" spans="14:20">
      <c r="N774" s="3">
        <v>757</v>
      </c>
      <c r="O774" s="158">
        <v>177</v>
      </c>
      <c r="P774" s="472" t="s">
        <v>604</v>
      </c>
      <c r="Q774" s="158" t="s">
        <v>316</v>
      </c>
      <c r="R774" s="259" t="s">
        <v>379</v>
      </c>
      <c r="S774" s="196" t="s">
        <v>350</v>
      </c>
      <c r="T774" s="98" t="str">
        <f t="shared" si="15"/>
        <v>7900 SpectrumUltima Plus Mk7 4M</v>
      </c>
    </row>
    <row r="775" spans="14:20" ht="13.5" thickBot="1">
      <c r="N775" s="3">
        <v>758</v>
      </c>
      <c r="O775" s="158">
        <v>177</v>
      </c>
      <c r="P775" s="472" t="s">
        <v>604</v>
      </c>
      <c r="Q775" s="158" t="s">
        <v>316</v>
      </c>
      <c r="R775" s="259" t="s">
        <v>379</v>
      </c>
      <c r="S775" s="373" t="s">
        <v>351</v>
      </c>
      <c r="T775" s="98" t="str">
        <f t="shared" si="15"/>
        <v>7900 SpectrumUltima Plus Mk7 4M R/A</v>
      </c>
    </row>
    <row r="776" spans="14:20">
      <c r="N776" s="3">
        <v>759</v>
      </c>
      <c r="O776" s="158">
        <v>180</v>
      </c>
      <c r="P776" s="472" t="s">
        <v>605</v>
      </c>
      <c r="Q776" s="158">
        <v>4900</v>
      </c>
      <c r="R776" s="259" t="s">
        <v>379</v>
      </c>
      <c r="S776" s="370" t="s">
        <v>348</v>
      </c>
      <c r="T776" s="98" t="str">
        <f t="shared" si="15"/>
        <v>4900Ultima Plus Mk7 2M</v>
      </c>
    </row>
    <row r="777" spans="14:20">
      <c r="N777" s="3">
        <v>760</v>
      </c>
      <c r="O777" s="158">
        <v>180</v>
      </c>
      <c r="P777" s="472" t="s">
        <v>605</v>
      </c>
      <c r="Q777" s="158">
        <v>4900</v>
      </c>
      <c r="R777" s="259" t="s">
        <v>379</v>
      </c>
      <c r="S777" s="196" t="s">
        <v>349</v>
      </c>
      <c r="T777" s="98" t="str">
        <f t="shared" si="15"/>
        <v>4900Ultima Plus Mk7 2M R/A</v>
      </c>
    </row>
    <row r="778" spans="14:20">
      <c r="N778" s="3">
        <v>761</v>
      </c>
      <c r="O778" s="158">
        <v>180</v>
      </c>
      <c r="P778" s="472" t="s">
        <v>605</v>
      </c>
      <c r="Q778" s="158">
        <v>4900</v>
      </c>
      <c r="R778" s="259" t="s">
        <v>379</v>
      </c>
      <c r="S778" s="196" t="s">
        <v>350</v>
      </c>
      <c r="T778" s="98" t="str">
        <f t="shared" si="15"/>
        <v>4900Ultima Plus Mk7 4M</v>
      </c>
    </row>
    <row r="779" spans="14:20" ht="13.5" thickBot="1">
      <c r="N779" s="3">
        <v>762</v>
      </c>
      <c r="O779" s="158">
        <v>180</v>
      </c>
      <c r="P779" s="472" t="s">
        <v>605</v>
      </c>
      <c r="Q779" s="158">
        <v>4900</v>
      </c>
      <c r="R779" s="259" t="s">
        <v>379</v>
      </c>
      <c r="S779" s="373" t="s">
        <v>351</v>
      </c>
      <c r="T779" s="98" t="str">
        <f t="shared" si="15"/>
        <v>4900Ultima Plus Mk7 4M R/A</v>
      </c>
    </row>
    <row r="780" spans="14:20">
      <c r="N780" s="3">
        <v>763</v>
      </c>
      <c r="O780" s="158">
        <v>181</v>
      </c>
      <c r="P780" s="472" t="s">
        <v>605</v>
      </c>
      <c r="Q780" s="158" t="s">
        <v>391</v>
      </c>
      <c r="R780" s="259" t="s">
        <v>379</v>
      </c>
      <c r="S780" s="370" t="s">
        <v>348</v>
      </c>
      <c r="T780" s="98" t="str">
        <f t="shared" si="15"/>
        <v>4900 DCUltima Plus Mk7 2M</v>
      </c>
    </row>
    <row r="781" spans="14:20">
      <c r="N781" s="3">
        <v>764</v>
      </c>
      <c r="O781" s="158">
        <v>181</v>
      </c>
      <c r="P781" s="472" t="s">
        <v>605</v>
      </c>
      <c r="Q781" s="158" t="s">
        <v>391</v>
      </c>
      <c r="R781" s="259" t="s">
        <v>379</v>
      </c>
      <c r="S781" s="196" t="s">
        <v>349</v>
      </c>
      <c r="T781" s="98" t="str">
        <f t="shared" si="15"/>
        <v>4900 DCUltima Plus Mk7 2M R/A</v>
      </c>
    </row>
    <row r="782" spans="14:20">
      <c r="N782" s="3">
        <v>765</v>
      </c>
      <c r="O782" s="158">
        <v>181</v>
      </c>
      <c r="P782" s="472" t="s">
        <v>605</v>
      </c>
      <c r="Q782" s="158" t="s">
        <v>391</v>
      </c>
      <c r="R782" s="259" t="s">
        <v>379</v>
      </c>
      <c r="S782" s="196" t="s">
        <v>350</v>
      </c>
      <c r="T782" s="98" t="str">
        <f t="shared" si="15"/>
        <v>4900 DCUltima Plus Mk7 4M</v>
      </c>
    </row>
    <row r="783" spans="14:20" ht="13.5" thickBot="1">
      <c r="N783" s="3">
        <v>766</v>
      </c>
      <c r="O783" s="158">
        <v>181</v>
      </c>
      <c r="P783" s="472" t="s">
        <v>605</v>
      </c>
      <c r="Q783" s="158" t="s">
        <v>391</v>
      </c>
      <c r="R783" s="259" t="s">
        <v>379</v>
      </c>
      <c r="S783" s="373" t="s">
        <v>351</v>
      </c>
      <c r="T783" s="98" t="str">
        <f t="shared" si="15"/>
        <v>4900 DCUltima Plus Mk7 4M R/A</v>
      </c>
    </row>
    <row r="784" spans="14:20">
      <c r="N784" s="3">
        <v>767</v>
      </c>
      <c r="O784" s="158">
        <v>182</v>
      </c>
      <c r="P784" s="472" t="s">
        <v>605</v>
      </c>
      <c r="Q784" s="158">
        <v>7900</v>
      </c>
      <c r="R784" s="259" t="s">
        <v>379</v>
      </c>
      <c r="S784" s="370" t="s">
        <v>348</v>
      </c>
      <c r="T784" s="98" t="str">
        <f t="shared" si="15"/>
        <v>7900Ultima Plus Mk7 2M</v>
      </c>
    </row>
    <row r="785" spans="14:20">
      <c r="N785" s="3">
        <v>768</v>
      </c>
      <c r="O785" s="158">
        <v>182</v>
      </c>
      <c r="P785" s="472" t="s">
        <v>605</v>
      </c>
      <c r="Q785" s="158">
        <v>7900</v>
      </c>
      <c r="R785" s="259" t="s">
        <v>379</v>
      </c>
      <c r="S785" s="196" t="s">
        <v>349</v>
      </c>
      <c r="T785" s="98" t="str">
        <f t="shared" si="15"/>
        <v>7900Ultima Plus Mk7 2M R/A</v>
      </c>
    </row>
    <row r="786" spans="14:20">
      <c r="N786" s="3">
        <v>769</v>
      </c>
      <c r="O786" s="158">
        <v>182</v>
      </c>
      <c r="P786" s="472" t="s">
        <v>605</v>
      </c>
      <c r="Q786" s="158">
        <v>7900</v>
      </c>
      <c r="R786" s="259" t="s">
        <v>379</v>
      </c>
      <c r="S786" s="196" t="s">
        <v>350</v>
      </c>
      <c r="T786" s="98" t="str">
        <f t="shared" si="15"/>
        <v>7900Ultima Plus Mk7 4M</v>
      </c>
    </row>
    <row r="787" spans="14:20" ht="13.5" thickBot="1">
      <c r="N787" s="3">
        <v>770</v>
      </c>
      <c r="O787" s="158">
        <v>182</v>
      </c>
      <c r="P787" s="472" t="s">
        <v>605</v>
      </c>
      <c r="Q787" s="158">
        <v>7900</v>
      </c>
      <c r="R787" s="259" t="s">
        <v>379</v>
      </c>
      <c r="S787" s="373" t="s">
        <v>351</v>
      </c>
      <c r="T787" s="98" t="str">
        <f t="shared" ref="T787:T791" si="16">Q787&amp;S787</f>
        <v>7900Ultima Plus Mk7 4M R/A</v>
      </c>
    </row>
    <row r="788" spans="14:20">
      <c r="N788" s="3">
        <v>771</v>
      </c>
      <c r="O788" s="158">
        <v>183</v>
      </c>
      <c r="P788" s="472" t="s">
        <v>605</v>
      </c>
      <c r="Q788" s="158" t="s">
        <v>316</v>
      </c>
      <c r="R788" s="259" t="s">
        <v>379</v>
      </c>
      <c r="S788" s="370" t="s">
        <v>348</v>
      </c>
      <c r="T788" s="98" t="str">
        <f t="shared" si="16"/>
        <v>7900 SpectrumUltima Plus Mk7 2M</v>
      </c>
    </row>
    <row r="789" spans="14:20">
      <c r="N789" s="3">
        <v>772</v>
      </c>
      <c r="O789" s="158">
        <v>183</v>
      </c>
      <c r="P789" s="472" t="s">
        <v>605</v>
      </c>
      <c r="Q789" s="158" t="s">
        <v>316</v>
      </c>
      <c r="R789" s="259" t="s">
        <v>379</v>
      </c>
      <c r="S789" s="196" t="s">
        <v>349</v>
      </c>
      <c r="T789" s="98" t="str">
        <f t="shared" si="16"/>
        <v>7900 SpectrumUltima Plus Mk7 2M R/A</v>
      </c>
    </row>
    <row r="790" spans="14:20">
      <c r="N790" s="3">
        <v>773</v>
      </c>
      <c r="O790" s="158">
        <v>183</v>
      </c>
      <c r="P790" s="472" t="s">
        <v>605</v>
      </c>
      <c r="Q790" s="158" t="s">
        <v>316</v>
      </c>
      <c r="R790" s="259" t="s">
        <v>379</v>
      </c>
      <c r="S790" s="196" t="s">
        <v>350</v>
      </c>
      <c r="T790" s="98" t="str">
        <f t="shared" si="16"/>
        <v>7900 SpectrumUltima Plus Mk7 4M</v>
      </c>
    </row>
    <row r="791" spans="14:20" ht="13.5" thickBot="1">
      <c r="N791" s="3">
        <v>774</v>
      </c>
      <c r="O791" s="158">
        <v>183</v>
      </c>
      <c r="P791" s="472" t="s">
        <v>605</v>
      </c>
      <c r="Q791" s="158" t="s">
        <v>316</v>
      </c>
      <c r="R791" s="259" t="s">
        <v>379</v>
      </c>
      <c r="S791" s="373" t="s">
        <v>351</v>
      </c>
      <c r="T791" s="98" t="str">
        <f t="shared" si="16"/>
        <v>7900 SpectrumUltima Plus Mk7 4M R/A</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theme="0"/>
  </sheetPr>
  <dimension ref="A3:BI791"/>
  <sheetViews>
    <sheetView showGridLines="0" showRowColHeaders="0" tabSelected="1" topLeftCell="A46" zoomScaleNormal="100" zoomScaleSheetLayoutView="85" workbookViewId="0">
      <selection activeCell="C173" sqref="C173"/>
    </sheetView>
  </sheetViews>
  <sheetFormatPr defaultColWidth="9.140625" defaultRowHeight="12.75"/>
  <cols>
    <col min="1" max="1" width="9.140625" style="112" customWidth="1"/>
    <col min="2" max="2" width="9.140625" style="112"/>
    <col min="3" max="3" width="15" style="113" customWidth="1"/>
    <col min="4" max="4" width="19.140625" style="113" customWidth="1"/>
    <col min="5" max="5" width="14.7109375" style="113" customWidth="1"/>
    <col min="6" max="6" width="52.5703125" style="112" customWidth="1"/>
    <col min="7" max="7" width="10.140625" style="116" customWidth="1"/>
    <col min="8" max="8" width="12.85546875" style="112" customWidth="1"/>
    <col min="9" max="9" width="10.85546875" style="112" customWidth="1"/>
    <col min="10" max="10" width="8.7109375" style="912" customWidth="1"/>
    <col min="11" max="11" width="12.5703125" style="912" customWidth="1"/>
    <col min="12" max="21" width="12.5703125" style="519" hidden="1" customWidth="1"/>
    <col min="22" max="22" width="13.28515625" style="519" hidden="1" customWidth="1"/>
    <col min="23" max="55" width="12.5703125" style="519" hidden="1" customWidth="1"/>
    <col min="56" max="56" width="9.140625" style="519" hidden="1" customWidth="1"/>
    <col min="57" max="57" width="10.7109375" style="519" hidden="1" customWidth="1"/>
    <col min="58" max="58" width="5.7109375" style="912" customWidth="1"/>
    <col min="59" max="59" width="6.85546875" style="519" customWidth="1"/>
    <col min="60" max="60" width="9.140625" style="519" customWidth="1"/>
    <col min="61" max="61" width="9.140625" style="201"/>
    <col min="62" max="16384" width="9.140625" style="112"/>
  </cols>
  <sheetData>
    <row r="3" spans="2:45">
      <c r="B3"/>
      <c r="C3"/>
      <c r="D3"/>
      <c r="E3"/>
      <c r="F3"/>
      <c r="G3"/>
      <c r="H3"/>
      <c r="I3"/>
      <c r="J3" s="1082"/>
    </row>
    <row r="4" spans="2:45" ht="23.25">
      <c r="B4" s="114"/>
      <c r="C4" s="115"/>
      <c r="D4" s="115"/>
      <c r="E4" s="115"/>
      <c r="F4" s="109"/>
      <c r="G4" s="28"/>
      <c r="H4" s="109"/>
      <c r="I4" s="109"/>
      <c r="J4" s="1499"/>
    </row>
    <row r="5" spans="2:45">
      <c r="B5"/>
      <c r="C5" s="1"/>
      <c r="D5" s="1"/>
      <c r="E5" s="1"/>
      <c r="F5"/>
      <c r="G5"/>
      <c r="H5"/>
      <c r="I5"/>
      <c r="J5" s="1499"/>
    </row>
    <row r="6" spans="2:45">
      <c r="B6"/>
      <c r="C6" s="1"/>
      <c r="D6" s="1"/>
      <c r="E6" s="1"/>
      <c r="F6"/>
      <c r="G6" s="2"/>
      <c r="H6"/>
      <c r="I6"/>
      <c r="J6" s="1499"/>
    </row>
    <row r="7" spans="2:45">
      <c r="B7"/>
      <c r="C7" s="1"/>
      <c r="D7" s="1"/>
      <c r="E7" s="1"/>
      <c r="F7"/>
      <c r="G7" s="2"/>
      <c r="H7"/>
      <c r="I7"/>
      <c r="J7" s="1499"/>
      <c r="L7" s="519" t="s">
        <v>111</v>
      </c>
    </row>
    <row r="8" spans="2:45" hidden="1">
      <c r="B8"/>
      <c r="C8" s="55" t="s">
        <v>298</v>
      </c>
      <c r="D8" s="348" t="s">
        <v>97</v>
      </c>
      <c r="E8" s="1"/>
      <c r="F8"/>
      <c r="G8" s="2"/>
      <c r="H8"/>
      <c r="I8"/>
      <c r="J8" s="1499"/>
    </row>
    <row r="9" spans="2:45" hidden="1">
      <c r="B9"/>
      <c r="C9" s="994" t="s">
        <v>1126</v>
      </c>
      <c r="D9" s="348"/>
      <c r="E9" s="775" t="s">
        <v>303</v>
      </c>
      <c r="F9"/>
      <c r="G9" s="2"/>
      <c r="H9"/>
      <c r="I9"/>
      <c r="J9" s="1499"/>
    </row>
    <row r="10" spans="2:45">
      <c r="B10"/>
      <c r="C10" s="775"/>
      <c r="D10" s="55"/>
      <c r="E10" s="775" t="s">
        <v>304</v>
      </c>
      <c r="F10" s="773">
        <f>IF(D8="Yes",CP!I7,IF(D8="No",CP!G7,0%))</f>
        <v>7.4999999999999997E-2</v>
      </c>
      <c r="G10" s="2"/>
      <c r="H10"/>
      <c r="I10"/>
      <c r="J10" s="1499"/>
    </row>
    <row r="11" spans="2:45">
      <c r="B11"/>
      <c r="C11" s="55"/>
      <c r="D11" s="55"/>
      <c r="E11" s="346"/>
      <c r="F11" s="345"/>
      <c r="G11" s="2"/>
      <c r="H11"/>
      <c r="I11"/>
      <c r="J11" s="1499"/>
    </row>
    <row r="12" spans="2:45" ht="13.5" thickBot="1">
      <c r="B12"/>
      <c r="C12" s="55"/>
      <c r="D12" s="55"/>
      <c r="E12" s="342"/>
      <c r="F12" s="875" t="str">
        <f>IF(L41&gt;0, Q17,"")</f>
        <v/>
      </c>
      <c r="G12" s="2"/>
      <c r="H12"/>
      <c r="I12"/>
      <c r="J12" s="1499"/>
    </row>
    <row r="13" spans="2:45" ht="16.5" thickBot="1">
      <c r="B13"/>
      <c r="C13" s="80" t="s">
        <v>43</v>
      </c>
      <c r="D13" s="929"/>
      <c r="E13" s="929"/>
      <c r="F13" s="374" t="str">
        <f>IF(G26&gt;=1, "Need to check correct ink selection!!","")</f>
        <v/>
      </c>
      <c r="G13" s="83"/>
      <c r="H13" s="82"/>
      <c r="I13" s="84"/>
      <c r="J13" s="1499"/>
    </row>
    <row r="14" spans="2:45" ht="4.5" customHeight="1" thickBot="1">
      <c r="B14"/>
      <c r="C14"/>
      <c r="D14"/>
      <c r="E14"/>
      <c r="F14"/>
      <c r="G14"/>
      <c r="H14"/>
      <c r="I14"/>
      <c r="J14" s="1499"/>
    </row>
    <row r="15" spans="2:45" ht="15">
      <c r="B15"/>
      <c r="C15" s="13" t="s">
        <v>1096</v>
      </c>
      <c r="D15" s="935" t="s">
        <v>2</v>
      </c>
      <c r="E15" s="14" t="s">
        <v>9</v>
      </c>
      <c r="F15" s="15" t="s">
        <v>0</v>
      </c>
      <c r="G15" s="16" t="s">
        <v>1</v>
      </c>
      <c r="H15" s="15" t="s">
        <v>3</v>
      </c>
      <c r="I15" s="37" t="s">
        <v>35</v>
      </c>
      <c r="J15" s="1499"/>
      <c r="L15" s="518"/>
      <c r="M15" s="1498"/>
    </row>
    <row r="16" spans="2:45" ht="15">
      <c r="B16"/>
      <c r="C16" s="939" t="s">
        <v>395</v>
      </c>
      <c r="D16" s="936"/>
      <c r="E16" s="217"/>
      <c r="F16" s="218"/>
      <c r="G16" s="219"/>
      <c r="H16" s="218"/>
      <c r="I16" s="216"/>
      <c r="J16" s="1499"/>
      <c r="M16" s="1498"/>
      <c r="U16" s="519" t="s">
        <v>1438</v>
      </c>
      <c r="V16" s="519" t="s">
        <v>1388</v>
      </c>
      <c r="W16" s="519" t="s">
        <v>1433</v>
      </c>
      <c r="X16" s="519" t="s">
        <v>1434</v>
      </c>
      <c r="Y16" s="519" t="s">
        <v>1435</v>
      </c>
      <c r="Z16" s="1498" t="s">
        <v>1390</v>
      </c>
      <c r="AA16" s="1498" t="s">
        <v>35</v>
      </c>
      <c r="AB16" s="1498" t="s">
        <v>1436</v>
      </c>
      <c r="AC16" s="519" t="s">
        <v>1454</v>
      </c>
      <c r="AQ16" s="519" t="s">
        <v>1388</v>
      </c>
      <c r="AR16" s="519" t="s">
        <v>1390</v>
      </c>
      <c r="AS16" s="519" t="s">
        <v>118</v>
      </c>
    </row>
    <row r="17" spans="2:43">
      <c r="B17"/>
      <c r="C17" s="1327"/>
      <c r="D17" s="937" t="str">
        <f>VLOOKUP($F17,$F$391:$I$673,3,FALSE)</f>
        <v>P890-U0-17-SSC</v>
      </c>
      <c r="E17" s="22" t="str">
        <f>VLOOKUP($F17,$F$391:$I$673,2,FALSE)</f>
        <v>02010093</v>
      </c>
      <c r="F17" s="1512" t="s">
        <v>1208</v>
      </c>
      <c r="G17" s="1208"/>
      <c r="H17" s="159" t="str">
        <f>IF(G17&gt;=1,VLOOKUP(F17,F$390:I$673,4,FALSE),"")</f>
        <v/>
      </c>
      <c r="I17" s="160" t="str">
        <f>IF(ISERROR(H17*G17),"",H17*G17)</f>
        <v/>
      </c>
      <c r="J17" s="1499"/>
      <c r="L17" s="518">
        <f>VLOOKUP(F17,$F$391:$L$424,7,FALSE)</f>
        <v>0</v>
      </c>
      <c r="M17" s="1498"/>
      <c r="O17" s="519" t="s">
        <v>331</v>
      </c>
      <c r="P17" s="519">
        <v>1</v>
      </c>
      <c r="Q17" s="519" t="s">
        <v>1012</v>
      </c>
      <c r="R17" s="519" t="s">
        <v>517</v>
      </c>
      <c r="S17" s="519" t="str">
        <f>O17&amp;R17</f>
        <v>Midi Plus Mk7 2MHigh Performance (HP)</v>
      </c>
      <c r="T17" s="519">
        <v>1</v>
      </c>
      <c r="U17" s="519" t="s">
        <v>1439</v>
      </c>
      <c r="V17" s="519" t="str">
        <f>VLOOKUP(Y17,$C$288:$D$308,2, FALSE)</f>
        <v>02030013</v>
      </c>
      <c r="W17" s="518" t="str">
        <f>D17</f>
        <v>P890-U0-17-SSC</v>
      </c>
      <c r="X17" s="518" t="str">
        <f>E17</f>
        <v>02010093</v>
      </c>
      <c r="Y17" s="518" t="str">
        <f>F17</f>
        <v>8900 2m Midi Mk11 (Standard Speed)</v>
      </c>
      <c r="Z17" s="1498" t="str">
        <f>IF(G17&gt;0,G17,"")</f>
        <v/>
      </c>
      <c r="AA17" s="1524" t="str">
        <f>IF(I17&gt;0,I17,"")</f>
        <v/>
      </c>
      <c r="AB17" s="1524">
        <f>IFERROR(IF(I17=0,"",I17*(1+$E$215)),0)</f>
        <v>0</v>
      </c>
      <c r="AC17" s="519" t="str">
        <f>IF(Z17="","", "Show")</f>
        <v/>
      </c>
      <c r="AQ17" s="519" t="str">
        <f t="shared" ref="AQ17:AQ37" si="0">VLOOKUP(F17,$C$288:$G$308,2,FALSE)</f>
        <v>02030013</v>
      </c>
    </row>
    <row r="18" spans="2:43" hidden="1">
      <c r="B18"/>
      <c r="C18" s="1328"/>
      <c r="D18" s="937"/>
      <c r="E18" s="22"/>
      <c r="F18" s="961"/>
      <c r="G18" s="146"/>
      <c r="H18" s="159"/>
      <c r="I18" s="160"/>
      <c r="J18" s="1499"/>
      <c r="L18" s="518"/>
      <c r="M18" s="1498"/>
      <c r="U18" s="519" t="s">
        <v>1439</v>
      </c>
      <c r="W18" s="518"/>
      <c r="X18" s="518"/>
      <c r="Y18" s="518"/>
      <c r="Z18" s="1498"/>
      <c r="AC18" s="519" t="str">
        <f t="shared" ref="AC18:AC90" si="1">IF(Z18="","", "Show")</f>
        <v/>
      </c>
      <c r="AQ18" s="519" t="e">
        <f t="shared" si="0"/>
        <v>#N/A</v>
      </c>
    </row>
    <row r="19" spans="2:43">
      <c r="B19" s="208"/>
      <c r="C19" s="1328"/>
      <c r="D19" s="937" t="str">
        <f>VLOOKUP($F19,$F$391:$I$673,3,FALSE)</f>
        <v>P891-U0-17-HPC</v>
      </c>
      <c r="E19" s="22" t="str">
        <f>VLOOKUP($F19,$F$391:$I$673,2,FALSE)</f>
        <v>02010102</v>
      </c>
      <c r="F19" s="961" t="s">
        <v>1251</v>
      </c>
      <c r="G19" s="1208">
        <v>3</v>
      </c>
      <c r="H19" s="159">
        <f t="shared" ref="H19:H29" si="2">IF(G19&gt;=1,VLOOKUP(F19,F$390:I$673,4,FALSE),"")</f>
        <v>11481</v>
      </c>
      <c r="I19" s="160">
        <f>IF(ISERROR(H19*G19),"",H19*G19)</f>
        <v>34443</v>
      </c>
      <c r="J19" s="1499"/>
      <c r="L19" s="519" t="str">
        <f>F19</f>
        <v>8910 IP55 MIDI 2M (High Speed) </v>
      </c>
      <c r="M19" s="1498"/>
      <c r="O19" s="519" t="s">
        <v>332</v>
      </c>
      <c r="P19" s="519">
        <v>1</v>
      </c>
      <c r="R19" s="519" t="s">
        <v>517</v>
      </c>
      <c r="S19" s="519" t="str">
        <f t="shared" ref="S19:S24" si="3">O19&amp;R19</f>
        <v>Midi Plus Mk7 2M R/AHigh Performance (HP)</v>
      </c>
      <c r="T19" s="519">
        <v>1</v>
      </c>
      <c r="U19" s="519" t="s">
        <v>1439</v>
      </c>
      <c r="V19" s="519" t="str">
        <f>VLOOKUP(Y19,$C$288:$D$308,2, FALSE)</f>
        <v>02030016</v>
      </c>
      <c r="W19" s="518" t="str">
        <f t="shared" ref="W19:Y21" si="4">D19</f>
        <v>P891-U0-17-HPC</v>
      </c>
      <c r="X19" s="518" t="str">
        <f t="shared" si="4"/>
        <v>02010102</v>
      </c>
      <c r="Y19" s="518" t="str">
        <f t="shared" si="4"/>
        <v>8910 IP55 MIDI 2M (High Speed) </v>
      </c>
      <c r="Z19" s="1498">
        <f>IF(G19&gt;0,G19,"")</f>
        <v>3</v>
      </c>
      <c r="AA19" s="1524">
        <f>IF(I19&gt;0,I19,"")</f>
        <v>34443</v>
      </c>
      <c r="AB19" s="1524">
        <f>IFERROR(IF(I19=0,"",I19*(1+$E$215)),0)</f>
        <v>24110.1</v>
      </c>
      <c r="AC19" s="519" t="str">
        <f t="shared" si="1"/>
        <v>Show</v>
      </c>
      <c r="AQ19" s="519" t="str">
        <f t="shared" si="0"/>
        <v>02030016</v>
      </c>
    </row>
    <row r="20" spans="2:43">
      <c r="B20" s="208"/>
      <c r="C20" s="1328"/>
      <c r="D20" s="937" t="str">
        <f>VLOOKUP($F20,$F$391:$I$673,3,FALSE)</f>
        <v>P891-U0-17-HPC</v>
      </c>
      <c r="E20" s="22" t="str">
        <f>VLOOKUP($F20,$F$391:$I$673,2,FALSE)</f>
        <v>02010102</v>
      </c>
      <c r="F20" s="961" t="s">
        <v>1251</v>
      </c>
      <c r="G20" s="1208"/>
      <c r="H20" s="159" t="str">
        <f t="shared" si="2"/>
        <v/>
      </c>
      <c r="I20" s="160" t="str">
        <f>IF(ISERROR(H20*G20),"",H20*G20)</f>
        <v/>
      </c>
      <c r="J20" s="1499"/>
      <c r="L20" s="519" t="str">
        <f>F20</f>
        <v>8910 IP55 MIDI 2M (High Speed) </v>
      </c>
      <c r="M20" s="1498"/>
      <c r="O20" s="519" t="s">
        <v>332</v>
      </c>
      <c r="P20" s="519">
        <v>1</v>
      </c>
      <c r="R20" s="519" t="s">
        <v>517</v>
      </c>
      <c r="S20" s="519" t="str">
        <f t="shared" ref="S20" si="5">O20&amp;R20</f>
        <v>Midi Plus Mk7 2M R/AHigh Performance (HP)</v>
      </c>
      <c r="T20" s="519">
        <v>1</v>
      </c>
      <c r="U20" s="519" t="s">
        <v>1439</v>
      </c>
      <c r="V20" s="519" t="str">
        <f>VLOOKUP(Y20,$C$288:$D$308,2, FALSE)</f>
        <v>02030016</v>
      </c>
      <c r="W20" s="518" t="str">
        <f t="shared" ref="W20" si="6">D20</f>
        <v>P891-U0-17-HPC</v>
      </c>
      <c r="X20" s="518" t="str">
        <f t="shared" ref="X20" si="7">E20</f>
        <v>02010102</v>
      </c>
      <c r="Y20" s="518" t="str">
        <f t="shared" ref="Y20" si="8">F20</f>
        <v>8910 IP55 MIDI 2M (High Speed) </v>
      </c>
      <c r="Z20" s="1498" t="str">
        <f>IF(G20&gt;0,G20,"")</f>
        <v/>
      </c>
      <c r="AA20" s="1524" t="str">
        <f>IF(I20&gt;0,I20,"")</f>
        <v/>
      </c>
      <c r="AB20" s="1524">
        <f>IFERROR(IF(I20=0,"",I20*(1+$E$215)),0)</f>
        <v>0</v>
      </c>
      <c r="AC20" s="519" t="str">
        <f t="shared" ref="AC20" si="9">IF(Z20="","", "Show")</f>
        <v/>
      </c>
      <c r="AQ20" s="519" t="str">
        <f t="shared" si="0"/>
        <v>02030016</v>
      </c>
    </row>
    <row r="21" spans="2:43">
      <c r="B21" s="208"/>
      <c r="C21" s="1328"/>
      <c r="D21" s="937" t="str">
        <f>VLOOKUP($F21,$F$391:$I$673,3,FALSE)</f>
        <v>P892-U0-17-HPC</v>
      </c>
      <c r="E21" s="22" t="str">
        <f>VLOOKUP($F21,$F$391:$I$673,2,FALSE)</f>
        <v>02010105</v>
      </c>
      <c r="F21" s="961" t="s">
        <v>1254</v>
      </c>
      <c r="G21" s="1208"/>
      <c r="H21" s="159" t="str">
        <f t="shared" si="2"/>
        <v/>
      </c>
      <c r="I21" s="160" t="str">
        <f>IF(ISERROR(H21*G21),"",H21*G21)</f>
        <v/>
      </c>
      <c r="J21" s="1499"/>
      <c r="L21" s="519" t="str">
        <f>F21</f>
        <v>8920 IP55 MIDI 2M (High Speed)</v>
      </c>
      <c r="M21" s="1498"/>
      <c r="O21" s="519" t="s">
        <v>332</v>
      </c>
      <c r="P21" s="519">
        <v>1</v>
      </c>
      <c r="R21" s="519" t="s">
        <v>517</v>
      </c>
      <c r="S21" s="519" t="str">
        <f t="shared" ref="S21" si="10">O21&amp;R21</f>
        <v>Midi Plus Mk7 2M R/AHigh Performance (HP)</v>
      </c>
      <c r="T21" s="519">
        <v>1</v>
      </c>
      <c r="U21" s="519" t="s">
        <v>1439</v>
      </c>
      <c r="V21" s="519" t="str">
        <f>VLOOKUP(Y21,$C$288:$D$308,2, FALSE)</f>
        <v>02030014</v>
      </c>
      <c r="W21" s="518" t="str">
        <f t="shared" si="4"/>
        <v>P892-U0-17-HPC</v>
      </c>
      <c r="X21" s="518" t="str">
        <f t="shared" si="4"/>
        <v>02010105</v>
      </c>
      <c r="Y21" s="518" t="str">
        <f t="shared" si="4"/>
        <v>8920 IP55 MIDI 2M (High Speed)</v>
      </c>
      <c r="Z21" s="1498" t="str">
        <f>IF(G21&gt;0,G21,"")</f>
        <v/>
      </c>
      <c r="AA21" s="1524" t="str">
        <f>IF(I21&gt;0,I21,"")</f>
        <v/>
      </c>
      <c r="AB21" s="1524">
        <f>IFERROR(IF(I21=0,"",I21*(1+$E$215)),0)</f>
        <v>0</v>
      </c>
      <c r="AC21" s="519" t="str">
        <f t="shared" ref="AC21" si="11">IF(Z21="","", "Show")</f>
        <v/>
      </c>
      <c r="AQ21" s="519" t="str">
        <f t="shared" si="0"/>
        <v>02030014</v>
      </c>
    </row>
    <row r="22" spans="2:43">
      <c r="B22" s="208"/>
      <c r="C22" s="1328"/>
      <c r="D22" s="937" t="str">
        <f>VLOOKUP($F22,$F$391:$I$673,3,FALSE)</f>
        <v>P892-U0-17-HPC</v>
      </c>
      <c r="E22" s="22" t="str">
        <f>VLOOKUP($F22,$F$391:$I$673,2,FALSE)</f>
        <v>02010105</v>
      </c>
      <c r="F22" s="961" t="s">
        <v>1254</v>
      </c>
      <c r="G22" s="1208"/>
      <c r="H22" s="159" t="str">
        <f t="shared" si="2"/>
        <v/>
      </c>
      <c r="I22" s="160" t="str">
        <f>IF(ISERROR(H22*G22),"",H22*G22)</f>
        <v/>
      </c>
      <c r="J22" s="1499"/>
      <c r="L22" s="519" t="str">
        <f>F22</f>
        <v>8920 IP55 MIDI 2M (High Speed)</v>
      </c>
      <c r="M22" s="1498"/>
      <c r="O22" s="519" t="s">
        <v>332</v>
      </c>
      <c r="P22" s="519">
        <v>1</v>
      </c>
      <c r="R22" s="519" t="s">
        <v>517</v>
      </c>
      <c r="S22" s="519" t="str">
        <f t="shared" ref="S22" si="12">O22&amp;R22</f>
        <v>Midi Plus Mk7 2M R/AHigh Performance (HP)</v>
      </c>
      <c r="T22" s="519">
        <v>1</v>
      </c>
      <c r="U22" s="519" t="s">
        <v>1439</v>
      </c>
      <c r="V22" s="519" t="str">
        <f>VLOOKUP(Y22,$C$288:$D$308,2, FALSE)</f>
        <v>02030014</v>
      </c>
      <c r="W22" s="518" t="str">
        <f t="shared" ref="W22" si="13">D22</f>
        <v>P892-U0-17-HPC</v>
      </c>
      <c r="X22" s="518" t="str">
        <f t="shared" ref="X22" si="14">E22</f>
        <v>02010105</v>
      </c>
      <c r="Y22" s="518" t="str">
        <f t="shared" ref="Y22" si="15">F22</f>
        <v>8920 IP55 MIDI 2M (High Speed)</v>
      </c>
      <c r="Z22" s="1498" t="str">
        <f>IF(G22&gt;0,G22,"")</f>
        <v/>
      </c>
      <c r="AA22" s="1524" t="str">
        <f>IF(I22&gt;0,I22,"")</f>
        <v/>
      </c>
      <c r="AB22" s="1524">
        <f>IFERROR(IF(I22=0,"",I22*(1+$E$215)),0)</f>
        <v>0</v>
      </c>
      <c r="AC22" s="519" t="str">
        <f t="shared" ref="AC22" si="16">IF(Z22="","", "Show")</f>
        <v/>
      </c>
      <c r="AQ22" s="519" t="str">
        <f t="shared" si="0"/>
        <v>02030014</v>
      </c>
    </row>
    <row r="23" spans="2:43">
      <c r="B23" s="208"/>
      <c r="C23" s="1328"/>
      <c r="D23" s="937" t="str">
        <f>VLOOKUP($F23,$F$391:$I$673,3,FALSE)</f>
        <v>P894-U0-17-HPC</v>
      </c>
      <c r="E23" s="22" t="str">
        <f>VLOOKUP($F23,$F$391:$I$673,2,FALSE)</f>
        <v>02010108</v>
      </c>
      <c r="F23" s="961" t="s">
        <v>1317</v>
      </c>
      <c r="G23" s="1208"/>
      <c r="H23" s="159" t="str">
        <f t="shared" si="2"/>
        <v/>
      </c>
      <c r="I23" s="160" t="str">
        <f>IF(ISERROR(H23*G23),"",H23*G23)</f>
        <v/>
      </c>
      <c r="J23" s="1499"/>
      <c r="L23" s="519" t="str">
        <f>F23</f>
        <v>8940 IP65 MIDI 2M (High Speed)</v>
      </c>
      <c r="M23" s="1498"/>
      <c r="O23" s="519" t="s">
        <v>332</v>
      </c>
      <c r="P23" s="519">
        <v>1</v>
      </c>
      <c r="R23" s="519" t="s">
        <v>517</v>
      </c>
      <c r="S23" s="519" t="str">
        <f t="shared" ref="S23" si="17">O23&amp;R23</f>
        <v>Midi Plus Mk7 2M R/AHigh Performance (HP)</v>
      </c>
      <c r="T23" s="519">
        <v>1</v>
      </c>
      <c r="U23" s="519" t="s">
        <v>1439</v>
      </c>
      <c r="V23" s="519" t="str">
        <f>VLOOKUP(Y23,$C$288:$D$308,2, FALSE)</f>
        <v>02030015</v>
      </c>
      <c r="W23" s="518" t="str">
        <f t="shared" ref="W23" si="18">D23</f>
        <v>P894-U0-17-HPC</v>
      </c>
      <c r="X23" s="518" t="str">
        <f t="shared" ref="X23" si="19">E23</f>
        <v>02010108</v>
      </c>
      <c r="Y23" s="518" t="str">
        <f t="shared" ref="Y23" si="20">F23</f>
        <v>8940 IP65 MIDI 2M (High Speed)</v>
      </c>
      <c r="Z23" s="1498" t="str">
        <f>IF(G23&gt;0,G23,"")</f>
        <v/>
      </c>
      <c r="AA23" s="1524" t="str">
        <f>IF(I23&gt;0,I23,"")</f>
        <v/>
      </c>
      <c r="AB23" s="1524">
        <f>IFERROR(IF(I23=0,"",I23*(1+$E$215)),0)</f>
        <v>0</v>
      </c>
      <c r="AC23" s="519" t="str">
        <f t="shared" ref="AC23" si="21">IF(Z23="","", "Show")</f>
        <v/>
      </c>
      <c r="AQ23" s="519" t="str">
        <f t="shared" si="0"/>
        <v>02030015</v>
      </c>
    </row>
    <row r="24" spans="2:43" ht="12.75" customHeight="1">
      <c r="B24" s="208"/>
      <c r="C24" s="1328"/>
      <c r="D24" s="966"/>
      <c r="E24" s="22"/>
      <c r="F24" s="961"/>
      <c r="G24" s="146"/>
      <c r="H24" s="159" t="str">
        <f t="shared" si="2"/>
        <v/>
      </c>
      <c r="I24" s="160" t="str">
        <f t="shared" ref="I24:I26" si="22">IF(ISERROR(H24*G24),"",H24*G24)</f>
        <v/>
      </c>
      <c r="J24" s="1499"/>
      <c r="L24" s="519" t="str">
        <f>L17&amp;L19</f>
        <v>08910 IP55 MIDI 2M (High Speed) </v>
      </c>
      <c r="O24" s="519" t="s">
        <v>334</v>
      </c>
      <c r="P24" s="519">
        <v>1</v>
      </c>
      <c r="R24" s="519" t="s">
        <v>517</v>
      </c>
      <c r="S24" s="519" t="str">
        <f t="shared" si="3"/>
        <v>Midi Plus Mk7 4M R/AHigh Performance (HP)</v>
      </c>
      <c r="T24" s="519">
        <v>1</v>
      </c>
      <c r="W24" s="518"/>
      <c r="X24" s="518"/>
      <c r="Y24" s="518"/>
      <c r="Z24" s="1498"/>
      <c r="AC24" s="519" t="str">
        <f t="shared" si="1"/>
        <v/>
      </c>
      <c r="AQ24" s="519" t="e">
        <f t="shared" si="0"/>
        <v>#N/A</v>
      </c>
    </row>
    <row r="25" spans="2:43" ht="12.75" hidden="1" customHeight="1">
      <c r="B25" s="208"/>
      <c r="C25" s="1328"/>
      <c r="D25" s="937"/>
      <c r="E25" s="22"/>
      <c r="F25" s="196"/>
      <c r="G25" s="146"/>
      <c r="H25" s="159" t="str">
        <f t="shared" si="2"/>
        <v/>
      </c>
      <c r="I25" s="160" t="str">
        <f t="shared" si="22"/>
        <v/>
      </c>
      <c r="J25" s="1499"/>
      <c r="L25" s="518" t="str">
        <f>L19&amp;L21</f>
        <v>8910 IP55 MIDI 2M (High Speed) 8920 IP55 MIDI 2M (High Speed)</v>
      </c>
      <c r="W25" s="518"/>
      <c r="X25" s="518"/>
      <c r="Y25" s="518"/>
      <c r="Z25" s="1498"/>
      <c r="AC25" s="519" t="str">
        <f t="shared" si="1"/>
        <v/>
      </c>
      <c r="AQ25" s="519" t="e">
        <f t="shared" si="0"/>
        <v>#N/A</v>
      </c>
    </row>
    <row r="26" spans="2:43" ht="12.75" hidden="1" customHeight="1">
      <c r="B26" s="208"/>
      <c r="C26" s="1328"/>
      <c r="D26" s="937" t="e">
        <f>VLOOKUP($F26,$F$391:$I$673,3,FALSE)</f>
        <v>#N/A</v>
      </c>
      <c r="E26" s="22" t="e">
        <f>VLOOKUP($F26,$F$391:$I$673,2,FALSE)</f>
        <v>#N/A</v>
      </c>
      <c r="F26" s="961" t="s">
        <v>1094</v>
      </c>
      <c r="G26" s="146"/>
      <c r="H26" s="159" t="str">
        <f t="shared" si="2"/>
        <v/>
      </c>
      <c r="I26" s="160" t="str">
        <f t="shared" si="22"/>
        <v/>
      </c>
      <c r="J26" s="1499"/>
      <c r="L26" s="519" t="e">
        <f>VLOOKUP(F26,$F$391:$L$424,7,FALSE)</f>
        <v>#N/A</v>
      </c>
      <c r="O26" s="519" t="s">
        <v>517</v>
      </c>
      <c r="W26" s="518"/>
      <c r="X26" s="518"/>
      <c r="Y26" s="518"/>
      <c r="Z26" s="1498"/>
      <c r="AC26" s="519" t="str">
        <f t="shared" si="1"/>
        <v/>
      </c>
      <c r="AQ26" s="519" t="e">
        <f t="shared" si="0"/>
        <v>#N/A</v>
      </c>
    </row>
    <row r="27" spans="2:43" ht="12.75" hidden="1" customHeight="1">
      <c r="B27" s="208"/>
      <c r="C27" s="1328"/>
      <c r="D27" s="937">
        <f>VLOOKUP($F27,$F$391:$I$673,3,FALSE)</f>
        <v>0</v>
      </c>
      <c r="E27" s="22">
        <f>VLOOKUP($F27,$F$391:$I$673,2,FALSE)</f>
        <v>0</v>
      </c>
      <c r="F27" s="961" t="s">
        <v>344</v>
      </c>
      <c r="G27" s="146">
        <f>G26</f>
        <v>0</v>
      </c>
      <c r="H27" s="159" t="str">
        <f t="shared" si="2"/>
        <v/>
      </c>
      <c r="I27" s="160" t="str">
        <f>IF(ISERROR(H27*G27),"",H27*G27)</f>
        <v/>
      </c>
      <c r="J27" s="1499"/>
      <c r="L27" s="519" t="str">
        <f>F27</f>
        <v>Ultima Mk7 2M</v>
      </c>
      <c r="W27" s="518"/>
      <c r="X27" s="518"/>
      <c r="Y27" s="518"/>
      <c r="Z27" s="1498"/>
      <c r="AC27" s="519" t="str">
        <f t="shared" si="1"/>
        <v/>
      </c>
      <c r="AQ27" s="519" t="e">
        <f t="shared" si="0"/>
        <v>#N/A</v>
      </c>
    </row>
    <row r="28" spans="2:43" ht="12.75" hidden="1" customHeight="1">
      <c r="B28"/>
      <c r="C28" s="1328"/>
      <c r="D28" s="937">
        <f>VLOOKUP($F28,$F$391:$I$673,3,FALSE)</f>
        <v>0</v>
      </c>
      <c r="E28" s="22">
        <f>VLOOKUP($F28,$F$391:$I$673,2,FALSE)</f>
        <v>0</v>
      </c>
      <c r="F28" s="961" t="s">
        <v>357</v>
      </c>
      <c r="G28" s="146">
        <f>G26</f>
        <v>0</v>
      </c>
      <c r="H28" s="159" t="str">
        <f t="shared" si="2"/>
        <v/>
      </c>
      <c r="I28" s="160" t="str">
        <f t="shared" ref="I28:I29" si="23">IF(ISERROR(H28*G28),"",H28*G28)</f>
        <v/>
      </c>
      <c r="J28" s="1499"/>
      <c r="L28" s="519" t="str">
        <f>F28</f>
        <v>Standard Speed (SS)</v>
      </c>
      <c r="W28" s="518"/>
      <c r="X28" s="518"/>
      <c r="Y28" s="518"/>
      <c r="Z28" s="1498"/>
      <c r="AC28" s="519" t="str">
        <f t="shared" si="1"/>
        <v/>
      </c>
      <c r="AQ28" s="519" t="e">
        <f t="shared" si="0"/>
        <v>#N/A</v>
      </c>
    </row>
    <row r="29" spans="2:43" ht="12.75" hidden="1" customHeight="1">
      <c r="B29"/>
      <c r="C29" s="1328"/>
      <c r="D29" s="937"/>
      <c r="E29" s="22"/>
      <c r="F29" s="961" t="s">
        <v>393</v>
      </c>
      <c r="G29" s="146">
        <f>IF(F26="5900e", G26,0)</f>
        <v>0</v>
      </c>
      <c r="H29" s="159" t="str">
        <f t="shared" si="2"/>
        <v/>
      </c>
      <c r="I29" s="160" t="str">
        <f t="shared" si="23"/>
        <v/>
      </c>
      <c r="J29" s="1499"/>
      <c r="L29" s="519" t="e">
        <f>L26&amp;L27</f>
        <v>#N/A</v>
      </c>
      <c r="W29" s="518"/>
      <c r="X29" s="518"/>
      <c r="Y29" s="518"/>
      <c r="Z29" s="1498"/>
      <c r="AC29" s="519" t="str">
        <f t="shared" si="1"/>
        <v/>
      </c>
      <c r="AQ29" s="519" t="e">
        <f t="shared" si="0"/>
        <v>#N/A</v>
      </c>
    </row>
    <row r="30" spans="2:43" ht="12.75" hidden="1" customHeight="1">
      <c r="B30"/>
      <c r="C30" s="1328"/>
      <c r="D30" s="937"/>
      <c r="E30" s="22"/>
      <c r="F30" s="961"/>
      <c r="G30" s="146"/>
      <c r="H30" s="159"/>
      <c r="I30" s="160"/>
      <c r="J30" s="1499"/>
      <c r="L30" s="518" t="str">
        <f>L27&amp;L28</f>
        <v>Ultima Mk7 2MStandard Speed (SS)</v>
      </c>
      <c r="W30" s="518"/>
      <c r="X30" s="518"/>
      <c r="Y30" s="518"/>
      <c r="Z30" s="1498"/>
      <c r="AC30" s="519" t="str">
        <f t="shared" si="1"/>
        <v/>
      </c>
      <c r="AQ30" s="519" t="e">
        <f t="shared" si="0"/>
        <v>#N/A</v>
      </c>
    </row>
    <row r="31" spans="2:43" ht="12.75" hidden="1" customHeight="1">
      <c r="B31"/>
      <c r="C31" s="1328"/>
      <c r="D31" s="937" t="e">
        <f>VLOOKUP($F31,$F$391:$I$673,3,FALSE)</f>
        <v>#N/A</v>
      </c>
      <c r="E31" s="22" t="e">
        <f>VLOOKUP($F31,$F$391:$I$673,2,FALSE)</f>
        <v>#N/A</v>
      </c>
      <c r="F31" s="1512" t="s">
        <v>318</v>
      </c>
      <c r="G31" s="146"/>
      <c r="H31" s="159" t="str">
        <f t="shared" ref="H31:H37" si="24">IF(G31&gt;=1,VLOOKUP(F31,F$390:I$673,4,FALSE),"")</f>
        <v/>
      </c>
      <c r="I31" s="160" t="str">
        <f t="shared" ref="I31:I33" si="25">IF(ISERROR(H31*G31),"",H31*G31)</f>
        <v/>
      </c>
      <c r="J31" s="1499"/>
      <c r="W31" s="518"/>
      <c r="X31" s="518"/>
      <c r="Y31" s="518"/>
      <c r="Z31" s="1498"/>
      <c r="AC31" s="519" t="str">
        <f t="shared" si="1"/>
        <v/>
      </c>
      <c r="AQ31" s="519" t="e">
        <f t="shared" si="0"/>
        <v>#N/A</v>
      </c>
    </row>
    <row r="32" spans="2:43" ht="12.75" hidden="1" customHeight="1">
      <c r="B32"/>
      <c r="C32" s="1328"/>
      <c r="D32" s="937" t="e">
        <f>VLOOKUP($F32,$F$391:$I$673,3,FALSE)</f>
        <v>#N/A</v>
      </c>
      <c r="E32" s="22" t="e">
        <f>VLOOKUP($F32,$F$391:$I$673,2,FALSE)</f>
        <v>#N/A</v>
      </c>
      <c r="F32" s="961" t="s">
        <v>339</v>
      </c>
      <c r="G32" s="146">
        <f>G31</f>
        <v>0</v>
      </c>
      <c r="H32" s="159" t="str">
        <f t="shared" si="24"/>
        <v/>
      </c>
      <c r="I32" s="160" t="str">
        <f t="shared" si="25"/>
        <v/>
      </c>
      <c r="J32" s="1499"/>
      <c r="L32" s="519">
        <f>IFERROR(VLOOKUP(L25,S17:AB24,2,FALSE),0)</f>
        <v>0</v>
      </c>
      <c r="W32" s="518"/>
      <c r="X32" s="518"/>
      <c r="Y32" s="518"/>
      <c r="Z32" s="1498"/>
      <c r="AC32" s="519" t="str">
        <f t="shared" si="1"/>
        <v/>
      </c>
      <c r="AQ32" s="519" t="e">
        <f t="shared" si="0"/>
        <v>#N/A</v>
      </c>
    </row>
    <row r="33" spans="2:43" hidden="1">
      <c r="B33"/>
      <c r="C33" s="1328"/>
      <c r="D33" s="937"/>
      <c r="E33" s="22"/>
      <c r="F33" s="1512"/>
      <c r="G33" s="146"/>
      <c r="H33" s="159" t="str">
        <f t="shared" si="24"/>
        <v/>
      </c>
      <c r="I33" s="160" t="str">
        <f t="shared" si="25"/>
        <v/>
      </c>
      <c r="J33" s="1499"/>
      <c r="L33" s="519">
        <f>IFERROR(VLOOKUP(L30,S17:AB24,2,FALSE),0)</f>
        <v>0</v>
      </c>
      <c r="U33" s="519" t="s">
        <v>1439</v>
      </c>
      <c r="W33" s="518"/>
      <c r="X33" s="518"/>
      <c r="Y33" s="518"/>
      <c r="Z33" s="1498"/>
      <c r="AC33" s="519" t="str">
        <f t="shared" si="1"/>
        <v/>
      </c>
      <c r="AQ33" s="519" t="e">
        <f t="shared" si="0"/>
        <v>#N/A</v>
      </c>
    </row>
    <row r="34" spans="2:43">
      <c r="B34"/>
      <c r="C34" s="1328"/>
      <c r="D34" s="937" t="str">
        <f>VLOOKUP($F34,$F$391:$I$673,3,FALSE)</f>
        <v>P891-W0-72-HPC</v>
      </c>
      <c r="E34" s="22" t="str">
        <f>VLOOKUP($F34,$F$391:$I$673,2,FALSE)</f>
        <v>02010112</v>
      </c>
      <c r="F34" s="961" t="s">
        <v>1373</v>
      </c>
      <c r="G34" s="1208"/>
      <c r="H34" s="159" t="str">
        <f t="shared" si="24"/>
        <v/>
      </c>
      <c r="I34" s="160" t="str">
        <f t="shared" ref="I34" si="26">IF(ISERROR(H34*G34),"",H34*G34)</f>
        <v/>
      </c>
      <c r="J34" s="1499"/>
      <c r="U34" s="519" t="s">
        <v>1439</v>
      </c>
      <c r="V34" s="519" t="str">
        <f>VLOOKUP(Y34,$C$288:$D$308,2, FALSE)</f>
        <v>02010111</v>
      </c>
      <c r="W34" s="518" t="str">
        <f t="shared" ref="W34:Y36" si="27">D34</f>
        <v>P891-W0-72-HPC</v>
      </c>
      <c r="X34" s="518" t="str">
        <f t="shared" si="27"/>
        <v>02010112</v>
      </c>
      <c r="Y34" s="518" t="str">
        <f t="shared" si="27"/>
        <v>8910c IP55 MIDI PLUS 2M+ (High Speed) - Yellow</v>
      </c>
      <c r="Z34" s="1498" t="str">
        <f>IF(G34&gt;0,G34,"")</f>
        <v/>
      </c>
      <c r="AA34" s="1524" t="str">
        <f>IF(I34&gt;0,I34,"")</f>
        <v/>
      </c>
      <c r="AB34" s="1524">
        <f>IFERROR(IF(I34=0,"",I34*(1+$E$215)),0)</f>
        <v>0</v>
      </c>
      <c r="AC34" s="519" t="str">
        <f t="shared" si="1"/>
        <v/>
      </c>
      <c r="AQ34" s="519" t="str">
        <f t="shared" si="0"/>
        <v>02010111</v>
      </c>
    </row>
    <row r="35" spans="2:43">
      <c r="B35"/>
      <c r="C35" s="1328"/>
      <c r="D35" s="937" t="str">
        <f>VLOOKUP($F35,$F$391:$I$673,3,FALSE)</f>
        <v>P891-W0-72-HPC</v>
      </c>
      <c r="E35" s="22" t="str">
        <f>VLOOKUP($F35,$F$391:$I$673,2,FALSE)</f>
        <v>02010112</v>
      </c>
      <c r="F35" s="961" t="s">
        <v>1373</v>
      </c>
      <c r="G35" s="1208"/>
      <c r="H35" s="159" t="str">
        <f t="shared" si="24"/>
        <v/>
      </c>
      <c r="I35" s="160" t="str">
        <f t="shared" ref="I35" si="28">IF(ISERROR(H35*G35),"",H35*G35)</f>
        <v/>
      </c>
      <c r="J35" s="1499"/>
      <c r="U35" s="519" t="s">
        <v>1439</v>
      </c>
      <c r="V35" s="519" t="str">
        <f>VLOOKUP(Y35,$C$288:$D$308,2, FALSE)</f>
        <v>02010111</v>
      </c>
      <c r="W35" s="518" t="str">
        <f t="shared" ref="W35" si="29">D35</f>
        <v>P891-W0-72-HPC</v>
      </c>
      <c r="X35" s="518" t="str">
        <f t="shared" ref="X35" si="30">E35</f>
        <v>02010112</v>
      </c>
      <c r="Y35" s="518" t="str">
        <f t="shared" ref="Y35" si="31">F35</f>
        <v>8910c IP55 MIDI PLUS 2M+ (High Speed) - Yellow</v>
      </c>
      <c r="Z35" s="1498" t="str">
        <f>IF(G35&gt;0,G35,"")</f>
        <v/>
      </c>
      <c r="AA35" s="1524" t="str">
        <f>IF(I35&gt;0,I35,"")</f>
        <v/>
      </c>
      <c r="AB35" s="1524">
        <f>IFERROR(IF(I35=0,"",I35*(1+$E$215)),0)</f>
        <v>0</v>
      </c>
      <c r="AC35" s="519" t="str">
        <f t="shared" ref="AC35" si="32">IF(Z35="","", "Show")</f>
        <v/>
      </c>
      <c r="AQ35" s="519" t="str">
        <f t="shared" si="0"/>
        <v>02010111</v>
      </c>
    </row>
    <row r="36" spans="2:43">
      <c r="B36"/>
      <c r="C36" s="1328"/>
      <c r="D36" s="937" t="str">
        <f>VLOOKUP($F36,$F$391:$I$673,3,FALSE)</f>
        <v>P892-W0-72-HPC</v>
      </c>
      <c r="E36" s="22" t="str">
        <f>VLOOKUP($F36,$F$391:$I$673,2,FALSE)</f>
        <v>02010111</v>
      </c>
      <c r="F36" s="961" t="s">
        <v>1374</v>
      </c>
      <c r="G36" s="1208"/>
      <c r="H36" s="159" t="str">
        <f t="shared" si="24"/>
        <v/>
      </c>
      <c r="I36" s="160" t="str">
        <f t="shared" ref="I36" si="33">IF(ISERROR(H36*G36),"",H36*G36)</f>
        <v/>
      </c>
      <c r="J36" s="1499"/>
      <c r="U36" s="519" t="s">
        <v>1439</v>
      </c>
      <c r="V36" s="519" t="str">
        <f>VLOOKUP(Y36,$C$288:$D$308,2, FALSE)</f>
        <v>02010111</v>
      </c>
      <c r="W36" s="518" t="str">
        <f t="shared" si="27"/>
        <v>P892-W0-72-HPC</v>
      </c>
      <c r="X36" s="518" t="str">
        <f t="shared" si="27"/>
        <v>02010111</v>
      </c>
      <c r="Y36" s="518" t="str">
        <f t="shared" si="27"/>
        <v>8920c IP55 MIDI PLUS 2M+ (High Speed) - Yellow</v>
      </c>
      <c r="Z36" s="1498" t="str">
        <f>IF(G36&gt;0,G36,"")</f>
        <v/>
      </c>
      <c r="AA36" s="1524" t="str">
        <f>IF(I36&gt;0,I36,"")</f>
        <v/>
      </c>
      <c r="AB36" s="1524">
        <f>IFERROR(IF(I36=0,"",I36*(1+$E$215)),0)</f>
        <v>0</v>
      </c>
      <c r="AC36" s="519" t="str">
        <f t="shared" ref="AC36" si="34">IF(Z36="","", "Show")</f>
        <v/>
      </c>
      <c r="AQ36" s="519" t="str">
        <f t="shared" si="0"/>
        <v>02010111</v>
      </c>
    </row>
    <row r="37" spans="2:43">
      <c r="B37"/>
      <c r="C37" s="1328"/>
      <c r="D37" s="937" t="str">
        <f>VLOOKUP($F37,$F$391:$I$673,3,FALSE)</f>
        <v>P892-W0-72-HPC</v>
      </c>
      <c r="E37" s="22" t="str">
        <f>VLOOKUP($F37,$F$391:$I$673,2,FALSE)</f>
        <v>02010111</v>
      </c>
      <c r="F37" s="961" t="s">
        <v>1374</v>
      </c>
      <c r="G37" s="1208"/>
      <c r="H37" s="159" t="str">
        <f t="shared" si="24"/>
        <v/>
      </c>
      <c r="I37" s="160" t="str">
        <f t="shared" ref="I37" si="35">IF(ISERROR(H37*G37),"",H37*G37)</f>
        <v/>
      </c>
      <c r="J37" s="1499"/>
      <c r="U37" s="519" t="s">
        <v>1439</v>
      </c>
      <c r="V37" s="519" t="str">
        <f>VLOOKUP(Y37,$C$288:$D$308,2, FALSE)</f>
        <v>02010111</v>
      </c>
      <c r="W37" s="518" t="str">
        <f t="shared" ref="W37" si="36">D37</f>
        <v>P892-W0-72-HPC</v>
      </c>
      <c r="X37" s="518" t="str">
        <f t="shared" ref="X37" si="37">E37</f>
        <v>02010111</v>
      </c>
      <c r="Y37" s="518" t="str">
        <f t="shared" ref="Y37" si="38">F37</f>
        <v>8920c IP55 MIDI PLUS 2M+ (High Speed) - Yellow</v>
      </c>
      <c r="Z37" s="1498" t="str">
        <f>IF(G37&gt;0,G37,"")</f>
        <v/>
      </c>
      <c r="AA37" s="1524" t="str">
        <f>IF(I37&gt;0,I37,"")</f>
        <v/>
      </c>
      <c r="AB37" s="1524">
        <f>IFERROR(IF(I37=0,"",I37*(1+$E$215)),0)</f>
        <v>0</v>
      </c>
      <c r="AC37" s="519" t="str">
        <f t="shared" ref="AC37" si="39">IF(Z37="","", "Show")</f>
        <v/>
      </c>
      <c r="AQ37" s="519" t="str">
        <f t="shared" si="0"/>
        <v>02010111</v>
      </c>
    </row>
    <row r="38" spans="2:43">
      <c r="B38"/>
      <c r="C38" s="1328"/>
      <c r="D38" s="1097"/>
      <c r="E38" s="74"/>
      <c r="F38" s="1513"/>
      <c r="G38" s="146"/>
      <c r="H38" s="1374"/>
      <c r="I38" s="1375"/>
      <c r="J38" s="1499"/>
      <c r="W38" s="518"/>
      <c r="X38" s="518"/>
      <c r="Y38" s="518"/>
      <c r="Z38" s="1498"/>
      <c r="AA38" s="1524"/>
      <c r="AB38" s="1524"/>
    </row>
    <row r="39" spans="2:43">
      <c r="B39"/>
      <c r="C39" s="1328"/>
      <c r="D39" s="937" t="str">
        <f>VLOOKUP($F39,$F$391:$I$673,3,FALSE)</f>
        <v>P891-U0-71-HPC</v>
      </c>
      <c r="E39" s="22" t="str">
        <f>VLOOKUP($F39,$F$391:$I$673,2,FALSE)</f>
        <v>02010116</v>
      </c>
      <c r="F39" s="961" t="s">
        <v>1465</v>
      </c>
      <c r="G39" s="1208"/>
      <c r="H39" s="159" t="str">
        <f>IF(G39&gt;=1,VLOOKUP(F39,F$390:I$673,4,FALSE),"")</f>
        <v/>
      </c>
      <c r="I39" s="160" t="str">
        <f t="shared" ref="I39:I40" si="40">IF(ISERROR(H39*G39),"",H39*G39)</f>
        <v/>
      </c>
      <c r="J39" s="1499"/>
      <c r="U39" s="519" t="s">
        <v>1439</v>
      </c>
      <c r="V39" s="519" t="str">
        <f>VLOOKUP(Y39,$C$288:$D$308,2, FALSE)</f>
        <v>02030016</v>
      </c>
      <c r="W39" s="518" t="str">
        <f t="shared" ref="W39:Y40" si="41">D39</f>
        <v>P891-U0-71-HPC</v>
      </c>
      <c r="X39" s="518" t="str">
        <f t="shared" si="41"/>
        <v>02010116</v>
      </c>
      <c r="Y39" s="518" t="str">
        <f t="shared" si="41"/>
        <v>8910 IP55 MIDI 2M (High Speed) - Thermochromic</v>
      </c>
      <c r="Z39" s="1498" t="str">
        <f>IF(G39&gt;0,G39,"")</f>
        <v/>
      </c>
      <c r="AA39" s="1524" t="str">
        <f>IF(I39&gt;0,I39,"")</f>
        <v/>
      </c>
      <c r="AB39" s="1524">
        <f>IFERROR(IF(I39=0,"",I39*(1+$E$215)),0)</f>
        <v>0</v>
      </c>
      <c r="AC39" s="519" t="str">
        <f t="shared" ref="AC39:AC40" si="42">IF(Z39="","", "Show")</f>
        <v/>
      </c>
      <c r="AQ39" s="519" t="str">
        <f>VLOOKUP(F39,$C$288:$G$308,2,FALSE)</f>
        <v>02030016</v>
      </c>
    </row>
    <row r="40" spans="2:43">
      <c r="B40"/>
      <c r="C40" s="1328"/>
      <c r="D40" s="937" t="str">
        <f>VLOOKUP($F40,$F$391:$I$673,3,FALSE)</f>
        <v>P892-U0-71-HPC</v>
      </c>
      <c r="E40" s="22" t="str">
        <f>VLOOKUP($F40,$F$391:$I$673,2,FALSE)</f>
        <v>02010117</v>
      </c>
      <c r="F40" s="961" t="s">
        <v>1466</v>
      </c>
      <c r="G40" s="1208"/>
      <c r="H40" s="159" t="str">
        <f>IF(G40&gt;=1,VLOOKUP(F40,F$390:I$673,4,FALSE),"")</f>
        <v/>
      </c>
      <c r="I40" s="160" t="str">
        <f t="shared" si="40"/>
        <v/>
      </c>
      <c r="J40" s="1499"/>
      <c r="U40" s="519" t="s">
        <v>1439</v>
      </c>
      <c r="V40" s="519" t="str">
        <f>VLOOKUP(Y40,$C$288:$D$308,2, FALSE)</f>
        <v>02030014</v>
      </c>
      <c r="W40" s="518" t="str">
        <f t="shared" si="41"/>
        <v>P892-U0-71-HPC</v>
      </c>
      <c r="X40" s="518" t="str">
        <f t="shared" si="41"/>
        <v>02010117</v>
      </c>
      <c r="Y40" s="518" t="str">
        <f t="shared" si="41"/>
        <v>8920 IP55 MIDI 2M (High Speed) - Thermochromic</v>
      </c>
      <c r="Z40" s="1498" t="str">
        <f>IF(G40&gt;0,G40,"")</f>
        <v/>
      </c>
      <c r="AA40" s="1524" t="str">
        <f>IF(I40&gt;0,I40,"")</f>
        <v/>
      </c>
      <c r="AB40" s="1524">
        <f>IFERROR(IF(I40=0,"",I40*(1+$E$215)),0)</f>
        <v>0</v>
      </c>
      <c r="AC40" s="519" t="str">
        <f t="shared" si="42"/>
        <v/>
      </c>
      <c r="AQ40" s="519" t="str">
        <f>VLOOKUP(F40,$C$288:$G$308,2,FALSE)</f>
        <v>02030014</v>
      </c>
    </row>
    <row r="41" spans="2:43" ht="13.5" thickBot="1">
      <c r="B41" s="208"/>
      <c r="C41" s="1329"/>
      <c r="D41" s="938"/>
      <c r="E41" s="25"/>
      <c r="F41" s="789"/>
      <c r="G41" s="147"/>
      <c r="H41" s="351" t="str">
        <f>IF(G41&gt;=1,VLOOKUP(F41,F$390:I$673,4,FALSE),"")</f>
        <v/>
      </c>
      <c r="I41" s="248" t="str">
        <f>IF(ISERROR(H41*G41),"",H41*G41)</f>
        <v/>
      </c>
      <c r="J41" s="1499"/>
      <c r="L41" s="519">
        <f>SUM(L32:L33)</f>
        <v>0</v>
      </c>
      <c r="W41" s="518"/>
      <c r="X41" s="518"/>
      <c r="Y41" s="518"/>
      <c r="Z41" s="1498"/>
      <c r="AC41" s="519" t="str">
        <f t="shared" si="1"/>
        <v/>
      </c>
      <c r="AQ41" s="519" t="e">
        <f>VLOOKUP(F41,$C$288:$G$308,2,FALSE)</f>
        <v>#N/A</v>
      </c>
    </row>
    <row r="42" spans="2:43" ht="13.5" thickBot="1">
      <c r="B42" s="208"/>
      <c r="C42" s="205"/>
      <c r="D42" s="205"/>
      <c r="E42" s="205"/>
      <c r="F42" s="205"/>
      <c r="G42" s="205"/>
      <c r="H42" s="51" t="s">
        <v>42</v>
      </c>
      <c r="I42" s="247">
        <f>SUM(I17:I41)</f>
        <v>34443</v>
      </c>
      <c r="J42" s="1499"/>
      <c r="W42" s="518"/>
      <c r="X42" s="518"/>
      <c r="Y42" s="518"/>
      <c r="Z42" s="1498"/>
      <c r="AC42" s="519" t="str">
        <f t="shared" si="1"/>
        <v/>
      </c>
      <c r="AQ42" s="519" t="e">
        <f>VLOOKUP(F42,$C$288:$G$308,2,FALSE)</f>
        <v>#N/A</v>
      </c>
    </row>
    <row r="43" spans="2:43" ht="13.5" thickBot="1">
      <c r="B43" s="208"/>
      <c r="C43" s="205"/>
      <c r="D43" s="205"/>
      <c r="E43" s="205"/>
      <c r="F43" s="205"/>
      <c r="G43" s="205"/>
      <c r="H43" s="205"/>
      <c r="I43" s="205"/>
      <c r="J43" s="1499"/>
      <c r="W43" s="518"/>
      <c r="X43" s="518"/>
      <c r="Y43" s="518"/>
      <c r="Z43" s="1498"/>
      <c r="AC43" s="519" t="str">
        <f t="shared" si="1"/>
        <v/>
      </c>
    </row>
    <row r="44" spans="2:43" ht="16.5" thickBot="1">
      <c r="B44" s="208"/>
      <c r="C44" s="80" t="s">
        <v>109</v>
      </c>
      <c r="D44" s="81"/>
      <c r="E44" s="81"/>
      <c r="F44" s="107"/>
      <c r="G44" s="83"/>
      <c r="H44" s="82"/>
      <c r="I44" s="84"/>
      <c r="J44" s="1499"/>
      <c r="W44" s="518"/>
      <c r="X44" s="518"/>
      <c r="Y44" s="518"/>
      <c r="Z44" s="1498"/>
      <c r="AC44" s="519" t="str">
        <f t="shared" si="1"/>
        <v/>
      </c>
    </row>
    <row r="45" spans="2:43" ht="4.5" customHeight="1" thickBot="1">
      <c r="B45"/>
      <c r="C45"/>
      <c r="D45"/>
      <c r="E45"/>
      <c r="F45"/>
      <c r="G45"/>
      <c r="H45"/>
      <c r="I45"/>
      <c r="J45" s="1499"/>
      <c r="W45" s="518"/>
      <c r="X45" s="518"/>
      <c r="Y45" s="518"/>
      <c r="Z45" s="1498"/>
      <c r="AC45" s="519" t="str">
        <f t="shared" si="1"/>
        <v/>
      </c>
    </row>
    <row r="46" spans="2:43" ht="15">
      <c r="B46" s="205"/>
      <c r="C46" s="396" t="s">
        <v>553</v>
      </c>
      <c r="D46" s="392"/>
      <c r="E46" s="392"/>
      <c r="F46" s="393"/>
      <c r="G46" s="394"/>
      <c r="H46" s="395"/>
      <c r="I46" s="391"/>
      <c r="J46" s="1499"/>
      <c r="W46" s="518"/>
      <c r="X46" s="518"/>
      <c r="Y46" s="518"/>
      <c r="Z46" s="1498"/>
      <c r="AC46" s="519" t="str">
        <f t="shared" si="1"/>
        <v/>
      </c>
    </row>
    <row r="47" spans="2:43" ht="38.25">
      <c r="B47" s="205"/>
      <c r="C47" s="1327"/>
      <c r="D47" s="1262" t="str">
        <f>VLOOKUP($F47,$F$391:$I$673,3,FALSE)</f>
        <v>6033185, 20081501/01_A-01, 20081501/02_A-01</v>
      </c>
      <c r="E47" s="794" t="str">
        <f>VLOOKUP($F47,$F$391:$I$673,2,FALSE)</f>
        <v>11060101, 13120085, 13120086</v>
      </c>
      <c r="F47" s="961" t="s">
        <v>399</v>
      </c>
      <c r="G47" s="1208">
        <f>SUM(G17,G26,G19,G34,G36,G39,G40,G21)</f>
        <v>3</v>
      </c>
      <c r="H47" s="964">
        <f>IF(ISERROR(IF(G47&gt;=1,VLOOKUP(F47,F$390:I$673,4,FALSE),"")),"",IF(G47&gt;=1,VLOOKUP(F47,F$390:I$673,4,FALSE),""))</f>
        <v>230</v>
      </c>
      <c r="I47" s="160">
        <f>IF(ISERROR(H47*G47),"",H47*G47)</f>
        <v>690</v>
      </c>
      <c r="J47" s="1499"/>
      <c r="U47" s="519" t="s">
        <v>1439</v>
      </c>
      <c r="W47" s="518" t="str">
        <f t="shared" ref="W47:Y48" si="43">D47</f>
        <v>6033185, 20081501/01_A-01, 20081501/02_A-01</v>
      </c>
      <c r="X47" s="518" t="str">
        <f t="shared" si="43"/>
        <v>11060101, 13120085, 13120086</v>
      </c>
      <c r="Y47" s="518" t="str">
        <f t="shared" si="43"/>
        <v>Reflective Sensor -WL8G-N2131 (inc bracket &amp; refector)</v>
      </c>
      <c r="Z47" s="1498">
        <f>IF(G47&gt;0,G47,"")</f>
        <v>3</v>
      </c>
      <c r="AA47" s="1524">
        <f>IF(I47&gt;0,I47,"")</f>
        <v>690</v>
      </c>
      <c r="AB47" s="1524">
        <f>IF(I47=0,"",I47)</f>
        <v>690</v>
      </c>
      <c r="AC47" s="519" t="str">
        <f t="shared" si="1"/>
        <v>Show</v>
      </c>
    </row>
    <row r="48" spans="2:43">
      <c r="B48" s="205"/>
      <c r="C48" s="1330"/>
      <c r="D48" s="1262" t="str">
        <f>VLOOKUP(F47&amp;$F48,$D$391:$I$673,5,FALSE)</f>
        <v xml:space="preserve">MU02037 </v>
      </c>
      <c r="E48" s="794">
        <f>VLOOKUP(F47&amp;$F48,$D$391:$I$672,4,FALSE)</f>
        <v>11020007</v>
      </c>
      <c r="F48" s="187" t="s">
        <v>71</v>
      </c>
      <c r="G48" s="1208">
        <f>G47</f>
        <v>3</v>
      </c>
      <c r="H48" s="159">
        <f>IF(ISERROR(IF(G48&gt;=1,VLOOKUP(F48,F$390:I$673,4,FALSE),"")),"",IF(G48&gt;=1,VLOOKUP(F48,F$390:I$673,4,FALSE),""))</f>
        <v>20</v>
      </c>
      <c r="I48" s="160">
        <f t="shared" ref="I48:I59" si="44">IF(ISERROR(H48*G48),"",H48*G48)</f>
        <v>60</v>
      </c>
      <c r="J48" s="1499"/>
      <c r="U48" s="519" t="s">
        <v>1439</v>
      </c>
      <c r="W48" s="518" t="str">
        <f t="shared" si="43"/>
        <v xml:space="preserve">MU02037 </v>
      </c>
      <c r="X48" s="518">
        <f t="shared" si="43"/>
        <v>11020007</v>
      </c>
      <c r="Y48" s="518" t="str">
        <f t="shared" si="43"/>
        <v>PE Cable - 5m</v>
      </c>
      <c r="Z48" s="1498">
        <f>IF(G48&gt;0,G48,"")</f>
        <v>3</v>
      </c>
      <c r="AA48" s="1524">
        <f>IF(I48&gt;0,I48,"")</f>
        <v>60</v>
      </c>
      <c r="AB48" s="1524">
        <f>IF(I48=0,"",I48)</f>
        <v>60</v>
      </c>
      <c r="AC48" s="519" t="str">
        <f t="shared" si="1"/>
        <v>Show</v>
      </c>
    </row>
    <row r="49" spans="2:29">
      <c r="B49" s="205"/>
      <c r="C49" s="165"/>
      <c r="D49" s="937"/>
      <c r="E49" s="794"/>
      <c r="F49" s="157"/>
      <c r="G49" s="146"/>
      <c r="H49" s="159"/>
      <c r="I49" s="160"/>
      <c r="J49" s="1499"/>
      <c r="U49" s="519" t="s">
        <v>1439</v>
      </c>
      <c r="W49" s="518"/>
      <c r="X49" s="518"/>
      <c r="Y49" s="518"/>
      <c r="Z49" s="1498"/>
      <c r="AC49" s="519" t="str">
        <f t="shared" si="1"/>
        <v/>
      </c>
    </row>
    <row r="50" spans="2:29" ht="15">
      <c r="B50" s="205"/>
      <c r="C50" s="397" t="s">
        <v>554</v>
      </c>
      <c r="D50" s="398"/>
      <c r="E50" s="1264"/>
      <c r="F50" s="399"/>
      <c r="G50" s="400"/>
      <c r="H50" s="432"/>
      <c r="I50" s="431"/>
      <c r="J50" s="1499"/>
      <c r="U50" s="519" t="s">
        <v>1439</v>
      </c>
      <c r="W50" s="518"/>
      <c r="X50" s="518"/>
      <c r="Y50" s="518"/>
      <c r="Z50" s="1498"/>
      <c r="AC50" s="519" t="str">
        <f t="shared" si="1"/>
        <v/>
      </c>
    </row>
    <row r="51" spans="2:29">
      <c r="B51" s="205"/>
      <c r="C51" s="1327"/>
      <c r="D51" s="1262" t="str">
        <f t="shared" ref="D51:D57" si="45">VLOOKUP($F51,$F$391:$I$673,3,FALSE)</f>
        <v>1036721</v>
      </c>
      <c r="E51" s="466">
        <f t="shared" ref="E51:E57" si="46">VLOOKUP($F51,$F$391:$I$673,2,FALSE)</f>
        <v>11050023</v>
      </c>
      <c r="F51" s="157" t="s">
        <v>87</v>
      </c>
      <c r="G51" s="1208"/>
      <c r="H51" s="159" t="str">
        <f t="shared" ref="H51:H57" si="47">IF(ISERROR(IF(G51&gt;=1,VLOOKUP(F51,F$390:I$673,4,FALSE),"")),"",IF(G51&gt;=1,VLOOKUP(F51,F$390:I$673,4,FALSE),""))</f>
        <v/>
      </c>
      <c r="I51" s="160" t="str">
        <f t="shared" si="44"/>
        <v/>
      </c>
      <c r="J51" s="1499"/>
      <c r="U51" s="519" t="s">
        <v>1439</v>
      </c>
      <c r="W51" s="518" t="str">
        <f t="shared" ref="W51:Y55" si="48">D51</f>
        <v>1036721</v>
      </c>
      <c r="X51" s="518">
        <f t="shared" si="48"/>
        <v>11050023</v>
      </c>
      <c r="Y51" s="518" t="str">
        <f t="shared" si="48"/>
        <v>Programmable Encoder</v>
      </c>
      <c r="Z51" s="1498" t="str">
        <f>IF(G51&gt;0,G51,"")</f>
        <v/>
      </c>
      <c r="AA51" s="1524" t="str">
        <f>IF(I51&gt;0,I51,"")</f>
        <v/>
      </c>
      <c r="AB51" s="1524" t="str">
        <f t="shared" ref="AB51:AB57" si="49">IF(I51=0,"",I51)</f>
        <v/>
      </c>
      <c r="AC51" s="519" t="str">
        <f t="shared" si="1"/>
        <v/>
      </c>
    </row>
    <row r="52" spans="2:29">
      <c r="B52" s="205"/>
      <c r="C52" s="1328"/>
      <c r="D52" s="1262">
        <f t="shared" si="45"/>
        <v>5318678</v>
      </c>
      <c r="E52" s="466">
        <f t="shared" si="46"/>
        <v>11990007</v>
      </c>
      <c r="F52" s="157" t="s">
        <v>98</v>
      </c>
      <c r="G52" s="1208">
        <f>G51</f>
        <v>0</v>
      </c>
      <c r="H52" s="159" t="str">
        <f t="shared" si="47"/>
        <v/>
      </c>
      <c r="I52" s="160" t="str">
        <f t="shared" si="44"/>
        <v/>
      </c>
      <c r="J52" s="1499"/>
      <c r="U52" s="519" t="s">
        <v>1439</v>
      </c>
      <c r="W52" s="518">
        <f t="shared" si="48"/>
        <v>5318678</v>
      </c>
      <c r="X52" s="518">
        <f t="shared" si="48"/>
        <v>11990007</v>
      </c>
      <c r="Y52" s="518" t="str">
        <f t="shared" si="48"/>
        <v>Encoder Wheel</v>
      </c>
      <c r="Z52" s="1498" t="str">
        <f>IF(G52&gt;0,G52,"")</f>
        <v/>
      </c>
      <c r="AA52" s="1524" t="str">
        <f>IF(I52&gt;0,I52,"")</f>
        <v/>
      </c>
      <c r="AB52" s="1524" t="str">
        <f t="shared" si="49"/>
        <v/>
      </c>
      <c r="AC52" s="519" t="str">
        <f t="shared" si="1"/>
        <v/>
      </c>
    </row>
    <row r="53" spans="2:29">
      <c r="B53" s="205"/>
      <c r="C53" s="1328"/>
      <c r="D53" s="1262" t="str">
        <f t="shared" si="45"/>
        <v>SKME2046\01</v>
      </c>
      <c r="E53" s="466">
        <f t="shared" si="46"/>
        <v>13120007</v>
      </c>
      <c r="F53" s="157" t="s">
        <v>100</v>
      </c>
      <c r="G53" s="1208">
        <f>G51</f>
        <v>0</v>
      </c>
      <c r="H53" s="159" t="str">
        <f t="shared" si="47"/>
        <v/>
      </c>
      <c r="I53" s="160" t="str">
        <f t="shared" si="44"/>
        <v/>
      </c>
      <c r="J53" s="1499"/>
      <c r="U53" s="519" t="s">
        <v>1439</v>
      </c>
      <c r="W53" s="518" t="str">
        <f t="shared" si="48"/>
        <v>SKME2046\01</v>
      </c>
      <c r="X53" s="518">
        <f t="shared" si="48"/>
        <v>13120007</v>
      </c>
      <c r="Y53" s="518" t="str">
        <f t="shared" si="48"/>
        <v>Encoder Mount - Spring Loaded</v>
      </c>
      <c r="Z53" s="1498" t="str">
        <f>IF(G53&gt;0,G53,"")</f>
        <v/>
      </c>
      <c r="AA53" s="1524" t="str">
        <f>IF(I53&gt;0,I53,"")</f>
        <v/>
      </c>
      <c r="AB53" s="1524" t="str">
        <f t="shared" si="49"/>
        <v/>
      </c>
      <c r="AC53" s="519" t="str">
        <f t="shared" si="1"/>
        <v/>
      </c>
    </row>
    <row r="54" spans="2:29">
      <c r="B54" s="205"/>
      <c r="C54" s="1328"/>
      <c r="D54" s="1262" t="str">
        <f t="shared" si="45"/>
        <v>6032867</v>
      </c>
      <c r="E54" s="466" t="str">
        <f t="shared" si="46"/>
        <v>11050024</v>
      </c>
      <c r="F54" s="157" t="s">
        <v>89</v>
      </c>
      <c r="G54" s="1208">
        <f>G51</f>
        <v>0</v>
      </c>
      <c r="H54" s="159" t="str">
        <f t="shared" si="47"/>
        <v/>
      </c>
      <c r="I54" s="160" t="str">
        <f t="shared" si="44"/>
        <v/>
      </c>
      <c r="J54" s="1499"/>
      <c r="U54" s="519" t="s">
        <v>1439</v>
      </c>
      <c r="W54" s="518" t="str">
        <f t="shared" si="48"/>
        <v>6032867</v>
      </c>
      <c r="X54" s="518" t="str">
        <f t="shared" si="48"/>
        <v>11050024</v>
      </c>
      <c r="Y54" s="518" t="str">
        <f t="shared" si="48"/>
        <v>Encoder Cable Length - 5 metres</v>
      </c>
      <c r="Z54" s="1498" t="str">
        <f>IF(G54&gt;0,G54,"")</f>
        <v/>
      </c>
      <c r="AA54" s="1524" t="str">
        <f>IF(I54&gt;0,I54,"")</f>
        <v/>
      </c>
      <c r="AB54" s="1524" t="str">
        <f t="shared" si="49"/>
        <v/>
      </c>
      <c r="AC54" s="519" t="str">
        <f t="shared" si="1"/>
        <v/>
      </c>
    </row>
    <row r="55" spans="2:29">
      <c r="B55" s="205"/>
      <c r="C55" s="1328"/>
      <c r="D55" s="1262" t="str">
        <f t="shared" si="45"/>
        <v>6032868</v>
      </c>
      <c r="E55" s="466" t="str">
        <f t="shared" si="46"/>
        <v>11050025</v>
      </c>
      <c r="F55" s="157" t="s">
        <v>90</v>
      </c>
      <c r="G55" s="1208"/>
      <c r="H55" s="159" t="str">
        <f t="shared" si="47"/>
        <v/>
      </c>
      <c r="I55" s="160" t="str">
        <f t="shared" si="44"/>
        <v/>
      </c>
      <c r="J55" s="1499"/>
      <c r="U55" s="519" t="s">
        <v>1439</v>
      </c>
      <c r="W55" s="518" t="str">
        <f t="shared" si="48"/>
        <v>6032868</v>
      </c>
      <c r="X55" s="518" t="str">
        <f t="shared" si="48"/>
        <v>11050025</v>
      </c>
      <c r="Y55" s="518" t="str">
        <f t="shared" si="48"/>
        <v>Encoder Cable Length - 10 metres</v>
      </c>
      <c r="Z55" s="1498" t="str">
        <f>IF(G55&gt;0,G55,"")</f>
        <v/>
      </c>
      <c r="AA55" s="1524" t="str">
        <f>IF(I55&gt;0,I55,"")</f>
        <v/>
      </c>
      <c r="AB55" s="1524" t="str">
        <f t="shared" si="49"/>
        <v/>
      </c>
      <c r="AC55" s="519" t="str">
        <f t="shared" si="1"/>
        <v/>
      </c>
    </row>
    <row r="56" spans="2:29" ht="12.75" hidden="1" customHeight="1">
      <c r="B56" s="205"/>
      <c r="C56" s="1328"/>
      <c r="D56" s="1262" t="str">
        <f t="shared" si="45"/>
        <v>SKME2046\01</v>
      </c>
      <c r="E56" s="466">
        <f t="shared" si="46"/>
        <v>13120007</v>
      </c>
      <c r="F56" s="157" t="s">
        <v>100</v>
      </c>
      <c r="G56" s="1208"/>
      <c r="H56" s="159" t="str">
        <f t="shared" si="47"/>
        <v/>
      </c>
      <c r="I56" s="160" t="str">
        <f t="shared" si="44"/>
        <v/>
      </c>
      <c r="J56" s="1499"/>
      <c r="U56" s="519" t="s">
        <v>1439</v>
      </c>
      <c r="W56" s="518"/>
      <c r="X56" s="518"/>
      <c r="Y56" s="518"/>
      <c r="Z56" s="1498"/>
      <c r="AB56" s="1524" t="str">
        <f t="shared" si="49"/>
        <v/>
      </c>
      <c r="AC56" s="519" t="str">
        <f t="shared" si="1"/>
        <v/>
      </c>
    </row>
    <row r="57" spans="2:29">
      <c r="B57" s="205"/>
      <c r="C57" s="1330"/>
      <c r="D57" s="1262" t="str">
        <f t="shared" si="45"/>
        <v>CG003</v>
      </c>
      <c r="E57" s="466">
        <f t="shared" si="46"/>
        <v>13120016</v>
      </c>
      <c r="F57" s="157" t="s">
        <v>396</v>
      </c>
      <c r="G57" s="1208"/>
      <c r="H57" s="159" t="str">
        <f t="shared" si="47"/>
        <v/>
      </c>
      <c r="I57" s="160" t="str">
        <f t="shared" si="44"/>
        <v/>
      </c>
      <c r="J57" s="1499"/>
      <c r="U57" s="519" t="s">
        <v>1439</v>
      </c>
      <c r="W57" s="518" t="str">
        <f>D57</f>
        <v>CG003</v>
      </c>
      <c r="X57" s="518">
        <f>E57</f>
        <v>13120016</v>
      </c>
      <c r="Y57" s="518" t="str">
        <f>F57</f>
        <v>Encoder Mount - Free Fall</v>
      </c>
      <c r="Z57" s="1498" t="str">
        <f>IF(G57&gt;0,G57,"")</f>
        <v/>
      </c>
      <c r="AA57" s="1524" t="str">
        <f>IF(I57&gt;0,I57,"")</f>
        <v/>
      </c>
      <c r="AB57" s="1524" t="str">
        <f t="shared" si="49"/>
        <v/>
      </c>
      <c r="AC57" s="519" t="str">
        <f t="shared" si="1"/>
        <v/>
      </c>
    </row>
    <row r="58" spans="2:29">
      <c r="B58" s="205"/>
      <c r="C58" s="165"/>
      <c r="D58" s="937"/>
      <c r="E58" s="22"/>
      <c r="F58" s="196"/>
      <c r="G58" s="146"/>
      <c r="H58" s="159"/>
      <c r="I58" s="160"/>
      <c r="J58" s="1499"/>
      <c r="W58" s="518"/>
      <c r="X58" s="518"/>
      <c r="Y58" s="518"/>
      <c r="Z58" s="1498"/>
      <c r="AC58" s="519" t="str">
        <f t="shared" si="1"/>
        <v/>
      </c>
    </row>
    <row r="59" spans="2:29" ht="12.75" customHeight="1" thickBot="1">
      <c r="B59" s="205"/>
      <c r="C59" s="24"/>
      <c r="D59" s="948"/>
      <c r="E59" s="25"/>
      <c r="F59" s="212"/>
      <c r="G59" s="147"/>
      <c r="H59" s="351" t="str">
        <f>IF(ISERROR(IF(G59&gt;=1,VLOOKUP(F59,F$390:I$673,4,FALSE),"")),"",IF(G59&gt;=1,VLOOKUP(F59,F$390:I$673,4,FALSE),""))</f>
        <v/>
      </c>
      <c r="I59" s="250" t="str">
        <f t="shared" si="44"/>
        <v/>
      </c>
      <c r="J59" s="1499"/>
      <c r="W59" s="518"/>
      <c r="X59" s="518"/>
      <c r="Y59" s="518"/>
      <c r="Z59" s="1498"/>
      <c r="AC59" s="519" t="str">
        <f t="shared" si="1"/>
        <v/>
      </c>
    </row>
    <row r="60" spans="2:29" ht="12.75" customHeight="1" thickBot="1">
      <c r="B60" s="205"/>
      <c r="C60" s="26"/>
      <c r="D60" s="26"/>
      <c r="E60" s="26"/>
      <c r="F60" s="153"/>
      <c r="G60" s="369"/>
      <c r="H60" s="211" t="s">
        <v>42</v>
      </c>
      <c r="I60" s="430">
        <f>SUM(I47:I59)</f>
        <v>750</v>
      </c>
      <c r="J60" s="1499"/>
      <c r="W60" s="518"/>
      <c r="X60" s="518"/>
      <c r="Y60" s="518"/>
      <c r="Z60" s="1498"/>
      <c r="AC60" s="519" t="str">
        <f t="shared" si="1"/>
        <v/>
      </c>
    </row>
    <row r="61" spans="2:29" ht="12.75" customHeight="1" thickBot="1">
      <c r="B61" s="205"/>
      <c r="C61" s="26"/>
      <c r="D61" s="26"/>
      <c r="E61" s="26"/>
      <c r="F61" s="153"/>
      <c r="G61" s="369"/>
      <c r="H61" s="229"/>
      <c r="I61" s="401"/>
      <c r="J61" s="1499"/>
      <c r="W61" s="518"/>
      <c r="X61" s="518"/>
      <c r="Y61" s="518"/>
      <c r="Z61" s="1498"/>
      <c r="AC61" s="519" t="str">
        <f t="shared" si="1"/>
        <v/>
      </c>
    </row>
    <row r="62" spans="2:29" ht="16.5" thickBot="1">
      <c r="B62" s="205"/>
      <c r="C62" s="80" t="s">
        <v>315</v>
      </c>
      <c r="D62" s="81"/>
      <c r="E62" s="81"/>
      <c r="F62" s="107"/>
      <c r="G62" s="83"/>
      <c r="H62" s="82"/>
      <c r="I62" s="84"/>
      <c r="J62" s="1499"/>
      <c r="W62" s="518"/>
      <c r="X62" s="518"/>
      <c r="Y62" s="518"/>
      <c r="Z62" s="1498"/>
      <c r="AC62" s="519" t="str">
        <f t="shared" si="1"/>
        <v/>
      </c>
    </row>
    <row r="63" spans="2:29" ht="4.5" customHeight="1" thickBot="1">
      <c r="B63"/>
      <c r="C63"/>
      <c r="D63"/>
      <c r="E63"/>
      <c r="F63"/>
      <c r="G63"/>
      <c r="H63"/>
      <c r="I63"/>
      <c r="J63" s="1499"/>
      <c r="W63" s="518"/>
      <c r="X63" s="518"/>
      <c r="Y63" s="518"/>
      <c r="Z63" s="1498"/>
      <c r="AC63" s="519" t="str">
        <f t="shared" si="1"/>
        <v/>
      </c>
    </row>
    <row r="64" spans="2:29" ht="12.75" customHeight="1">
      <c r="B64" s="205"/>
      <c r="C64" s="1339"/>
      <c r="D64" s="947" t="str">
        <f>VLOOKUP($F64,$F$391:$I$673,3,FALSE)</f>
        <v>8900 TROLLEY</v>
      </c>
      <c r="E64" s="1305">
        <f>VLOOKUP($F64,$F$391:$I$673,2,FALSE)</f>
        <v>13110007</v>
      </c>
      <c r="F64" s="370" t="s">
        <v>1257</v>
      </c>
      <c r="G64" s="1209">
        <f>SUM(G17,G19,G34,G36,G39,G40,G21)</f>
        <v>3</v>
      </c>
      <c r="H64" s="485">
        <f>IF(G64&gt;=1,VLOOKUP(F64,F$390:I$673,4,FALSE),"")</f>
        <v>1083</v>
      </c>
      <c r="I64" s="249">
        <f t="shared" ref="I64:I84" si="50">IF(ISERROR(H64*G64),"",H64*G64)</f>
        <v>3249</v>
      </c>
      <c r="J64" s="1499"/>
      <c r="U64" s="519" t="s">
        <v>1439</v>
      </c>
      <c r="W64" s="518" t="str">
        <f>D64</f>
        <v>8900 TROLLEY</v>
      </c>
      <c r="X64" s="518">
        <f>E64</f>
        <v>13110007</v>
      </c>
      <c r="Y64" s="518" t="str">
        <f>F64</f>
        <v>8900 Linx Trolley</v>
      </c>
      <c r="Z64" s="1498">
        <f>IF(G64&gt;0,G64,"")</f>
        <v>3</v>
      </c>
      <c r="AA64" s="1524">
        <f>IF(I64&gt;0,I64,"")</f>
        <v>3249</v>
      </c>
      <c r="AB64" s="1524">
        <f t="shared" ref="AB64" si="51">IF(I64=0,"",I64)</f>
        <v>3249</v>
      </c>
      <c r="AC64" s="519" t="str">
        <f t="shared" si="1"/>
        <v>Show</v>
      </c>
    </row>
    <row r="65" spans="2:29" ht="12.75" hidden="1" customHeight="1">
      <c r="B65" s="205"/>
      <c r="C65" s="1328"/>
      <c r="D65" s="1097" t="e">
        <f>VLOOKUP($F65,$F$391:$I$673,3,FALSE)</f>
        <v>#N/A</v>
      </c>
      <c r="E65" s="74" t="e">
        <f>VLOOKUP($F65,$F$391:$I$673,2,FALSE)</f>
        <v>#N/A</v>
      </c>
      <c r="F65" s="1098" t="s">
        <v>490</v>
      </c>
      <c r="G65" s="1210"/>
      <c r="H65" s="159" t="str">
        <f>IF(G65&gt;=1,VLOOKUP(F65,F$390:I$673,4,FALSE),"")</f>
        <v/>
      </c>
      <c r="I65" s="160" t="str">
        <f t="shared" si="50"/>
        <v/>
      </c>
      <c r="J65" s="1499"/>
      <c r="U65" s="519" t="s">
        <v>1439</v>
      </c>
      <c r="W65" s="518"/>
      <c r="X65" s="518"/>
      <c r="Y65" s="518"/>
      <c r="Z65" s="1498"/>
      <c r="AC65" s="519" t="str">
        <f t="shared" si="1"/>
        <v/>
      </c>
    </row>
    <row r="66" spans="2:29" ht="12.75" hidden="1" customHeight="1">
      <c r="B66" s="205"/>
      <c r="C66" s="1328"/>
      <c r="D66" s="1099">
        <f>VLOOKUP($F66,$F$391:$I$673,3,FALSE)</f>
        <v>16304</v>
      </c>
      <c r="E66" s="22">
        <f>VLOOKUP($F66,$F$391:$I$673,2,FALSE)</f>
        <v>13110001</v>
      </c>
      <c r="F66" s="196" t="s">
        <v>364</v>
      </c>
      <c r="G66" s="1210"/>
      <c r="H66" s="159"/>
      <c r="I66" s="160"/>
      <c r="J66" s="1499"/>
      <c r="U66" s="519" t="s">
        <v>1439</v>
      </c>
      <c r="W66" s="518"/>
      <c r="X66" s="518"/>
      <c r="Y66" s="518"/>
      <c r="Z66" s="1498"/>
      <c r="AC66" s="519" t="str">
        <f t="shared" si="1"/>
        <v/>
      </c>
    </row>
    <row r="67" spans="2:29" ht="12.75" customHeight="1">
      <c r="B67" s="205"/>
      <c r="C67" s="1328"/>
      <c r="D67" s="966" t="s">
        <v>1102</v>
      </c>
      <c r="E67" s="965" t="s">
        <v>1101</v>
      </c>
      <c r="F67" s="187" t="s">
        <v>1100</v>
      </c>
      <c r="G67" s="1208"/>
      <c r="H67" s="159">
        <v>5650</v>
      </c>
      <c r="I67" s="160">
        <f t="shared" si="50"/>
        <v>0</v>
      </c>
      <c r="J67" s="1499"/>
      <c r="U67" s="519" t="s">
        <v>1439</v>
      </c>
      <c r="W67" s="518" t="str">
        <f>D67</f>
        <v>FA69002</v>
      </c>
      <c r="X67" s="518" t="str">
        <f>E67</f>
        <v>02020422</v>
      </c>
      <c r="Y67" s="518" t="str">
        <f>F67</f>
        <v>Linx Marking Table</v>
      </c>
      <c r="Z67" s="1498" t="str">
        <f>IF(G67&gt;0,G67,"")</f>
        <v/>
      </c>
      <c r="AA67" s="1524" t="str">
        <f>IF(I67&gt;0,I67,"")</f>
        <v/>
      </c>
      <c r="AB67" s="1524" t="str">
        <f t="shared" ref="AB67" si="52">IF(I67=0,"",I67)</f>
        <v/>
      </c>
      <c r="AC67" s="519" t="str">
        <f t="shared" si="1"/>
        <v/>
      </c>
    </row>
    <row r="68" spans="2:29" ht="12.75" customHeight="1">
      <c r="B68" s="205"/>
      <c r="C68" s="1328"/>
      <c r="D68" s="937"/>
      <c r="E68" s="22"/>
      <c r="F68" s="187"/>
      <c r="G68" s="146"/>
      <c r="H68" s="159"/>
      <c r="I68" s="160"/>
      <c r="J68" s="1499"/>
      <c r="U68" s="519" t="s">
        <v>1439</v>
      </c>
      <c r="W68" s="518"/>
      <c r="X68" s="518"/>
      <c r="Y68" s="518"/>
      <c r="Z68" s="1498"/>
      <c r="AC68" s="519" t="str">
        <f t="shared" si="1"/>
        <v/>
      </c>
    </row>
    <row r="69" spans="2:29" ht="27" customHeight="1">
      <c r="B69" s="205"/>
      <c r="C69" s="1328"/>
      <c r="D69" s="1262" t="str">
        <f>VLOOKUP($F69,$F$391:$I$673,3,FALSE)</f>
        <v>TSTAWBP30431.75-1.6A</v>
      </c>
      <c r="E69" s="22" t="str">
        <f>VLOOKUP($F69,$F$391:$I$673,2,FALSE)</f>
        <v>02020036</v>
      </c>
      <c r="F69" s="390" t="s">
        <v>366</v>
      </c>
      <c r="G69" s="1208">
        <v>3</v>
      </c>
      <c r="H69" s="159">
        <f>IF(G69&gt;=1,VLOOKUP(F69,F$390:I$673,4,FALSE),"")</f>
        <v>50</v>
      </c>
      <c r="I69" s="160">
        <f t="shared" si="50"/>
        <v>150</v>
      </c>
      <c r="J69" s="1499"/>
      <c r="U69" s="519" t="s">
        <v>1439</v>
      </c>
      <c r="W69" s="518" t="str">
        <f t="shared" ref="W69:Y71" si="53">D69</f>
        <v>TSTAWBP30431.75-1.6A</v>
      </c>
      <c r="X69" s="518" t="str">
        <f t="shared" si="53"/>
        <v>02020036</v>
      </c>
      <c r="Y69" s="518" t="str">
        <f t="shared" si="53"/>
        <v>Printhead Mounting Pole (1500mm)</v>
      </c>
      <c r="Z69" s="1498">
        <f>IF(G69&gt;0,G69,"")</f>
        <v>3</v>
      </c>
      <c r="AA69" s="1524">
        <f>IF(I69&gt;0,I69,"")</f>
        <v>150</v>
      </c>
      <c r="AB69" s="1524">
        <f t="shared" ref="AB69:AB71" si="54">IF(I69=0,"",I69)</f>
        <v>150</v>
      </c>
      <c r="AC69" s="519" t="str">
        <f t="shared" si="1"/>
        <v>Show</v>
      </c>
    </row>
    <row r="70" spans="2:29" ht="27.75" customHeight="1">
      <c r="B70" s="205"/>
      <c r="C70" s="1328"/>
      <c r="D70" s="1262" t="str">
        <f>VLOOKUP($F70,$F$391:$I$673,3,FALSE)</f>
        <v>TSTAWBP30431.75-1.6A</v>
      </c>
      <c r="E70" s="22" t="str">
        <f>VLOOKUP($F70,$F$391:$I$673,2,FALSE)</f>
        <v>02020035</v>
      </c>
      <c r="F70" s="390" t="s">
        <v>365</v>
      </c>
      <c r="G70" s="1208">
        <f>G64</f>
        <v>3</v>
      </c>
      <c r="H70" s="159">
        <f>IF(G70&gt;=1,VLOOKUP(F70,F$390:I$673,4,FALSE),"")</f>
        <v>16</v>
      </c>
      <c r="I70" s="160">
        <f t="shared" si="50"/>
        <v>48</v>
      </c>
      <c r="J70" s="1499"/>
      <c r="U70" s="519" t="s">
        <v>1439</v>
      </c>
      <c r="W70" s="518" t="str">
        <f t="shared" si="53"/>
        <v>TSTAWBP30431.75-1.6A</v>
      </c>
      <c r="X70" s="518" t="str">
        <f t="shared" si="53"/>
        <v>02020035</v>
      </c>
      <c r="Y70" s="518" t="str">
        <f t="shared" si="53"/>
        <v>Printhead Mounting Pole (700mm)</v>
      </c>
      <c r="Z70" s="1498">
        <f>IF(G70&gt;0,G70,"")</f>
        <v>3</v>
      </c>
      <c r="AA70" s="1524">
        <f>IF(I70&gt;0,I70,"")</f>
        <v>48</v>
      </c>
      <c r="AB70" s="1524">
        <f t="shared" si="54"/>
        <v>48</v>
      </c>
      <c r="AC70" s="519" t="str">
        <f t="shared" si="1"/>
        <v>Show</v>
      </c>
    </row>
    <row r="71" spans="2:29" ht="12.75" customHeight="1">
      <c r="B71" s="205"/>
      <c r="C71" s="1328"/>
      <c r="D71" s="937" t="str">
        <f>VLOOKUP($F71,$F$391:$I$673,3,FALSE)</f>
        <v>FA62048</v>
      </c>
      <c r="E71" s="22" t="str">
        <f>VLOOKUP($F71,$F$391:$I$673,2,FALSE)</f>
        <v>02020124</v>
      </c>
      <c r="F71" s="390" t="s">
        <v>503</v>
      </c>
      <c r="G71" s="1208">
        <f>G64</f>
        <v>3</v>
      </c>
      <c r="H71" s="159">
        <f>IF(G71&gt;=1,VLOOKUP(F71,F$390:I$673,4,FALSE),"")</f>
        <v>91</v>
      </c>
      <c r="I71" s="160">
        <f t="shared" si="50"/>
        <v>273</v>
      </c>
      <c r="J71" s="1499"/>
      <c r="U71" s="519" t="s">
        <v>1439</v>
      </c>
      <c r="W71" s="518" t="str">
        <f t="shared" si="53"/>
        <v>FA62048</v>
      </c>
      <c r="X71" s="518" t="str">
        <f t="shared" si="53"/>
        <v>02020124</v>
      </c>
      <c r="Y71" s="518" t="str">
        <f t="shared" si="53"/>
        <v>Cross Joint</v>
      </c>
      <c r="Z71" s="1498">
        <f>IF(G71&gt;0,G71,"")</f>
        <v>3</v>
      </c>
      <c r="AA71" s="1524">
        <f>IF(I71&gt;0,I71,"")</f>
        <v>273</v>
      </c>
      <c r="AB71" s="1524">
        <f t="shared" si="54"/>
        <v>273</v>
      </c>
      <c r="AC71" s="519" t="str">
        <f t="shared" si="1"/>
        <v>Show</v>
      </c>
    </row>
    <row r="72" spans="2:29" ht="12.75" customHeight="1">
      <c r="B72" s="205"/>
      <c r="C72" s="1328"/>
      <c r="D72" s="937"/>
      <c r="E72" s="22"/>
      <c r="F72" s="390"/>
      <c r="G72" s="146"/>
      <c r="H72" s="159"/>
      <c r="I72" s="160"/>
      <c r="J72" s="1499"/>
      <c r="U72" s="519" t="s">
        <v>1439</v>
      </c>
      <c r="W72" s="518"/>
      <c r="X72" s="518"/>
      <c r="Y72" s="518"/>
      <c r="Z72" s="1498"/>
      <c r="AC72" s="519" t="str">
        <f t="shared" si="1"/>
        <v/>
      </c>
    </row>
    <row r="73" spans="2:29" ht="12.75" customHeight="1">
      <c r="B73" s="205"/>
      <c r="C73" s="1328"/>
      <c r="D73" s="937" t="str">
        <f>VLOOKUP($F73,$F$391:$I$673,3,FALSE)</f>
        <v>FA62047</v>
      </c>
      <c r="E73" s="22" t="str">
        <f>VLOOKUP($F73,$F$391:$I$673,2,FALSE)</f>
        <v>02020123</v>
      </c>
      <c r="F73" s="390" t="s">
        <v>504</v>
      </c>
      <c r="G73" s="1208">
        <f>G64</f>
        <v>3</v>
      </c>
      <c r="H73" s="159">
        <f>IF(G73&gt;=1,VLOOKUP(F73,F$390:I$673,4,FALSE),"")</f>
        <v>347</v>
      </c>
      <c r="I73" s="160">
        <f t="shared" si="50"/>
        <v>1041</v>
      </c>
      <c r="J73" s="1499"/>
      <c r="U73" s="519" t="s">
        <v>1439</v>
      </c>
      <c r="W73" s="518" t="str">
        <f t="shared" ref="W73:Y75" si="55">D73</f>
        <v>FA62047</v>
      </c>
      <c r="X73" s="518" t="str">
        <f t="shared" si="55"/>
        <v>02020123</v>
      </c>
      <c r="Y73" s="518" t="str">
        <f t="shared" si="55"/>
        <v>Printhead Bracket, Adjustable - Pole Mount</v>
      </c>
      <c r="Z73" s="1498">
        <f>IF(G73&gt;0,G73,"")</f>
        <v>3</v>
      </c>
      <c r="AA73" s="1524">
        <f>IF(I73&gt;0,I73,"")</f>
        <v>1041</v>
      </c>
      <c r="AB73" s="1524">
        <f t="shared" ref="AB73:AB75" si="56">IF(I73=0,"",I73)</f>
        <v>1041</v>
      </c>
      <c r="AC73" s="519" t="str">
        <f t="shared" si="1"/>
        <v>Show</v>
      </c>
    </row>
    <row r="74" spans="2:29" ht="12.75" customHeight="1">
      <c r="B74" s="205"/>
      <c r="C74" s="1328"/>
      <c r="D74" s="937" t="str">
        <f>VLOOKUP($F74,$F$391:$I$673,3,FALSE)</f>
        <v>FA62044</v>
      </c>
      <c r="E74" s="22" t="str">
        <f>VLOOKUP($F74,$F$391:$I$673,2,FALSE)</f>
        <v>02020121</v>
      </c>
      <c r="F74" s="390" t="s">
        <v>505</v>
      </c>
      <c r="G74" s="1208"/>
      <c r="H74" s="159" t="str">
        <f>IF(G74&gt;=1,VLOOKUP(F74,F$390:I$673,4,FALSE),"")</f>
        <v/>
      </c>
      <c r="I74" s="160" t="str">
        <f t="shared" si="50"/>
        <v/>
      </c>
      <c r="J74" s="1499"/>
      <c r="U74" s="519" t="s">
        <v>1439</v>
      </c>
      <c r="W74" s="518" t="str">
        <f t="shared" si="55"/>
        <v>FA62044</v>
      </c>
      <c r="X74" s="518" t="str">
        <f t="shared" si="55"/>
        <v>02020121</v>
      </c>
      <c r="Y74" s="518" t="str">
        <f t="shared" si="55"/>
        <v>Printhead Bracket, Fixed - Direct Mount</v>
      </c>
      <c r="Z74" s="1498" t="str">
        <f>IF(G74&gt;0,G74,"")</f>
        <v/>
      </c>
      <c r="AA74" s="1524" t="str">
        <f>IF(I74&gt;0,I74,"")</f>
        <v/>
      </c>
      <c r="AB74" s="1524" t="str">
        <f t="shared" si="56"/>
        <v/>
      </c>
      <c r="AC74" s="519" t="str">
        <f t="shared" si="1"/>
        <v/>
      </c>
    </row>
    <row r="75" spans="2:29" ht="12.75" customHeight="1">
      <c r="B75" s="205"/>
      <c r="C75" s="1328"/>
      <c r="D75" s="937" t="str">
        <f>VLOOKUP($F75,$F$391:$I$673,3,FALSE)</f>
        <v>FA62046</v>
      </c>
      <c r="E75" s="22" t="str">
        <f>VLOOKUP($F75,$F$391:$I$673,2,FALSE)</f>
        <v>02020122</v>
      </c>
      <c r="F75" s="390" t="s">
        <v>506</v>
      </c>
      <c r="G75" s="1208"/>
      <c r="H75" s="159" t="str">
        <f>IF(G75&gt;=1,VLOOKUP(F75,F$390:I$673,4,FALSE),"")</f>
        <v/>
      </c>
      <c r="I75" s="160" t="str">
        <f t="shared" si="50"/>
        <v/>
      </c>
      <c r="J75" s="1499"/>
      <c r="U75" s="519" t="s">
        <v>1439</v>
      </c>
      <c r="W75" s="518" t="str">
        <f t="shared" si="55"/>
        <v>FA62046</v>
      </c>
      <c r="X75" s="518" t="str">
        <f t="shared" si="55"/>
        <v>02020122</v>
      </c>
      <c r="Y75" s="518" t="str">
        <f t="shared" si="55"/>
        <v>Printhead Bracket, Fixed - Pole Mount</v>
      </c>
      <c r="Z75" s="1498" t="str">
        <f>IF(G75&gt;0,G75,"")</f>
        <v/>
      </c>
      <c r="AA75" s="1524" t="str">
        <f>IF(I75&gt;0,I75,"")</f>
        <v/>
      </c>
      <c r="AB75" s="1524" t="str">
        <f t="shared" si="56"/>
        <v/>
      </c>
      <c r="AC75" s="519" t="str">
        <f t="shared" si="1"/>
        <v/>
      </c>
    </row>
    <row r="76" spans="2:29" ht="12.75" customHeight="1">
      <c r="B76" s="205"/>
      <c r="C76" s="1328"/>
      <c r="D76" s="937"/>
      <c r="E76" s="22"/>
      <c r="F76" s="390"/>
      <c r="G76" s="146"/>
      <c r="H76" s="159"/>
      <c r="I76" s="160"/>
      <c r="J76" s="1499"/>
      <c r="U76" s="519" t="s">
        <v>1439</v>
      </c>
      <c r="W76" s="518"/>
      <c r="X76" s="518"/>
      <c r="Y76" s="518"/>
      <c r="Z76" s="1498"/>
      <c r="AC76" s="519" t="str">
        <f t="shared" si="1"/>
        <v/>
      </c>
    </row>
    <row r="77" spans="2:29">
      <c r="B77" s="205"/>
      <c r="C77" s="1328"/>
      <c r="D77" s="937" t="str">
        <f>VLOOKUP($F77,$F$391:$I$673,3,FALSE)</f>
        <v>FA62050</v>
      </c>
      <c r="E77" s="22" t="str">
        <f>VLOOKUP($F77,$F$391:$I$673,2,FALSE)</f>
        <v>02020126</v>
      </c>
      <c r="F77" s="390" t="s">
        <v>499</v>
      </c>
      <c r="G77" s="1208"/>
      <c r="H77" s="159" t="str">
        <f t="shared" ref="H77:H84" si="57">IF(G77&gt;=1,VLOOKUP(F77,F$390:I$673,4,FALSE),"")</f>
        <v/>
      </c>
      <c r="I77" s="160" t="str">
        <f t="shared" si="50"/>
        <v/>
      </c>
      <c r="J77" s="1499"/>
      <c r="U77" s="519" t="s">
        <v>1439</v>
      </c>
      <c r="W77" s="518" t="str">
        <f t="shared" ref="W77:Y82" si="58">D77</f>
        <v>FA62050</v>
      </c>
      <c r="X77" s="518" t="str">
        <f t="shared" si="58"/>
        <v>02020126</v>
      </c>
      <c r="Y77" s="518" t="str">
        <f t="shared" si="58"/>
        <v>Base - Direct Horizontal Mount, Fixed</v>
      </c>
      <c r="Z77" s="1498" t="str">
        <f t="shared" ref="Z77:Z82" si="59">IF(G77&gt;0,G77,"")</f>
        <v/>
      </c>
      <c r="AA77" s="1524" t="str">
        <f t="shared" ref="AA77:AA82" si="60">IF(I77&gt;0,I77,"")</f>
        <v/>
      </c>
      <c r="AB77" s="1524" t="str">
        <f t="shared" ref="AB77:AB82" si="61">IF(I77=0,"",I77)</f>
        <v/>
      </c>
      <c r="AC77" s="519" t="str">
        <f t="shared" si="1"/>
        <v/>
      </c>
    </row>
    <row r="78" spans="2:29" ht="12.75" customHeight="1">
      <c r="B78" s="205"/>
      <c r="C78" s="1328"/>
      <c r="D78" s="937" t="str">
        <f>VLOOKUP($F78,$F$391:$I$673,3,FALSE)</f>
        <v>FA62049</v>
      </c>
      <c r="E78" s="22" t="str">
        <f>VLOOKUP($F78,$F$391:$I$673,2,FALSE)</f>
        <v>02020125</v>
      </c>
      <c r="F78" s="390" t="s">
        <v>500</v>
      </c>
      <c r="G78" s="1211"/>
      <c r="H78" s="159" t="str">
        <f t="shared" si="57"/>
        <v/>
      </c>
      <c r="I78" s="160" t="str">
        <f t="shared" si="50"/>
        <v/>
      </c>
      <c r="J78" s="1499"/>
      <c r="U78" s="519" t="s">
        <v>1439</v>
      </c>
      <c r="W78" s="518" t="str">
        <f t="shared" si="58"/>
        <v>FA62049</v>
      </c>
      <c r="X78" s="518" t="str">
        <f t="shared" si="58"/>
        <v>02020125</v>
      </c>
      <c r="Y78" s="518" t="str">
        <f t="shared" si="58"/>
        <v>Base - Direct Vertical Mount, Fixed</v>
      </c>
      <c r="Z78" s="1498" t="str">
        <f t="shared" si="59"/>
        <v/>
      </c>
      <c r="AA78" s="1524" t="str">
        <f t="shared" si="60"/>
        <v/>
      </c>
      <c r="AB78" s="1524" t="str">
        <f t="shared" si="61"/>
        <v/>
      </c>
      <c r="AC78" s="519" t="str">
        <f t="shared" si="1"/>
        <v/>
      </c>
    </row>
    <row r="79" spans="2:29" ht="12.75" customHeight="1">
      <c r="B79" s="205"/>
      <c r="C79" s="1328"/>
      <c r="D79" s="937" t="str">
        <f>VLOOKUP($F79,$F$391:$I$673,3,FALSE)</f>
        <v>FA62051</v>
      </c>
      <c r="E79" s="22" t="str">
        <f>VLOOKUP($F79,$F$391:$I$673,2,FALSE)</f>
        <v>02020127</v>
      </c>
      <c r="F79" s="390" t="s">
        <v>501</v>
      </c>
      <c r="G79" s="1208"/>
      <c r="H79" s="159" t="str">
        <f t="shared" si="57"/>
        <v/>
      </c>
      <c r="I79" s="160" t="str">
        <f t="shared" si="50"/>
        <v/>
      </c>
      <c r="J79" s="1499"/>
      <c r="U79" s="519" t="s">
        <v>1439</v>
      </c>
      <c r="W79" s="518" t="str">
        <f t="shared" si="58"/>
        <v>FA62051</v>
      </c>
      <c r="X79" s="518" t="str">
        <f t="shared" si="58"/>
        <v>02020127</v>
      </c>
      <c r="Y79" s="518" t="str">
        <f t="shared" si="58"/>
        <v>Base - Floor Mount, Fixed</v>
      </c>
      <c r="Z79" s="1498" t="str">
        <f t="shared" si="59"/>
        <v/>
      </c>
      <c r="AA79" s="1524" t="str">
        <f t="shared" si="60"/>
        <v/>
      </c>
      <c r="AB79" s="1524" t="str">
        <f t="shared" si="61"/>
        <v/>
      </c>
      <c r="AC79" s="519" t="str">
        <f t="shared" si="1"/>
        <v/>
      </c>
    </row>
    <row r="80" spans="2:29" ht="12.75" customHeight="1">
      <c r="B80" s="205"/>
      <c r="C80" s="1328"/>
      <c r="D80" s="966" t="s">
        <v>1141</v>
      </c>
      <c r="E80" s="22">
        <v>13090026</v>
      </c>
      <c r="F80" s="390" t="s">
        <v>1140</v>
      </c>
      <c r="G80" s="1208">
        <v>3</v>
      </c>
      <c r="H80" s="159">
        <f t="shared" si="57"/>
        <v>250</v>
      </c>
      <c r="I80" s="160">
        <f t="shared" si="50"/>
        <v>750</v>
      </c>
      <c r="J80" s="1499"/>
      <c r="U80" s="519" t="s">
        <v>1439</v>
      </c>
      <c r="W80" s="518" t="str">
        <f t="shared" si="58"/>
        <v>MAT-2010-0881-001</v>
      </c>
      <c r="X80" s="518">
        <f t="shared" si="58"/>
        <v>13090026</v>
      </c>
      <c r="Y80" s="518" t="str">
        <f t="shared" si="58"/>
        <v>Base - Floor Mount, Fixed (For Washdown Environment)</v>
      </c>
      <c r="Z80" s="1498">
        <f t="shared" si="59"/>
        <v>3</v>
      </c>
      <c r="AA80" s="1524">
        <f t="shared" si="60"/>
        <v>750</v>
      </c>
      <c r="AB80" s="1524">
        <f t="shared" si="61"/>
        <v>750</v>
      </c>
      <c r="AC80" s="519" t="str">
        <f t="shared" si="1"/>
        <v>Show</v>
      </c>
    </row>
    <row r="81" spans="2:29" ht="12.75" customHeight="1">
      <c r="B81" s="205"/>
      <c r="C81" s="1328"/>
      <c r="D81" s="937" t="str">
        <f>VLOOKUP($F81,$F$391:$I$673,3,FALSE)</f>
        <v>FA62052</v>
      </c>
      <c r="E81" s="22" t="str">
        <f>VLOOKUP($F81,$F$391:$I$673,2,FALSE)</f>
        <v>02020128</v>
      </c>
      <c r="F81" s="390" t="s">
        <v>502</v>
      </c>
      <c r="G81" s="1208"/>
      <c r="H81" s="159" t="str">
        <f t="shared" si="57"/>
        <v/>
      </c>
      <c r="I81" s="160" t="str">
        <f t="shared" si="50"/>
        <v/>
      </c>
      <c r="J81" s="1499"/>
      <c r="U81" s="519" t="s">
        <v>1439</v>
      </c>
      <c r="W81" s="518" t="str">
        <f t="shared" si="58"/>
        <v>FA62052</v>
      </c>
      <c r="X81" s="518" t="str">
        <f t="shared" si="58"/>
        <v>02020128</v>
      </c>
      <c r="Y81" s="518" t="str">
        <f t="shared" si="58"/>
        <v>Base - Floor Mount, Mobile</v>
      </c>
      <c r="Z81" s="1498" t="str">
        <f t="shared" si="59"/>
        <v/>
      </c>
      <c r="AA81" s="1524" t="str">
        <f t="shared" si="60"/>
        <v/>
      </c>
      <c r="AB81" s="1524" t="str">
        <f t="shared" si="61"/>
        <v/>
      </c>
      <c r="AC81" s="519" t="str">
        <f t="shared" si="1"/>
        <v/>
      </c>
    </row>
    <row r="82" spans="2:29" ht="12.75" customHeight="1">
      <c r="B82" s="205"/>
      <c r="C82" s="1330"/>
      <c r="D82" s="937" t="str">
        <f>VLOOKUP($F82,$F$391:$I$673,3,FALSE)</f>
        <v>SK-MECH-602</v>
      </c>
      <c r="E82" s="22">
        <f>VLOOKUP($F82,$F$391:$I$673,2,FALSE)</f>
        <v>13080029</v>
      </c>
      <c r="F82" s="1269" t="s">
        <v>367</v>
      </c>
      <c r="G82" s="1208"/>
      <c r="H82" s="159" t="str">
        <f t="shared" si="57"/>
        <v/>
      </c>
      <c r="I82" s="160" t="str">
        <f t="shared" si="50"/>
        <v/>
      </c>
      <c r="J82" s="1499"/>
      <c r="U82" s="519" t="s">
        <v>1439</v>
      </c>
      <c r="W82" s="518" t="str">
        <f t="shared" si="58"/>
        <v>SK-MECH-602</v>
      </c>
      <c r="X82" s="518">
        <f t="shared" si="58"/>
        <v>13080029</v>
      </c>
      <c r="Y82" s="518" t="str">
        <f t="shared" si="58"/>
        <v>Mounting Bracket Spacer Plate</v>
      </c>
      <c r="Z82" s="1498" t="str">
        <f t="shared" si="59"/>
        <v/>
      </c>
      <c r="AA82" s="1524" t="str">
        <f t="shared" si="60"/>
        <v/>
      </c>
      <c r="AB82" s="1524" t="str">
        <f t="shared" si="61"/>
        <v/>
      </c>
      <c r="AC82" s="519" t="str">
        <f t="shared" si="1"/>
        <v/>
      </c>
    </row>
    <row r="83" spans="2:29" ht="12.75" customHeight="1">
      <c r="B83" s="205"/>
      <c r="C83" s="165"/>
      <c r="D83" s="937"/>
      <c r="E83" s="22"/>
      <c r="F83" s="196"/>
      <c r="G83" s="146"/>
      <c r="H83" s="159" t="str">
        <f t="shared" si="57"/>
        <v/>
      </c>
      <c r="I83" s="160" t="str">
        <f t="shared" si="50"/>
        <v/>
      </c>
      <c r="J83" s="1499"/>
      <c r="W83" s="518"/>
      <c r="X83" s="518"/>
      <c r="Y83" s="518"/>
      <c r="Z83" s="1498"/>
      <c r="AC83" s="519" t="str">
        <f t="shared" si="1"/>
        <v/>
      </c>
    </row>
    <row r="84" spans="2:29" ht="12.75" customHeight="1" thickBot="1">
      <c r="B84" s="205"/>
      <c r="C84" s="24"/>
      <c r="D84" s="948"/>
      <c r="E84" s="25"/>
      <c r="F84" s="373"/>
      <c r="G84" s="147"/>
      <c r="H84" s="351" t="str">
        <f t="shared" si="57"/>
        <v/>
      </c>
      <c r="I84" s="248" t="str">
        <f t="shared" si="50"/>
        <v/>
      </c>
      <c r="J84" s="1499"/>
      <c r="W84" s="518"/>
      <c r="X84" s="518"/>
      <c r="Y84" s="518"/>
      <c r="Z84" s="1498"/>
      <c r="AC84" s="519" t="str">
        <f t="shared" si="1"/>
        <v/>
      </c>
    </row>
    <row r="85" spans="2:29" ht="12.75" customHeight="1" thickBot="1">
      <c r="B85" s="205"/>
      <c r="C85" s="26"/>
      <c r="D85" s="26"/>
      <c r="E85" s="26"/>
      <c r="F85" s="27"/>
      <c r="G85" s="28"/>
      <c r="H85" s="211" t="s">
        <v>42</v>
      </c>
      <c r="I85" s="430">
        <f>SUM(I64:I84)</f>
        <v>5511</v>
      </c>
      <c r="J85" s="1499"/>
      <c r="W85" s="518"/>
      <c r="X85" s="518"/>
      <c r="Y85" s="518"/>
      <c r="Z85" s="1498"/>
      <c r="AC85" s="519" t="str">
        <f t="shared" si="1"/>
        <v/>
      </c>
    </row>
    <row r="86" spans="2:29" ht="12.75" customHeight="1" thickBot="1">
      <c r="B86" s="205"/>
      <c r="C86" s="26"/>
      <c r="D86" s="26"/>
      <c r="E86" s="26"/>
      <c r="F86" s="1528"/>
      <c r="G86" s="26"/>
      <c r="H86" s="26"/>
      <c r="I86" s="26"/>
      <c r="J86" s="1501"/>
      <c r="W86" s="518"/>
      <c r="X86" s="518"/>
      <c r="Y86" s="518"/>
      <c r="Z86" s="1498"/>
      <c r="AC86" s="519" t="str">
        <f t="shared" si="1"/>
        <v/>
      </c>
    </row>
    <row r="87" spans="2:29" ht="16.5" thickBot="1">
      <c r="B87" s="205"/>
      <c r="C87" s="80" t="s">
        <v>137</v>
      </c>
      <c r="D87" s="81"/>
      <c r="E87" s="81"/>
      <c r="F87" s="374" t="str">
        <f>IF(G95&gt;=1, "Enhanced Data Matrix Requires a Midi Printhead","")</f>
        <v/>
      </c>
      <c r="G87" s="83"/>
      <c r="H87" s="82"/>
      <c r="I87" s="84"/>
      <c r="J87" s="1499"/>
      <c r="W87" s="518"/>
      <c r="X87" s="518"/>
      <c r="Y87" s="518"/>
      <c r="Z87" s="1498"/>
      <c r="AC87" s="519" t="str">
        <f t="shared" si="1"/>
        <v/>
      </c>
    </row>
    <row r="88" spans="2:29" ht="4.5" customHeight="1" thickBot="1">
      <c r="B88"/>
      <c r="C88"/>
      <c r="D88"/>
      <c r="E88"/>
      <c r="F88"/>
      <c r="G88"/>
      <c r="H88"/>
      <c r="I88"/>
      <c r="J88" s="1499"/>
      <c r="W88" s="518"/>
      <c r="X88" s="518"/>
      <c r="Y88" s="518"/>
      <c r="Z88" s="1498"/>
      <c r="AC88" s="519" t="str">
        <f t="shared" si="1"/>
        <v/>
      </c>
    </row>
    <row r="89" spans="2:29" ht="12.75" customHeight="1">
      <c r="B89" s="205"/>
      <c r="C89" s="1339"/>
      <c r="D89" s="1303" t="str">
        <f>VLOOKUP($F89,$F$391:$I$673,3,FALSE)</f>
        <v>FA74276</v>
      </c>
      <c r="E89" s="1216" t="str">
        <f>VLOOKUP($F89,$F$391:$I$673,2,FALSE)</f>
        <v>02020389</v>
      </c>
      <c r="F89" s="157" t="s">
        <v>368</v>
      </c>
      <c r="G89" s="1209"/>
      <c r="H89" s="372" t="str">
        <f>IF(G89&gt;=1,VLOOKUP(F89,F$390:I$673,4,FALSE),"")</f>
        <v/>
      </c>
      <c r="I89" s="338" t="str">
        <f t="shared" ref="I89:I117" si="62">IF(ISERROR(H89*G89),"",H89*G89)</f>
        <v/>
      </c>
      <c r="J89" s="1499"/>
      <c r="U89" s="519" t="s">
        <v>1439</v>
      </c>
      <c r="W89" s="518" t="str">
        <f>D89</f>
        <v>FA74276</v>
      </c>
      <c r="X89" s="518" t="str">
        <f>E89</f>
        <v>02020389</v>
      </c>
      <c r="Y89" s="518" t="str">
        <f>F89</f>
        <v>Air Knife &amp; Bracket Kit</v>
      </c>
      <c r="Z89" s="1498" t="str">
        <f>IF(G89&gt;0,G89,"")</f>
        <v/>
      </c>
      <c r="AA89" s="1524" t="str">
        <f>IF(I89&gt;0,I89,"")</f>
        <v/>
      </c>
      <c r="AB89" s="1524" t="str">
        <f t="shared" ref="AB89" si="63">IF(I89=0,"",I89)</f>
        <v/>
      </c>
      <c r="AC89" s="519" t="str">
        <f t="shared" si="1"/>
        <v/>
      </c>
    </row>
    <row r="90" spans="2:29" ht="12.75" customHeight="1">
      <c r="B90" s="205"/>
      <c r="C90" s="1328"/>
      <c r="D90" s="1304"/>
      <c r="E90" s="1212"/>
      <c r="F90" s="157"/>
      <c r="G90" s="1213"/>
      <c r="H90" s="1214"/>
      <c r="I90" s="1215"/>
      <c r="J90" s="1499"/>
      <c r="U90" s="519" t="s">
        <v>1439</v>
      </c>
      <c r="W90" s="518"/>
      <c r="X90" s="518"/>
      <c r="Y90" s="518"/>
      <c r="Z90" s="1498"/>
      <c r="AC90" s="519" t="str">
        <f t="shared" si="1"/>
        <v/>
      </c>
    </row>
    <row r="91" spans="2:29" ht="25.5">
      <c r="B91" s="205"/>
      <c r="C91" s="1328"/>
      <c r="D91" s="1262" t="str">
        <f t="shared" ref="D91:D97" si="64">VLOOKUP($F91,$F$391:$I$673,3,FALSE)</f>
        <v>LCE-102A-Y</v>
      </c>
      <c r="E91" s="466" t="str">
        <f t="shared" ref="E91:E97" si="65">VLOOKUP($F91,$F$391:$I$673,2,FALSE)</f>
        <v>99990085, 03020034</v>
      </c>
      <c r="F91" s="390" t="s">
        <v>371</v>
      </c>
      <c r="G91" s="1208"/>
      <c r="H91" s="140" t="str">
        <f t="shared" ref="H91:H97" si="66">IF(G91&gt;=1,VLOOKUP(F91,F$390:I$673,4,FALSE),"")</f>
        <v/>
      </c>
      <c r="I91" s="61" t="str">
        <f t="shared" si="62"/>
        <v/>
      </c>
      <c r="J91" s="1499"/>
      <c r="U91" s="519" t="s">
        <v>1439</v>
      </c>
      <c r="W91" s="518" t="str">
        <f t="shared" ref="W91:Y92" si="67">D91</f>
        <v>LCE-102A-Y</v>
      </c>
      <c r="X91" s="518" t="str">
        <f t="shared" si="67"/>
        <v>99990085, 03020034</v>
      </c>
      <c r="Y91" s="518" t="str">
        <f t="shared" si="67"/>
        <v>Alarm Beacon with Pole</v>
      </c>
      <c r="Z91" s="1498" t="str">
        <f>IF(G91&gt;0,G91,"")</f>
        <v/>
      </c>
      <c r="AA91" s="1524" t="str">
        <f>IF(I91&gt;0,I91,"")</f>
        <v/>
      </c>
      <c r="AB91" s="1524" t="str">
        <f t="shared" ref="AB91:AB92" si="68">IF(I91=0,"",I91)</f>
        <v/>
      </c>
      <c r="AC91" s="519" t="str">
        <f t="shared" ref="AC91:AC155" si="69">IF(Z91="","", "Show")</f>
        <v/>
      </c>
    </row>
    <row r="92" spans="2:29" ht="25.5">
      <c r="B92" s="205"/>
      <c r="C92" s="1328"/>
      <c r="D92" s="1262" t="str">
        <f t="shared" si="64"/>
        <v>LCE-202FB-BA, 489-532</v>
      </c>
      <c r="E92" s="466" t="str">
        <f t="shared" si="65"/>
        <v>13080149 
03020034</v>
      </c>
      <c r="F92" s="390" t="s">
        <v>372</v>
      </c>
      <c r="G92" s="1208"/>
      <c r="H92" s="140" t="str">
        <f t="shared" si="66"/>
        <v/>
      </c>
      <c r="I92" s="61" t="str">
        <f t="shared" si="62"/>
        <v/>
      </c>
      <c r="J92" s="1499"/>
      <c r="U92" s="519" t="s">
        <v>1439</v>
      </c>
      <c r="W92" s="518" t="str">
        <f t="shared" si="67"/>
        <v>LCE-202FB-BA, 489-532</v>
      </c>
      <c r="X92" s="518" t="str">
        <f t="shared" si="67"/>
        <v>13080149 
03020034</v>
      </c>
      <c r="Y92" s="518" t="str">
        <f t="shared" si="67"/>
        <v>Audible and Visible Alarm</v>
      </c>
      <c r="Z92" s="1498" t="str">
        <f>IF(G92&gt;0,G92,"")</f>
        <v/>
      </c>
      <c r="AA92" s="1524" t="str">
        <f>IF(I92&gt;0,I92,"")</f>
        <v/>
      </c>
      <c r="AB92" s="1524" t="str">
        <f t="shared" si="68"/>
        <v/>
      </c>
      <c r="AC92" s="519" t="str">
        <f t="shared" si="69"/>
        <v/>
      </c>
    </row>
    <row r="93" spans="2:29" ht="12.75" hidden="1" customHeight="1">
      <c r="B93" s="205"/>
      <c r="C93" s="1328"/>
      <c r="D93" s="1262" t="str">
        <f t="shared" si="64"/>
        <v>FA72129</v>
      </c>
      <c r="E93" s="466" t="str">
        <f t="shared" si="65"/>
        <v>02020229</v>
      </c>
      <c r="F93" s="196" t="s">
        <v>374</v>
      </c>
      <c r="G93" s="146"/>
      <c r="H93" s="140" t="str">
        <f t="shared" si="66"/>
        <v/>
      </c>
      <c r="I93" s="61" t="str">
        <f t="shared" si="62"/>
        <v/>
      </c>
      <c r="J93" s="1499"/>
      <c r="U93" s="519" t="s">
        <v>1439</v>
      </c>
      <c r="W93" s="518"/>
      <c r="X93" s="518"/>
      <c r="Y93" s="518"/>
      <c r="Z93" s="1498"/>
      <c r="AC93" s="519" t="str">
        <f t="shared" si="69"/>
        <v/>
      </c>
    </row>
    <row r="94" spans="2:29" ht="12.75" hidden="1" customHeight="1">
      <c r="B94" s="205"/>
      <c r="C94" s="1328"/>
      <c r="D94" s="1262" t="e">
        <f t="shared" si="64"/>
        <v>#N/A</v>
      </c>
      <c r="E94" s="466" t="e">
        <f t="shared" si="65"/>
        <v>#N/A</v>
      </c>
      <c r="F94" s="196" t="s">
        <v>508</v>
      </c>
      <c r="G94" s="146"/>
      <c r="H94" s="140" t="str">
        <f t="shared" si="66"/>
        <v/>
      </c>
      <c r="I94" s="61" t="str">
        <f t="shared" si="62"/>
        <v/>
      </c>
      <c r="J94" s="1499"/>
      <c r="U94" s="519" t="s">
        <v>1439</v>
      </c>
      <c r="W94" s="518"/>
      <c r="X94" s="518"/>
      <c r="Y94" s="518"/>
      <c r="Z94" s="1498"/>
      <c r="AC94" s="519" t="str">
        <f t="shared" si="69"/>
        <v/>
      </c>
    </row>
    <row r="95" spans="2:29" ht="12.75" hidden="1" customHeight="1">
      <c r="B95" s="205"/>
      <c r="C95" s="1328"/>
      <c r="D95" s="1262" t="str">
        <f t="shared" si="64"/>
        <v>H-7-9-314-00</v>
      </c>
      <c r="E95" s="466">
        <f t="shared" si="65"/>
        <v>0</v>
      </c>
      <c r="F95" s="196" t="s">
        <v>362</v>
      </c>
      <c r="G95" s="146"/>
      <c r="H95" s="140" t="str">
        <f t="shared" si="66"/>
        <v/>
      </c>
      <c r="I95" s="61" t="str">
        <f t="shared" si="62"/>
        <v/>
      </c>
      <c r="J95" s="1499"/>
      <c r="U95" s="519" t="s">
        <v>1439</v>
      </c>
      <c r="W95" s="518"/>
      <c r="X95" s="518"/>
      <c r="Y95" s="518"/>
      <c r="Z95" s="1498"/>
      <c r="AC95" s="519" t="str">
        <f t="shared" si="69"/>
        <v/>
      </c>
    </row>
    <row r="96" spans="2:29">
      <c r="B96" s="205"/>
      <c r="C96" s="1328"/>
      <c r="D96" s="1262" t="str">
        <f t="shared" si="64"/>
        <v>LCE-302-BYG</v>
      </c>
      <c r="E96" s="466">
        <f t="shared" si="65"/>
        <v>13080094</v>
      </c>
      <c r="F96" s="196" t="s">
        <v>1360</v>
      </c>
      <c r="G96" s="1208"/>
      <c r="H96" s="140" t="str">
        <f t="shared" si="66"/>
        <v/>
      </c>
      <c r="I96" s="61" t="str">
        <f t="shared" si="62"/>
        <v/>
      </c>
      <c r="J96" s="1499"/>
      <c r="U96" s="519" t="s">
        <v>1439</v>
      </c>
      <c r="W96" s="518" t="str">
        <f t="shared" ref="W96:Y97" si="70">D96</f>
        <v>LCE-302-BYG</v>
      </c>
      <c r="X96" s="518">
        <f t="shared" si="70"/>
        <v>13080094</v>
      </c>
      <c r="Y96" s="518" t="str">
        <f t="shared" si="70"/>
        <v>Alarm Beacon (3 colour B/A/G) with pole</v>
      </c>
      <c r="Z96" s="1498" t="str">
        <f>IF(G96&gt;0,G96,"")</f>
        <v/>
      </c>
      <c r="AA96" s="1524" t="str">
        <f>IF(I96&gt;0,I96,"")</f>
        <v/>
      </c>
      <c r="AB96" s="1524" t="str">
        <f t="shared" ref="AB96:AB97" si="71">IF(I96=0,"",I96)</f>
        <v/>
      </c>
      <c r="AC96" s="519" t="str">
        <f t="shared" si="69"/>
        <v/>
      </c>
    </row>
    <row r="97" spans="1:60" ht="12.75" customHeight="1">
      <c r="B97" s="205"/>
      <c r="C97" s="1328"/>
      <c r="D97" s="1262" t="str">
        <f t="shared" si="64"/>
        <v>07061701</v>
      </c>
      <c r="E97" s="466">
        <f t="shared" si="65"/>
        <v>13020168</v>
      </c>
      <c r="F97" s="196" t="s">
        <v>1408</v>
      </c>
      <c r="G97" s="1208">
        <f>SUM(G91:G96)</f>
        <v>0</v>
      </c>
      <c r="H97" s="140" t="str">
        <f t="shared" si="66"/>
        <v/>
      </c>
      <c r="I97" s="61" t="str">
        <f t="shared" ref="I97" si="72">IF(ISERROR(H97*G97),"",H97*G97)</f>
        <v/>
      </c>
      <c r="J97" s="1499"/>
      <c r="U97" s="519" t="s">
        <v>1439</v>
      </c>
      <c r="W97" s="518" t="str">
        <f t="shared" si="70"/>
        <v>07061701</v>
      </c>
      <c r="X97" s="518">
        <f t="shared" si="70"/>
        <v>13020168</v>
      </c>
      <c r="Y97" s="518" t="str">
        <f t="shared" si="70"/>
        <v>Alarm Beacon Mounting Bracket</v>
      </c>
      <c r="Z97" s="1498" t="str">
        <f>IF(G97&gt;0,G97,"")</f>
        <v/>
      </c>
      <c r="AA97" s="1524" t="str">
        <f>IF(I97&gt;0,I97,"")</f>
        <v/>
      </c>
      <c r="AB97" s="1524" t="str">
        <f t="shared" si="71"/>
        <v/>
      </c>
      <c r="AC97" s="519" t="str">
        <f t="shared" si="69"/>
        <v/>
      </c>
    </row>
    <row r="98" spans="1:60" ht="12.75" customHeight="1">
      <c r="B98" s="205"/>
      <c r="C98" s="1328"/>
      <c r="D98" s="1262"/>
      <c r="E98" s="466"/>
      <c r="F98" s="196"/>
      <c r="G98" s="1208"/>
      <c r="H98" s="140"/>
      <c r="I98" s="61"/>
      <c r="J98" s="1499"/>
      <c r="U98" s="519" t="s">
        <v>1439</v>
      </c>
      <c r="W98" s="518"/>
      <c r="X98" s="518"/>
      <c r="Y98" s="518"/>
      <c r="Z98" s="1498"/>
      <c r="AC98" s="519" t="str">
        <f t="shared" si="69"/>
        <v/>
      </c>
    </row>
    <row r="99" spans="1:60" ht="12.75" customHeight="1">
      <c r="B99" s="205"/>
      <c r="C99" s="1328"/>
      <c r="D99" s="1262" t="str">
        <f>VLOOKUP($F99,$F$391:$I$673,3,FALSE)</f>
        <v>FF11216</v>
      </c>
      <c r="E99" s="466" t="str">
        <f>VLOOKUP($F99,$F$391:$I$673,2,FALSE)</f>
        <v>02020532</v>
      </c>
      <c r="F99" s="196" t="s">
        <v>1357</v>
      </c>
      <c r="G99" s="1208">
        <f>G96</f>
        <v>0</v>
      </c>
      <c r="H99" s="140" t="str">
        <f>IF(G99&gt;=1,VLOOKUP(F99,F$390:I$673,4,FALSE),"")</f>
        <v/>
      </c>
      <c r="I99" s="61" t="str">
        <f t="shared" si="62"/>
        <v/>
      </c>
      <c r="J99" s="1499"/>
      <c r="U99" s="519" t="s">
        <v>1439</v>
      </c>
      <c r="W99" s="518" t="str">
        <f t="shared" ref="W99:Y101" si="73">D99</f>
        <v>FF11216</v>
      </c>
      <c r="X99" s="518" t="str">
        <f t="shared" si="73"/>
        <v>02020532</v>
      </c>
      <c r="Y99" s="518" t="str">
        <f t="shared" si="73"/>
        <v>Multistage Alarm 24V</v>
      </c>
      <c r="Z99" s="1498" t="str">
        <f>IF(G99&gt;0,G99,"")</f>
        <v/>
      </c>
      <c r="AA99" s="1524" t="str">
        <f>IF(I99&gt;0,I99,"")</f>
        <v/>
      </c>
      <c r="AB99" s="1524" t="str">
        <f t="shared" ref="AB99:AB101" si="74">IF(I99=0,"",I99)</f>
        <v/>
      </c>
      <c r="AC99" s="519" t="str">
        <f t="shared" si="69"/>
        <v/>
      </c>
    </row>
    <row r="100" spans="1:60" ht="12.75" customHeight="1">
      <c r="B100" s="205"/>
      <c r="C100" s="1328"/>
      <c r="D100" s="1262" t="str">
        <f>VLOOKUP($F100,$F$391:$I$673,3,FALSE)</f>
        <v>FA11207</v>
      </c>
      <c r="E100" s="466" t="str">
        <f>VLOOKUP($F100,$F$391:$I$673,2,FALSE)</f>
        <v>02020527</v>
      </c>
      <c r="F100" s="196" t="s">
        <v>1280</v>
      </c>
      <c r="G100" s="1208">
        <v>3</v>
      </c>
      <c r="H100" s="140">
        <f>IF(G100&gt;=1,VLOOKUP(F100,F$390:I$673,4,FALSE),"")</f>
        <v>673</v>
      </c>
      <c r="I100" s="61">
        <f t="shared" si="62"/>
        <v>2019</v>
      </c>
      <c r="J100" s="1499"/>
      <c r="U100" s="519" t="s">
        <v>1439</v>
      </c>
      <c r="W100" s="518" t="str">
        <f t="shared" si="73"/>
        <v>FA11207</v>
      </c>
      <c r="X100" s="518" t="str">
        <f t="shared" si="73"/>
        <v>02020527</v>
      </c>
      <c r="Y100" s="518" t="str">
        <f t="shared" si="73"/>
        <v>RS232 and VFC - Dual Alarm Config</v>
      </c>
      <c r="Z100" s="1498">
        <f>IF(G100&gt;0,G100,"")</f>
        <v>3</v>
      </c>
      <c r="AA100" s="1524">
        <f>IF(I100&gt;0,I100,"")</f>
        <v>2019</v>
      </c>
      <c r="AB100" s="1524">
        <f t="shared" si="74"/>
        <v>2019</v>
      </c>
      <c r="AC100" s="519" t="str">
        <f t="shared" si="69"/>
        <v>Show</v>
      </c>
    </row>
    <row r="101" spans="1:60" ht="12.75" customHeight="1">
      <c r="B101" s="205"/>
      <c r="C101" s="1328"/>
      <c r="D101" s="1262" t="str">
        <f>VLOOKUP($F101,$F$391:$I$673,3,FALSE)</f>
        <v>FA11206</v>
      </c>
      <c r="E101" s="466" t="str">
        <f>VLOOKUP($F101,$F$391:$I$673,2,FALSE)</f>
        <v>02020524</v>
      </c>
      <c r="F101" s="196" t="s">
        <v>1195</v>
      </c>
      <c r="G101" s="1208"/>
      <c r="H101" s="140" t="str">
        <f>IF(G101&gt;=1,VLOOKUP(F101,F$390:I$673,4,FALSE),"")</f>
        <v/>
      </c>
      <c r="I101" s="61" t="str">
        <f t="shared" si="62"/>
        <v/>
      </c>
      <c r="J101" s="1499"/>
      <c r="U101" s="519" t="s">
        <v>1439</v>
      </c>
      <c r="W101" s="518" t="str">
        <f t="shared" si="73"/>
        <v>FA11206</v>
      </c>
      <c r="X101" s="518" t="str">
        <f t="shared" si="73"/>
        <v>02020524</v>
      </c>
      <c r="Y101" s="518" t="str">
        <f t="shared" si="73"/>
        <v>RS232 Connection</v>
      </c>
      <c r="Z101" s="1498" t="str">
        <f>IF(G101&gt;0,G101,"")</f>
        <v/>
      </c>
      <c r="AA101" s="1524" t="str">
        <f>IF(I101&gt;0,I101,"")</f>
        <v/>
      </c>
      <c r="AB101" s="1524" t="str">
        <f t="shared" si="74"/>
        <v/>
      </c>
      <c r="AC101" s="519" t="str">
        <f t="shared" si="69"/>
        <v/>
      </c>
    </row>
    <row r="102" spans="1:60" ht="12.75" customHeight="1">
      <c r="B102" s="205"/>
      <c r="C102" s="1328"/>
      <c r="D102" s="1262"/>
      <c r="E102" s="466"/>
      <c r="F102" s="196"/>
      <c r="G102" s="146"/>
      <c r="H102" s="140"/>
      <c r="I102" s="61"/>
      <c r="J102" s="1499"/>
      <c r="U102" s="519" t="s">
        <v>1439</v>
      </c>
      <c r="W102" s="518"/>
      <c r="X102" s="518"/>
      <c r="Y102" s="518"/>
      <c r="Z102" s="1498"/>
      <c r="AC102" s="519" t="str">
        <f t="shared" si="69"/>
        <v/>
      </c>
    </row>
    <row r="103" spans="1:60" ht="12.75" customHeight="1">
      <c r="B103" s="205"/>
      <c r="C103" s="1328"/>
      <c r="D103" s="1262" t="str">
        <f>VLOOKUP($F103,$F$391:$I$673,3,FALSE)</f>
        <v>GD4130-BK</v>
      </c>
      <c r="E103" s="466" t="str">
        <f>VLOOKUP($F103,$F$391:$I$673,2,FALSE)</f>
        <v>10040032</v>
      </c>
      <c r="F103" s="196" t="s">
        <v>397</v>
      </c>
      <c r="G103" s="1208">
        <f>G108</f>
        <v>0</v>
      </c>
      <c r="H103" s="140" t="str">
        <f>IF(G103&gt;=1,VLOOKUP(F103,F$390:I$673,4,FALSE),"")</f>
        <v/>
      </c>
      <c r="I103" s="61" t="str">
        <f t="shared" si="62"/>
        <v/>
      </c>
      <c r="J103" s="1499"/>
      <c r="U103" s="519" t="s">
        <v>1439</v>
      </c>
      <c r="W103" s="518" t="str">
        <f t="shared" ref="W103:Y104" si="75">D103</f>
        <v>GD4130-BK</v>
      </c>
      <c r="X103" s="518" t="str">
        <f t="shared" si="75"/>
        <v>10040032</v>
      </c>
      <c r="Y103" s="518" t="str">
        <f t="shared" si="75"/>
        <v>Hand Scanner Corded</v>
      </c>
      <c r="Z103" s="1498" t="str">
        <f>IF(G103&gt;0,G103,"")</f>
        <v/>
      </c>
      <c r="AA103" s="1524" t="str">
        <f>IF(I103&gt;0,I103,"")</f>
        <v/>
      </c>
      <c r="AB103" s="1524" t="str">
        <f t="shared" ref="AB103:AB104" si="76">IF(I103=0,"",I103)</f>
        <v/>
      </c>
      <c r="AC103" s="519" t="str">
        <f t="shared" si="69"/>
        <v/>
      </c>
    </row>
    <row r="104" spans="1:60" ht="12.75" customHeight="1">
      <c r="B104" s="205"/>
      <c r="C104" s="1328"/>
      <c r="D104" s="1262" t="str">
        <f>VLOOKUP($F104,$F$391:$I$673,3,FALSE)</f>
        <v>GM4130-BK-433K2</v>
      </c>
      <c r="E104" s="466" t="str">
        <f>VLOOKUP($F104,$F$391:$I$673,2,FALSE)</f>
        <v>10040052</v>
      </c>
      <c r="F104" s="196" t="s">
        <v>398</v>
      </c>
      <c r="G104" s="1208"/>
      <c r="H104" s="140" t="str">
        <f>IF(G104&gt;=1,VLOOKUP(F104,F$390:I$673,4,FALSE),"")</f>
        <v/>
      </c>
      <c r="I104" s="61" t="str">
        <f t="shared" si="62"/>
        <v/>
      </c>
      <c r="J104" s="1499"/>
      <c r="U104" s="519" t="s">
        <v>1439</v>
      </c>
      <c r="W104" s="518" t="str">
        <f t="shared" si="75"/>
        <v>GM4130-BK-433K2</v>
      </c>
      <c r="X104" s="518" t="str">
        <f t="shared" si="75"/>
        <v>10040052</v>
      </c>
      <c r="Y104" s="518" t="str">
        <f t="shared" si="75"/>
        <v>Hand Scanner Cordless</v>
      </c>
      <c r="Z104" s="1498" t="str">
        <f>IF(G104&gt;0,G104,"")</f>
        <v/>
      </c>
      <c r="AA104" s="1524" t="str">
        <f>IF(I104&gt;0,I104,"")</f>
        <v/>
      </c>
      <c r="AB104" s="1524" t="str">
        <f t="shared" si="76"/>
        <v/>
      </c>
      <c r="AC104" s="519" t="str">
        <f t="shared" si="69"/>
        <v/>
      </c>
    </row>
    <row r="105" spans="1:60" ht="12.75" customHeight="1">
      <c r="B105" s="205"/>
      <c r="C105" s="1328"/>
      <c r="D105" s="1266"/>
      <c r="E105" s="466"/>
      <c r="F105" s="196"/>
      <c r="G105" s="146"/>
      <c r="H105" s="140"/>
      <c r="I105" s="61"/>
      <c r="J105" s="1499"/>
      <c r="U105" s="519" t="s">
        <v>1439</v>
      </c>
      <c r="W105" s="518"/>
      <c r="X105" s="518"/>
      <c r="Y105" s="518"/>
      <c r="Z105" s="1498"/>
      <c r="AC105" s="519" t="str">
        <f t="shared" si="69"/>
        <v/>
      </c>
    </row>
    <row r="106" spans="1:60" ht="12.75" customHeight="1">
      <c r="B106" s="205"/>
      <c r="C106" s="1328"/>
      <c r="D106" s="466" t="str">
        <f>VLOOKUP($F106,$F$391:$I$673,2,FALSE)</f>
        <v>02020538</v>
      </c>
      <c r="E106" s="466" t="str">
        <f>VLOOKUP($F106,$F$391:$I$673,2,FALSE)</f>
        <v>02020538</v>
      </c>
      <c r="F106" s="196" t="s">
        <v>1349</v>
      </c>
      <c r="G106" s="1208"/>
      <c r="H106" s="140" t="str">
        <f>IF(G106&gt;=1,VLOOKUP(F106,F$390:I$673,4,FALSE),"")</f>
        <v/>
      </c>
      <c r="I106" s="61" t="str">
        <f t="shared" ref="I106" si="77">IF(ISERROR(H106*G106),"",H106*G106)</f>
        <v/>
      </c>
      <c r="J106" s="1499"/>
      <c r="U106" s="519" t="s">
        <v>1439</v>
      </c>
      <c r="W106" s="518" t="str">
        <f>D106</f>
        <v>02020538</v>
      </c>
      <c r="X106" s="518" t="str">
        <f>E106</f>
        <v>02020538</v>
      </c>
      <c r="Y106" s="518" t="str">
        <f>F106</f>
        <v>8900 Plastic Cover</v>
      </c>
      <c r="Z106" s="1498" t="str">
        <f>IF(G106&gt;0,G106,"")</f>
        <v/>
      </c>
      <c r="AA106" s="1524" t="str">
        <f>IF(I106&gt;0,I106,"")</f>
        <v/>
      </c>
      <c r="AB106" s="1524" t="str">
        <f t="shared" ref="AB106" si="78">IF(I106=0,"",I106)</f>
        <v/>
      </c>
      <c r="AC106" s="519" t="str">
        <f t="shared" si="69"/>
        <v/>
      </c>
    </row>
    <row r="107" spans="1:60" ht="12.75" hidden="1" customHeight="1">
      <c r="B107" s="205"/>
      <c r="C107" s="1328"/>
      <c r="D107" s="1262" t="str">
        <f>VLOOKUP($F107,$F$391:$I$673,3,FALSE)</f>
        <v>H-5-9-319-00</v>
      </c>
      <c r="E107" s="466" t="str">
        <f>VLOOKUP($F107,$F$391:$I$673,2,FALSE)</f>
        <v>12080038</v>
      </c>
      <c r="F107" s="196" t="s">
        <v>1074</v>
      </c>
      <c r="G107" s="146"/>
      <c r="H107" s="140" t="str">
        <f>IF(G107&gt;=1,VLOOKUP(F107,F$390:I$673,4,FALSE),"")</f>
        <v/>
      </c>
      <c r="I107" s="61" t="str">
        <f t="shared" si="62"/>
        <v/>
      </c>
      <c r="J107" s="1499"/>
      <c r="U107" s="519" t="s">
        <v>1439</v>
      </c>
      <c r="W107" s="518"/>
      <c r="X107" s="518"/>
      <c r="Y107" s="518"/>
      <c r="Z107" s="1498"/>
      <c r="AC107" s="519" t="str">
        <f t="shared" si="69"/>
        <v/>
      </c>
    </row>
    <row r="108" spans="1:60" ht="12.75" hidden="1" customHeight="1">
      <c r="B108" s="205"/>
      <c r="C108" s="1328"/>
      <c r="D108" s="1262" t="str">
        <f>VLOOKUP($F108,$F$391:$I$673,3,FALSE)</f>
        <v>H-5-9-310-00</v>
      </c>
      <c r="E108" s="466" t="str">
        <f>VLOOKUP($F108,$F$391:$I$673,2,FALSE)</f>
        <v>12080037</v>
      </c>
      <c r="F108" s="196" t="s">
        <v>1073</v>
      </c>
      <c r="G108" s="146"/>
      <c r="H108" s="140" t="str">
        <f>IF(G108&gt;=1,VLOOKUP(F108,F$390:I$673,4,FALSE),"")</f>
        <v/>
      </c>
      <c r="I108" s="61" t="str">
        <f t="shared" si="62"/>
        <v/>
      </c>
      <c r="J108" s="1499"/>
      <c r="U108" s="519" t="s">
        <v>1439</v>
      </c>
      <c r="W108" s="518"/>
      <c r="X108" s="518"/>
      <c r="Y108" s="518"/>
      <c r="Z108" s="1498"/>
      <c r="AC108" s="519" t="str">
        <f t="shared" si="69"/>
        <v/>
      </c>
    </row>
    <row r="109" spans="1:60" ht="12.75" customHeight="1">
      <c r="B109" s="205"/>
      <c r="C109" s="1328"/>
      <c r="D109" s="1262"/>
      <c r="E109" s="466"/>
      <c r="F109" s="196"/>
      <c r="G109" s="146"/>
      <c r="H109" s="140"/>
      <c r="I109" s="61"/>
      <c r="J109" s="1499"/>
      <c r="U109" s="519" t="s">
        <v>1439</v>
      </c>
      <c r="W109" s="518"/>
      <c r="X109" s="518"/>
      <c r="Y109" s="518"/>
      <c r="Z109" s="1498"/>
      <c r="AC109" s="519" t="str">
        <f t="shared" si="69"/>
        <v/>
      </c>
    </row>
    <row r="110" spans="1:60" ht="12.75" customHeight="1">
      <c r="B110" s="205"/>
      <c r="C110" s="1328"/>
      <c r="D110" s="1262" t="str">
        <f>VLOOKUP($F110,$F$391:$I$673,3,FALSE)</f>
        <v>FF67101</v>
      </c>
      <c r="E110" s="466" t="str">
        <f>VLOOKUP($F110,$F$391:$I$673,2,FALSE)</f>
        <v>02020151</v>
      </c>
      <c r="F110" s="196" t="s">
        <v>1422</v>
      </c>
      <c r="G110" s="1208"/>
      <c r="H110" s="140" t="str">
        <f t="shared" ref="H110:H117" si="79">IF(G110&gt;=1,VLOOKUP(F110,F$390:I$673,4,FALSE),"")</f>
        <v/>
      </c>
      <c r="I110" s="61" t="str">
        <f t="shared" si="62"/>
        <v/>
      </c>
      <c r="J110" s="1499"/>
      <c r="U110" s="519" t="s">
        <v>1439</v>
      </c>
      <c r="W110" s="518" t="str">
        <f t="shared" ref="W110:Y112" si="80">D110</f>
        <v>FF67101</v>
      </c>
      <c r="X110" s="518" t="str">
        <f t="shared" si="80"/>
        <v>02020151</v>
      </c>
      <c r="Y110" s="518" t="str">
        <f t="shared" si="80"/>
        <v>Positive Air Upgrade (8900, 8910, 8920)</v>
      </c>
      <c r="Z110" s="1498" t="str">
        <f>IF(G110&gt;0,G110,"")</f>
        <v/>
      </c>
      <c r="AA110" s="1524" t="str">
        <f>IF(I110&gt;0,I110,"")</f>
        <v/>
      </c>
      <c r="AB110" s="1524" t="str">
        <f t="shared" ref="AB110:AB112" si="81">IF(I110=0,"",I110)</f>
        <v/>
      </c>
      <c r="AC110" s="519" t="str">
        <f t="shared" si="69"/>
        <v/>
      </c>
    </row>
    <row r="111" spans="1:60" ht="12.75" customHeight="1">
      <c r="B111" s="205"/>
      <c r="C111" s="1328"/>
      <c r="D111" s="1262" t="str">
        <f>VLOOKUP($F111,$F$391:$I$673,3,FALSE)</f>
        <v>FF67050</v>
      </c>
      <c r="E111" s="466" t="str">
        <f>VLOOKUP($F111,$F$391:$I$673,2,FALSE)</f>
        <v>ERROR</v>
      </c>
      <c r="F111" s="196" t="s">
        <v>1423</v>
      </c>
      <c r="G111" s="1208"/>
      <c r="H111" s="140" t="str">
        <f t="shared" si="79"/>
        <v/>
      </c>
      <c r="I111" s="61" t="str">
        <f t="shared" ref="I111" si="82">IF(ISERROR(H111*G111),"",H111*G111)</f>
        <v/>
      </c>
      <c r="J111" s="1499"/>
      <c r="U111" s="519" t="s">
        <v>1439</v>
      </c>
      <c r="W111" s="518" t="str">
        <f t="shared" si="80"/>
        <v>FF67050</v>
      </c>
      <c r="X111" s="518" t="str">
        <f t="shared" si="80"/>
        <v>ERROR</v>
      </c>
      <c r="Y111" s="518" t="str">
        <f t="shared" si="80"/>
        <v>Positive Air Upgrade (8940 Only)</v>
      </c>
      <c r="Z111" s="1498" t="str">
        <f>IF(G111&gt;0,G111,"")</f>
        <v/>
      </c>
      <c r="AA111" s="1524" t="str">
        <f>IF(I111&gt;0,I111,"")</f>
        <v/>
      </c>
      <c r="AB111" s="1524" t="str">
        <f t="shared" si="81"/>
        <v/>
      </c>
      <c r="AC111" s="519" t="str">
        <f t="shared" si="69"/>
        <v/>
      </c>
    </row>
    <row r="112" spans="1:60" s="201" customFormat="1" ht="12.75" customHeight="1">
      <c r="A112" s="112"/>
      <c r="B112" s="205"/>
      <c r="C112" s="1328"/>
      <c r="D112" s="1262" t="str">
        <f>VLOOKUP($F112,$F$391:$I$673,3,FALSE)</f>
        <v>FA62068</v>
      </c>
      <c r="E112" s="466" t="str">
        <f>VLOOKUP($F112,$F$391:$I$673,2,FALSE)</f>
        <v>02020132</v>
      </c>
      <c r="F112" s="196" t="s">
        <v>369</v>
      </c>
      <c r="G112" s="1208"/>
      <c r="H112" s="140" t="str">
        <f t="shared" si="79"/>
        <v/>
      </c>
      <c r="I112" s="61" t="str">
        <f t="shared" si="62"/>
        <v/>
      </c>
      <c r="J112" s="1499"/>
      <c r="K112" s="912"/>
      <c r="L112" s="519"/>
      <c r="M112" s="519"/>
      <c r="N112" s="519"/>
      <c r="O112" s="519"/>
      <c r="P112" s="519"/>
      <c r="Q112" s="519"/>
      <c r="R112" s="519"/>
      <c r="S112" s="519"/>
      <c r="T112" s="519"/>
      <c r="U112" s="519" t="s">
        <v>1439</v>
      </c>
      <c r="V112" s="519"/>
      <c r="W112" s="518" t="str">
        <f t="shared" si="80"/>
        <v>FA62068</v>
      </c>
      <c r="X112" s="518" t="str">
        <f t="shared" si="80"/>
        <v>02020132</v>
      </c>
      <c r="Y112" s="518" t="str">
        <f t="shared" si="80"/>
        <v>Printhead Wash Station</v>
      </c>
      <c r="Z112" s="1498" t="str">
        <f>IF(G112&gt;0,G112,"")</f>
        <v/>
      </c>
      <c r="AA112" s="1524" t="str">
        <f>IF(I112&gt;0,I112,"")</f>
        <v/>
      </c>
      <c r="AB112" s="1524" t="str">
        <f t="shared" si="81"/>
        <v/>
      </c>
      <c r="AC112" s="519" t="str">
        <f t="shared" si="69"/>
        <v/>
      </c>
      <c r="AD112" s="519"/>
      <c r="AE112" s="519"/>
      <c r="AF112" s="519"/>
      <c r="AG112" s="519"/>
      <c r="AH112" s="519"/>
      <c r="AI112" s="519"/>
      <c r="AJ112" s="519"/>
      <c r="AK112" s="519"/>
      <c r="AL112" s="519"/>
      <c r="AM112" s="519"/>
      <c r="AN112" s="519"/>
      <c r="AO112" s="519"/>
      <c r="AP112" s="519"/>
      <c r="AQ112" s="519"/>
      <c r="AR112" s="519"/>
      <c r="AS112" s="519"/>
      <c r="AT112" s="519"/>
      <c r="AU112" s="519"/>
      <c r="AV112" s="519"/>
      <c r="AW112" s="519"/>
      <c r="AX112" s="519"/>
      <c r="AY112" s="519"/>
      <c r="AZ112" s="519"/>
      <c r="BA112" s="519"/>
      <c r="BB112" s="519"/>
      <c r="BC112" s="519"/>
      <c r="BD112" s="519"/>
      <c r="BE112" s="519"/>
      <c r="BF112" s="912"/>
      <c r="BG112" s="519"/>
      <c r="BH112" s="519"/>
    </row>
    <row r="113" spans="1:60" s="201" customFormat="1" ht="12.75" hidden="1" customHeight="1">
      <c r="A113" s="112"/>
      <c r="B113" s="205"/>
      <c r="C113" s="1328"/>
      <c r="D113" s="937"/>
      <c r="E113" s="22"/>
      <c r="F113" s="196"/>
      <c r="G113" s="1248"/>
      <c r="H113" s="140" t="str">
        <f t="shared" si="79"/>
        <v/>
      </c>
      <c r="I113" s="61" t="str">
        <f t="shared" si="62"/>
        <v/>
      </c>
      <c r="J113" s="1499"/>
      <c r="K113" s="912"/>
      <c r="L113" s="519"/>
      <c r="M113" s="519"/>
      <c r="N113" s="519"/>
      <c r="O113" s="519"/>
      <c r="P113" s="519"/>
      <c r="Q113" s="519"/>
      <c r="R113" s="519"/>
      <c r="S113" s="519"/>
      <c r="T113" s="519"/>
      <c r="U113" s="519"/>
      <c r="V113" s="519"/>
      <c r="W113" s="518"/>
      <c r="X113" s="518"/>
      <c r="Y113" s="518"/>
      <c r="Z113" s="1498"/>
      <c r="AA113" s="519"/>
      <c r="AB113" s="519"/>
      <c r="AC113" s="519" t="str">
        <f t="shared" si="69"/>
        <v/>
      </c>
      <c r="AD113" s="519"/>
      <c r="AE113" s="519"/>
      <c r="AF113" s="519"/>
      <c r="AG113" s="519"/>
      <c r="AH113" s="519"/>
      <c r="AI113" s="519"/>
      <c r="AJ113" s="519"/>
      <c r="AK113" s="519"/>
      <c r="AL113" s="519"/>
      <c r="AM113" s="519"/>
      <c r="AN113" s="519"/>
      <c r="AO113" s="519"/>
      <c r="AP113" s="519"/>
      <c r="AQ113" s="519"/>
      <c r="AR113" s="519"/>
      <c r="AS113" s="519"/>
      <c r="AT113" s="519"/>
      <c r="AU113" s="519"/>
      <c r="AV113" s="519"/>
      <c r="AW113" s="519"/>
      <c r="AX113" s="519"/>
      <c r="AY113" s="519"/>
      <c r="AZ113" s="519"/>
      <c r="BA113" s="519"/>
      <c r="BB113" s="519"/>
      <c r="BC113" s="519"/>
      <c r="BD113" s="519"/>
      <c r="BE113" s="519"/>
      <c r="BF113" s="912"/>
      <c r="BG113" s="519"/>
      <c r="BH113" s="519"/>
    </row>
    <row r="114" spans="1:60" s="201" customFormat="1" ht="12.75" hidden="1" customHeight="1">
      <c r="A114" s="112"/>
      <c r="B114" s="205"/>
      <c r="C114" s="1328"/>
      <c r="D114" s="937" t="str">
        <f>VLOOKUP($F114,$F$391:$I$673,3,FALSE)</f>
        <v>H-5-9-313-00</v>
      </c>
      <c r="E114" s="22" t="str">
        <f>VLOOKUP($F114,$F$391:$I$673,2,FALSE)</f>
        <v>12080036</v>
      </c>
      <c r="F114" s="196" t="s">
        <v>1085</v>
      </c>
      <c r="G114" s="790"/>
      <c r="H114" s="140" t="str">
        <f t="shared" si="79"/>
        <v/>
      </c>
      <c r="I114" s="61" t="str">
        <f t="shared" si="62"/>
        <v/>
      </c>
      <c r="J114" s="1499"/>
      <c r="K114" s="912"/>
      <c r="L114" s="519"/>
      <c r="M114" s="519"/>
      <c r="N114" s="519"/>
      <c r="O114" s="519"/>
      <c r="P114" s="519"/>
      <c r="Q114" s="519"/>
      <c r="R114" s="519"/>
      <c r="S114" s="519"/>
      <c r="T114" s="519"/>
      <c r="U114" s="519"/>
      <c r="V114" s="519"/>
      <c r="W114" s="518"/>
      <c r="X114" s="518"/>
      <c r="Y114" s="518"/>
      <c r="Z114" s="1498"/>
      <c r="AA114" s="519"/>
      <c r="AB114" s="519"/>
      <c r="AC114" s="519" t="str">
        <f t="shared" si="69"/>
        <v/>
      </c>
      <c r="AD114" s="519"/>
      <c r="AE114" s="519"/>
      <c r="AF114" s="519"/>
      <c r="AG114" s="519"/>
      <c r="AH114" s="519"/>
      <c r="AI114" s="519"/>
      <c r="AJ114" s="519"/>
      <c r="AK114" s="519"/>
      <c r="AL114" s="519"/>
      <c r="AM114" s="519"/>
      <c r="AN114" s="519"/>
      <c r="AO114" s="519"/>
      <c r="AP114" s="519"/>
      <c r="AQ114" s="519"/>
      <c r="AR114" s="519"/>
      <c r="AS114" s="519"/>
      <c r="AT114" s="519"/>
      <c r="AU114" s="519"/>
      <c r="AV114" s="519"/>
      <c r="AW114" s="519"/>
      <c r="AX114" s="519"/>
      <c r="AY114" s="519"/>
      <c r="AZ114" s="519"/>
      <c r="BA114" s="519"/>
      <c r="BB114" s="519"/>
      <c r="BC114" s="519"/>
      <c r="BD114" s="519"/>
      <c r="BE114" s="519"/>
      <c r="BF114" s="912"/>
      <c r="BG114" s="519"/>
      <c r="BH114" s="519"/>
    </row>
    <row r="115" spans="1:60" s="201" customFormat="1" ht="12.75" customHeight="1">
      <c r="A115" s="112"/>
      <c r="B115" s="205"/>
      <c r="C115" s="1330"/>
      <c r="D115" s="937" t="str">
        <f>VLOOKUP($F115,$F$391:$I$673,3,FALSE)</f>
        <v>TBA !!!!</v>
      </c>
      <c r="E115" s="22" t="str">
        <f>VLOOKUP($F115,$F$391:$I$673,2,FALSE)</f>
        <v>TBA !!!!</v>
      </c>
      <c r="F115" s="196" t="s">
        <v>1066</v>
      </c>
      <c r="G115" s="1208"/>
      <c r="H115" s="140" t="str">
        <f t="shared" si="79"/>
        <v/>
      </c>
      <c r="I115" s="61" t="str">
        <f t="shared" si="62"/>
        <v/>
      </c>
      <c r="J115" s="1499"/>
      <c r="K115" s="912"/>
      <c r="L115" s="519"/>
      <c r="M115" s="519"/>
      <c r="N115" s="519"/>
      <c r="O115" s="519"/>
      <c r="P115" s="519"/>
      <c r="Q115" s="519"/>
      <c r="R115" s="519"/>
      <c r="S115" s="519"/>
      <c r="T115" s="519"/>
      <c r="U115" s="519"/>
      <c r="V115" s="519"/>
      <c r="W115" s="518"/>
      <c r="X115" s="518"/>
      <c r="Y115" s="518"/>
      <c r="Z115" s="1498"/>
      <c r="AA115" s="519"/>
      <c r="AB115" s="519"/>
      <c r="AC115" s="519" t="str">
        <f t="shared" si="69"/>
        <v/>
      </c>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19"/>
      <c r="BC115" s="519"/>
      <c r="BD115" s="519"/>
      <c r="BE115" s="519"/>
      <c r="BF115" s="912"/>
      <c r="BG115" s="519"/>
      <c r="BH115" s="519"/>
    </row>
    <row r="116" spans="1:60" s="201" customFormat="1" ht="12.75" customHeight="1">
      <c r="A116" s="112"/>
      <c r="B116" s="205"/>
      <c r="C116" s="165"/>
      <c r="D116" s="937"/>
      <c r="E116" s="22"/>
      <c r="F116" s="196"/>
      <c r="G116" s="146"/>
      <c r="H116" s="140" t="str">
        <f t="shared" si="79"/>
        <v/>
      </c>
      <c r="I116" s="61" t="str">
        <f t="shared" si="62"/>
        <v/>
      </c>
      <c r="J116" s="1499"/>
      <c r="K116" s="912"/>
      <c r="L116" s="519"/>
      <c r="M116" s="519"/>
      <c r="N116" s="519"/>
      <c r="O116" s="519"/>
      <c r="P116" s="519"/>
      <c r="Q116" s="519"/>
      <c r="R116" s="519"/>
      <c r="S116" s="519"/>
      <c r="T116" s="519"/>
      <c r="U116" s="519"/>
      <c r="V116" s="519"/>
      <c r="W116" s="518"/>
      <c r="X116" s="518"/>
      <c r="Y116" s="518"/>
      <c r="Z116" s="1498"/>
      <c r="AA116" s="519"/>
      <c r="AB116" s="519"/>
      <c r="AC116" s="519" t="str">
        <f t="shared" si="69"/>
        <v/>
      </c>
      <c r="AD116" s="519"/>
      <c r="AE116" s="519"/>
      <c r="AF116" s="519"/>
      <c r="AG116" s="519"/>
      <c r="AH116" s="519"/>
      <c r="AI116" s="519"/>
      <c r="AJ116" s="519"/>
      <c r="AK116" s="519"/>
      <c r="AL116" s="519"/>
      <c r="AM116" s="519"/>
      <c r="AN116" s="519"/>
      <c r="AO116" s="519"/>
      <c r="AP116" s="519"/>
      <c r="AQ116" s="519"/>
      <c r="AR116" s="519"/>
      <c r="AS116" s="519"/>
      <c r="AT116" s="519"/>
      <c r="AU116" s="519"/>
      <c r="AV116" s="519"/>
      <c r="AW116" s="519"/>
      <c r="AX116" s="519"/>
      <c r="AY116" s="519"/>
      <c r="AZ116" s="519"/>
      <c r="BA116" s="519"/>
      <c r="BB116" s="519"/>
      <c r="BC116" s="519"/>
      <c r="BD116" s="519"/>
      <c r="BE116" s="519"/>
      <c r="BF116" s="912"/>
      <c r="BG116" s="519"/>
      <c r="BH116" s="519"/>
    </row>
    <row r="117" spans="1:60" s="201" customFormat="1" ht="12.75" customHeight="1" thickBot="1">
      <c r="A117" s="112"/>
      <c r="B117" s="205"/>
      <c r="C117" s="24"/>
      <c r="D117" s="948"/>
      <c r="E117" s="25"/>
      <c r="F117" s="373"/>
      <c r="G117" s="147"/>
      <c r="H117" s="210" t="str">
        <f t="shared" si="79"/>
        <v/>
      </c>
      <c r="I117" s="63" t="str">
        <f t="shared" si="62"/>
        <v/>
      </c>
      <c r="J117" s="1499"/>
      <c r="K117" s="912"/>
      <c r="L117" s="519"/>
      <c r="M117" s="519"/>
      <c r="N117" s="519"/>
      <c r="O117" s="519"/>
      <c r="P117" s="519"/>
      <c r="Q117" s="519"/>
      <c r="R117" s="519"/>
      <c r="S117" s="519"/>
      <c r="T117" s="519"/>
      <c r="U117" s="519"/>
      <c r="V117" s="519"/>
      <c r="W117" s="518"/>
      <c r="X117" s="518"/>
      <c r="Y117" s="518"/>
      <c r="Z117" s="1498"/>
      <c r="AA117" s="519"/>
      <c r="AB117" s="519"/>
      <c r="AC117" s="519" t="str">
        <f t="shared" si="69"/>
        <v/>
      </c>
      <c r="AD117" s="519"/>
      <c r="AE117" s="519"/>
      <c r="AF117" s="519"/>
      <c r="AG117" s="519"/>
      <c r="AH117" s="519"/>
      <c r="AI117" s="519"/>
      <c r="AJ117" s="519"/>
      <c r="AK117" s="519"/>
      <c r="AL117" s="519"/>
      <c r="AM117" s="519"/>
      <c r="AN117" s="519"/>
      <c r="AO117" s="519"/>
      <c r="AP117" s="519"/>
      <c r="AQ117" s="519"/>
      <c r="AR117" s="519"/>
      <c r="AS117" s="519"/>
      <c r="AT117" s="519"/>
      <c r="AU117" s="519"/>
      <c r="AV117" s="519"/>
      <c r="AW117" s="519"/>
      <c r="AX117" s="519"/>
      <c r="AY117" s="519"/>
      <c r="AZ117" s="519"/>
      <c r="BA117" s="519"/>
      <c r="BB117" s="519"/>
      <c r="BC117" s="519"/>
      <c r="BD117" s="519"/>
      <c r="BE117" s="519"/>
      <c r="BF117" s="912"/>
      <c r="BG117" s="519"/>
      <c r="BH117" s="519"/>
    </row>
    <row r="118" spans="1:60" ht="13.5" thickBot="1">
      <c r="B118"/>
      <c r="C118" s="26"/>
      <c r="D118" s="26"/>
      <c r="E118" s="26"/>
      <c r="F118" s="27"/>
      <c r="G118" s="28"/>
      <c r="H118" s="211" t="s">
        <v>42</v>
      </c>
      <c r="I118" s="430">
        <f>SUM(I89:I117)</f>
        <v>2019</v>
      </c>
      <c r="J118" s="1499"/>
      <c r="K118" s="1502"/>
      <c r="W118" s="518"/>
      <c r="X118" s="518"/>
      <c r="Y118" s="518"/>
      <c r="Z118" s="1498"/>
      <c r="AC118" s="519" t="str">
        <f t="shared" si="69"/>
        <v/>
      </c>
    </row>
    <row r="119" spans="1:60" ht="13.5" thickBot="1">
      <c r="B119"/>
      <c r="C119" s="26"/>
      <c r="D119" s="26"/>
      <c r="E119" s="26"/>
      <c r="F119" s="27"/>
      <c r="G119" s="28"/>
      <c r="H119" s="29"/>
      <c r="I119" s="29"/>
      <c r="J119" s="1499"/>
      <c r="K119" s="1502"/>
      <c r="W119" s="518"/>
      <c r="X119" s="518"/>
      <c r="Y119" s="518"/>
      <c r="Z119" s="1498"/>
      <c r="AC119" s="519" t="str">
        <f t="shared" si="69"/>
        <v/>
      </c>
    </row>
    <row r="120" spans="1:60" ht="16.5" thickBot="1">
      <c r="B120"/>
      <c r="C120" s="80" t="s">
        <v>44</v>
      </c>
      <c r="D120" s="81"/>
      <c r="E120" s="81"/>
      <c r="F120" s="107"/>
      <c r="G120" s="83"/>
      <c r="H120" s="82"/>
      <c r="I120" s="84"/>
      <c r="J120" s="1499"/>
      <c r="K120" s="1503"/>
      <c r="W120" s="518"/>
      <c r="X120" s="518"/>
      <c r="Y120" s="518"/>
      <c r="Z120" s="1498"/>
      <c r="AC120" s="519" t="str">
        <f t="shared" si="69"/>
        <v/>
      </c>
    </row>
    <row r="121" spans="1:60" ht="3.75" customHeight="1" thickBot="1">
      <c r="B121"/>
      <c r="C121"/>
      <c r="D121"/>
      <c r="E121"/>
      <c r="F121"/>
      <c r="G121"/>
      <c r="H121"/>
      <c r="I121"/>
      <c r="J121" s="1499"/>
      <c r="W121" s="518"/>
      <c r="X121" s="518"/>
      <c r="Y121" s="518"/>
      <c r="Z121" s="1498"/>
      <c r="AC121" s="519" t="str">
        <f t="shared" si="69"/>
        <v/>
      </c>
    </row>
    <row r="122" spans="1:60">
      <c r="B122"/>
      <c r="C122" s="1337"/>
      <c r="D122" s="940">
        <f>VLOOKUP($F122,$F$391:$I$673,3,FALSE)</f>
        <v>0</v>
      </c>
      <c r="E122" s="42">
        <v>99990132</v>
      </c>
      <c r="F122" s="190" t="s">
        <v>1131</v>
      </c>
      <c r="G122" s="1189"/>
      <c r="H122" s="485">
        <v>950</v>
      </c>
      <c r="I122" s="251">
        <f>IF(ISERROR(H122*G122),"ERROR",G122*H122)</f>
        <v>0</v>
      </c>
      <c r="J122" s="1499"/>
      <c r="K122" s="1503"/>
      <c r="U122" s="519" t="s">
        <v>310</v>
      </c>
      <c r="V122" s="518">
        <v>99990132</v>
      </c>
      <c r="W122" s="518">
        <f t="shared" ref="W122:Y123" si="83">D122</f>
        <v>0</v>
      </c>
      <c r="X122" s="518">
        <f t="shared" si="83"/>
        <v>99990132</v>
      </c>
      <c r="Y122" s="518" t="str">
        <f t="shared" si="83"/>
        <v>Installation, Commissioning &amp; Training - CTO/New Line</v>
      </c>
      <c r="Z122" s="1498" t="str">
        <f>IF(G122&gt;0,G122,"")</f>
        <v/>
      </c>
      <c r="AA122" s="1524" t="str">
        <f>IF(I122&gt;0,I122,"")</f>
        <v/>
      </c>
      <c r="AB122" s="1524" t="str">
        <f t="shared" ref="AB122:AB123" si="84">IF(I122=0,"",I122)</f>
        <v/>
      </c>
      <c r="AC122" s="519" t="str">
        <f t="shared" si="69"/>
        <v/>
      </c>
    </row>
    <row r="123" spans="1:60">
      <c r="B123"/>
      <c r="C123" s="1335"/>
      <c r="D123" s="22"/>
      <c r="E123" s="43">
        <v>99990132</v>
      </c>
      <c r="F123" s="876" t="s">
        <v>1130</v>
      </c>
      <c r="G123" s="1203"/>
      <c r="H123" s="996">
        <v>650</v>
      </c>
      <c r="I123" s="252">
        <f>IF(ISERROR(H123*G123),"",H123*G123)</f>
        <v>0</v>
      </c>
      <c r="J123" s="1499"/>
      <c r="K123" s="1503"/>
      <c r="U123" s="519" t="s">
        <v>310</v>
      </c>
      <c r="V123" s="518">
        <v>99990132</v>
      </c>
      <c r="W123" s="518">
        <f t="shared" si="83"/>
        <v>0</v>
      </c>
      <c r="X123" s="518">
        <f t="shared" si="83"/>
        <v>99990132</v>
      </c>
      <c r="Y123" s="518" t="str">
        <f t="shared" si="83"/>
        <v>Installation, Commissioning &amp; Training - IBTO</v>
      </c>
      <c r="Z123" s="1498" t="str">
        <f>IF(G123&gt;0,G123,"")</f>
        <v/>
      </c>
      <c r="AA123" s="1524" t="str">
        <f>IF(I123&gt;0,I123,"")</f>
        <v/>
      </c>
      <c r="AB123" s="1524" t="str">
        <f t="shared" si="84"/>
        <v/>
      </c>
      <c r="AC123" s="519" t="str">
        <f t="shared" si="69"/>
        <v/>
      </c>
    </row>
    <row r="124" spans="1:60">
      <c r="B124"/>
      <c r="C124" s="1335"/>
      <c r="D124" s="1077"/>
      <c r="E124" s="1078"/>
      <c r="F124" s="876"/>
      <c r="G124" s="995"/>
      <c r="H124" s="996"/>
      <c r="I124" s="252"/>
      <c r="J124" s="1499"/>
      <c r="K124" s="1503"/>
      <c r="V124" s="518"/>
      <c r="W124" s="518"/>
      <c r="X124" s="518"/>
      <c r="Y124" s="518"/>
      <c r="Z124" s="1498"/>
      <c r="AC124" s="519" t="str">
        <f t="shared" si="69"/>
        <v/>
      </c>
    </row>
    <row r="125" spans="1:60">
      <c r="B125"/>
      <c r="C125" s="1335"/>
      <c r="D125" s="945"/>
      <c r="E125" s="213">
        <v>99990167</v>
      </c>
      <c r="F125" s="187" t="s">
        <v>105</v>
      </c>
      <c r="G125" s="1282"/>
      <c r="H125" s="328" t="str">
        <f>IF(G125="","",I679)</f>
        <v/>
      </c>
      <c r="I125" s="252" t="str">
        <f>IF(ISERROR(H125*G125),"",H125*G125)</f>
        <v/>
      </c>
      <c r="J125" s="1499"/>
      <c r="K125" s="1503"/>
      <c r="U125" s="519" t="s">
        <v>1431</v>
      </c>
      <c r="V125" s="518">
        <v>99990167</v>
      </c>
      <c r="W125" s="518">
        <f t="shared" ref="W125:Y129" si="85">D125</f>
        <v>0</v>
      </c>
      <c r="X125" s="518">
        <f t="shared" si="85"/>
        <v>99990167</v>
      </c>
      <c r="Y125" s="518" t="str">
        <f t="shared" si="85"/>
        <v>Additional Travel Allowance - Rural Customers (Both Ways)</v>
      </c>
      <c r="Z125" s="1498" t="str">
        <f>IF(G125&gt;0,G125,"")</f>
        <v/>
      </c>
      <c r="AA125" s="1524" t="str">
        <f>IF(I125&gt;0,I125,"")</f>
        <v/>
      </c>
      <c r="AB125" s="1524" t="str">
        <f t="shared" ref="AB125:AB129" si="86">IF(I125=0,"",I125)</f>
        <v/>
      </c>
      <c r="AC125" s="519" t="str">
        <f t="shared" si="69"/>
        <v/>
      </c>
    </row>
    <row r="126" spans="1:60">
      <c r="B126"/>
      <c r="C126" s="1335"/>
      <c r="D126" s="945"/>
      <c r="E126" s="213">
        <v>99990167</v>
      </c>
      <c r="F126" s="187" t="s">
        <v>1385</v>
      </c>
      <c r="G126" s="1282"/>
      <c r="H126" s="1202"/>
      <c r="I126" s="252">
        <f>IF(ISERROR(H126*G126),"",H126*G126)</f>
        <v>0</v>
      </c>
      <c r="J126" s="1499"/>
      <c r="K126" s="1503"/>
      <c r="U126" s="519" t="s">
        <v>1431</v>
      </c>
      <c r="V126" s="518">
        <v>99990167</v>
      </c>
      <c r="W126" s="518">
        <f t="shared" si="85"/>
        <v>0</v>
      </c>
      <c r="X126" s="518">
        <f t="shared" si="85"/>
        <v>99990167</v>
      </c>
      <c r="Y126" s="518" t="str">
        <f t="shared" si="85"/>
        <v>Additional Travel Allowance - Flights (Both ways)</v>
      </c>
      <c r="Z126" s="1498" t="str">
        <f>IF(G126&gt;0,G126,"")</f>
        <v/>
      </c>
      <c r="AA126" s="1524" t="str">
        <f>IF(I126&gt;0,I126,"")</f>
        <v/>
      </c>
      <c r="AB126" s="1524" t="str">
        <f t="shared" si="86"/>
        <v/>
      </c>
      <c r="AC126" s="519" t="str">
        <f t="shared" si="69"/>
        <v/>
      </c>
    </row>
    <row r="127" spans="1:60">
      <c r="B127"/>
      <c r="C127" s="1335"/>
      <c r="D127" s="945"/>
      <c r="E127" s="213">
        <v>99990167</v>
      </c>
      <c r="F127" s="187" t="s">
        <v>1386</v>
      </c>
      <c r="G127" s="1202"/>
      <c r="H127" s="378">
        <v>250</v>
      </c>
      <c r="I127" s="252">
        <f>IF(ISERROR(H127*G127),"",H127*G127)</f>
        <v>0</v>
      </c>
      <c r="J127" s="1499"/>
      <c r="K127" s="1503"/>
      <c r="U127" s="519" t="s">
        <v>1431</v>
      </c>
      <c r="V127" s="518">
        <v>99990167</v>
      </c>
      <c r="W127" s="518">
        <f t="shared" si="85"/>
        <v>0</v>
      </c>
      <c r="X127" s="518">
        <f t="shared" si="85"/>
        <v>99990167</v>
      </c>
      <c r="Y127" s="518" t="str">
        <f t="shared" si="85"/>
        <v>Accomodation Allowance - Per Day</v>
      </c>
      <c r="Z127" s="1498" t="str">
        <f>IF(G127&gt;0,G127,"")</f>
        <v/>
      </c>
      <c r="AA127" s="1524" t="str">
        <f>IF(I127&gt;0,I127,"")</f>
        <v/>
      </c>
      <c r="AB127" s="1524" t="str">
        <f t="shared" si="86"/>
        <v/>
      </c>
      <c r="AC127" s="519" t="str">
        <f t="shared" si="69"/>
        <v/>
      </c>
    </row>
    <row r="128" spans="1:60">
      <c r="B128"/>
      <c r="C128" s="1335"/>
      <c r="D128" s="945"/>
      <c r="E128" s="213">
        <v>99990167</v>
      </c>
      <c r="F128" s="187" t="s">
        <v>1387</v>
      </c>
      <c r="G128" s="1203"/>
      <c r="H128" s="1283">
        <v>125</v>
      </c>
      <c r="I128" s="252">
        <f>IF(ISERROR(H128*G128),"",H128*G128)</f>
        <v>0</v>
      </c>
      <c r="J128" s="1499"/>
      <c r="K128" s="1503"/>
      <c r="U128" s="519" t="s">
        <v>310</v>
      </c>
      <c r="V128" s="518">
        <v>99990167</v>
      </c>
      <c r="W128" s="518">
        <f t="shared" si="85"/>
        <v>0</v>
      </c>
      <c r="X128" s="518">
        <f t="shared" si="85"/>
        <v>99990167</v>
      </c>
      <c r="Y128" s="518" t="str">
        <f t="shared" si="85"/>
        <v>Presite visit including (Onsite inspection &amp; travel to &amp; from)</v>
      </c>
      <c r="Z128" s="1498" t="str">
        <f>IF(G128&gt;0,G128,"")</f>
        <v/>
      </c>
      <c r="AA128" s="1524" t="str">
        <f>IF(I128&gt;0,I128,"")</f>
        <v/>
      </c>
      <c r="AB128" s="1524" t="str">
        <f t="shared" si="86"/>
        <v/>
      </c>
      <c r="AC128" s="519" t="str">
        <f t="shared" si="69"/>
        <v/>
      </c>
    </row>
    <row r="129" spans="1:60">
      <c r="B129"/>
      <c r="C129" s="1335"/>
      <c r="D129" s="945"/>
      <c r="E129" s="213"/>
      <c r="F129" s="187" t="s">
        <v>1354</v>
      </c>
      <c r="G129" s="995">
        <v>-1</v>
      </c>
      <c r="H129" s="1201"/>
      <c r="I129" s="252">
        <f>IF(ISERROR(H129*G129),"",H129*G129)</f>
        <v>0</v>
      </c>
      <c r="J129" s="1499"/>
      <c r="K129" s="1503"/>
      <c r="U129" s="519" t="s">
        <v>310</v>
      </c>
      <c r="V129" s="518">
        <v>99990132</v>
      </c>
      <c r="W129" s="518">
        <f t="shared" si="85"/>
        <v>0</v>
      </c>
      <c r="X129" s="518">
        <f t="shared" si="85"/>
        <v>0</v>
      </c>
      <c r="Y129" s="518" t="str">
        <f t="shared" si="85"/>
        <v>Special Discount (Approved by Service)</v>
      </c>
      <c r="Z129" s="1498" t="str">
        <f>IF(G129&gt;0,G129,"")</f>
        <v/>
      </c>
      <c r="AA129" s="1524" t="str">
        <f>IF(I129&gt;0,I129,"")</f>
        <v/>
      </c>
      <c r="AB129" s="1524" t="str">
        <f t="shared" si="86"/>
        <v/>
      </c>
      <c r="AC129" s="519" t="str">
        <f t="shared" si="69"/>
        <v/>
      </c>
    </row>
    <row r="130" spans="1:60">
      <c r="B130"/>
      <c r="C130" s="1335"/>
      <c r="D130" s="945"/>
      <c r="E130" s="213"/>
      <c r="F130" s="876"/>
      <c r="G130" s="995"/>
      <c r="H130" s="996"/>
      <c r="I130" s="997"/>
      <c r="J130" s="1499"/>
      <c r="K130" s="1503"/>
      <c r="V130" s="518"/>
      <c r="W130" s="518"/>
      <c r="X130" s="518"/>
      <c r="Y130" s="518"/>
      <c r="Z130" s="1498"/>
      <c r="AC130" s="519" t="str">
        <f t="shared" si="69"/>
        <v/>
      </c>
    </row>
    <row r="131" spans="1:60" s="201" customFormat="1">
      <c r="A131" s="112"/>
      <c r="B131"/>
      <c r="C131" s="1335"/>
      <c r="D131" s="945"/>
      <c r="E131" s="213">
        <v>99990151</v>
      </c>
      <c r="F131" s="876" t="s">
        <v>1015</v>
      </c>
      <c r="G131" s="909">
        <f>SUM(G17,G26,G31,G19,G34)</f>
        <v>3</v>
      </c>
      <c r="H131" s="140">
        <f>180*G131</f>
        <v>540</v>
      </c>
      <c r="I131" s="252"/>
      <c r="J131" s="1499"/>
      <c r="K131" s="1503"/>
      <c r="L131" s="519"/>
      <c r="M131" s="519"/>
      <c r="N131" s="519"/>
      <c r="O131" s="519"/>
      <c r="P131" s="519"/>
      <c r="Q131" s="519"/>
      <c r="R131" s="519"/>
      <c r="S131" s="519"/>
      <c r="T131" s="519"/>
      <c r="U131" s="519" t="s">
        <v>769</v>
      </c>
      <c r="V131" s="518">
        <v>99990151</v>
      </c>
      <c r="W131" s="518">
        <f t="shared" ref="W131:Y132" si="87">D131</f>
        <v>0</v>
      </c>
      <c r="X131" s="518">
        <f t="shared" si="87"/>
        <v>99990151</v>
      </c>
      <c r="Y131" s="518" t="str">
        <f t="shared" si="87"/>
        <v>QC Charge - Dry</v>
      </c>
      <c r="Z131" s="1498">
        <f>IF(G131&gt;0,G131,"")</f>
        <v>3</v>
      </c>
      <c r="AA131" s="1524" t="str">
        <f>IF(I131&gt;0,I131,"")</f>
        <v/>
      </c>
      <c r="AB131" s="1524">
        <f>IF(H131=0,"",H131)</f>
        <v>540</v>
      </c>
      <c r="AC131" s="519" t="str">
        <f t="shared" si="69"/>
        <v>Show</v>
      </c>
      <c r="AD131" s="519"/>
      <c r="AE131" s="519"/>
      <c r="AF131" s="519"/>
      <c r="AG131" s="519"/>
      <c r="AH131" s="519"/>
      <c r="AI131" s="519"/>
      <c r="AJ131" s="519"/>
      <c r="AK131" s="519"/>
      <c r="AL131" s="519"/>
      <c r="AM131" s="519"/>
      <c r="AN131" s="519"/>
      <c r="AO131" s="519"/>
      <c r="AP131" s="519"/>
      <c r="AQ131" s="519"/>
      <c r="AR131" s="519"/>
      <c r="AS131" s="519"/>
      <c r="AT131" s="519"/>
      <c r="AU131" s="519"/>
      <c r="AV131" s="519"/>
      <c r="AW131" s="519"/>
      <c r="AX131" s="519"/>
      <c r="AY131" s="519"/>
      <c r="AZ131" s="519"/>
      <c r="BA131" s="519"/>
      <c r="BB131" s="519"/>
      <c r="BC131" s="519"/>
      <c r="BD131" s="519"/>
      <c r="BE131" s="519"/>
      <c r="BF131" s="912"/>
      <c r="BG131" s="519"/>
      <c r="BH131" s="519"/>
    </row>
    <row r="132" spans="1:60" s="201" customFormat="1">
      <c r="A132" s="112"/>
      <c r="B132"/>
      <c r="C132" s="1335"/>
      <c r="D132" s="945"/>
      <c r="E132" s="213">
        <v>12080015</v>
      </c>
      <c r="F132" s="187" t="s">
        <v>1050</v>
      </c>
      <c r="G132" s="909">
        <f>IF(SUM(G17,G19,G34)&gt;0,1,"")</f>
        <v>1</v>
      </c>
      <c r="H132" s="910" t="s">
        <v>1049</v>
      </c>
      <c r="I132" s="252"/>
      <c r="J132" s="1499"/>
      <c r="K132" s="1503"/>
      <c r="L132" s="519"/>
      <c r="M132" s="519"/>
      <c r="N132" s="519"/>
      <c r="O132" s="519"/>
      <c r="P132" s="519"/>
      <c r="Q132" s="519"/>
      <c r="R132" s="519"/>
      <c r="S132" s="519"/>
      <c r="T132" s="519"/>
      <c r="U132" s="519" t="s">
        <v>1050</v>
      </c>
      <c r="V132" s="518">
        <v>12080015</v>
      </c>
      <c r="W132" s="518">
        <f t="shared" si="87"/>
        <v>0</v>
      </c>
      <c r="X132" s="518">
        <f t="shared" si="87"/>
        <v>12080015</v>
      </c>
      <c r="Y132" s="518" t="str">
        <f t="shared" si="87"/>
        <v>Project Management Fee</v>
      </c>
      <c r="Z132" s="1498">
        <f>IF(G132&gt;0,G132,"")</f>
        <v>1</v>
      </c>
      <c r="AA132" s="1524" t="str">
        <f>IF(I132&gt;0,I132,"")</f>
        <v/>
      </c>
      <c r="AB132" s="1524" t="str">
        <f t="shared" ref="AB132" si="88">IF(I132=0,"",I132)</f>
        <v/>
      </c>
      <c r="AC132" s="519" t="str">
        <f t="shared" si="69"/>
        <v>Show</v>
      </c>
      <c r="AD132" s="519"/>
      <c r="AE132" s="519"/>
      <c r="AF132" s="519"/>
      <c r="AG132" s="519"/>
      <c r="AH132" s="519"/>
      <c r="AI132" s="519"/>
      <c r="AJ132" s="519"/>
      <c r="AK132" s="519"/>
      <c r="AL132" s="519"/>
      <c r="AM132" s="519"/>
      <c r="AN132" s="519"/>
      <c r="AO132" s="519"/>
      <c r="AP132" s="519"/>
      <c r="AQ132" s="519"/>
      <c r="AR132" s="519"/>
      <c r="AS132" s="519"/>
      <c r="AT132" s="519"/>
      <c r="AU132" s="519"/>
      <c r="AV132" s="519"/>
      <c r="AW132" s="519"/>
      <c r="AX132" s="519"/>
      <c r="AY132" s="519"/>
      <c r="AZ132" s="519"/>
      <c r="BA132" s="519"/>
      <c r="BB132" s="519"/>
      <c r="BC132" s="519"/>
      <c r="BD132" s="519"/>
      <c r="BE132" s="519"/>
      <c r="BF132" s="912"/>
      <c r="BG132" s="519"/>
      <c r="BH132" s="519"/>
    </row>
    <row r="133" spans="1:60" s="201" customFormat="1">
      <c r="A133" s="112"/>
      <c r="B133"/>
      <c r="C133" s="1335"/>
      <c r="D133" s="945"/>
      <c r="E133" s="213"/>
      <c r="F133" s="876"/>
      <c r="G133" s="909"/>
      <c r="H133" s="910"/>
      <c r="I133" s="252"/>
      <c r="J133" s="1499"/>
      <c r="K133" s="1503"/>
      <c r="L133" s="519"/>
      <c r="M133" s="519"/>
      <c r="N133" s="519"/>
      <c r="O133" s="519"/>
      <c r="P133" s="519"/>
      <c r="Q133" s="519"/>
      <c r="R133" s="519"/>
      <c r="S133" s="519"/>
      <c r="T133" s="519"/>
      <c r="U133" s="519"/>
      <c r="V133" s="518"/>
      <c r="W133" s="518"/>
      <c r="X133" s="518"/>
      <c r="Y133" s="518"/>
      <c r="Z133" s="1498"/>
      <c r="AA133" s="519"/>
      <c r="AB133" s="519"/>
      <c r="AC133" s="519" t="str">
        <f t="shared" si="69"/>
        <v/>
      </c>
      <c r="AD133" s="519"/>
      <c r="AE133" s="519"/>
      <c r="AF133" s="519"/>
      <c r="AG133" s="519"/>
      <c r="AH133" s="519"/>
      <c r="AI133" s="519"/>
      <c r="AJ133" s="519"/>
      <c r="AK133" s="519"/>
      <c r="AL133" s="519"/>
      <c r="AM133" s="519"/>
      <c r="AN133" s="519"/>
      <c r="AO133" s="519"/>
      <c r="AP133" s="519"/>
      <c r="AQ133" s="519"/>
      <c r="AR133" s="519"/>
      <c r="AS133" s="519"/>
      <c r="AT133" s="519"/>
      <c r="AU133" s="519"/>
      <c r="AV133" s="519"/>
      <c r="AW133" s="519"/>
      <c r="AX133" s="519"/>
      <c r="AY133" s="519"/>
      <c r="AZ133" s="519"/>
      <c r="BA133" s="519"/>
      <c r="BB133" s="519"/>
      <c r="BC133" s="519"/>
      <c r="BD133" s="519"/>
      <c r="BE133" s="519"/>
      <c r="BF133" s="912"/>
      <c r="BG133" s="519"/>
      <c r="BH133" s="519"/>
    </row>
    <row r="134" spans="1:60" s="201" customFormat="1">
      <c r="A134" s="112"/>
      <c r="B134"/>
      <c r="C134" s="1335"/>
      <c r="D134" s="945"/>
      <c r="E134" s="213">
        <v>99990166</v>
      </c>
      <c r="F134" s="196" t="s">
        <v>1355</v>
      </c>
      <c r="G134" s="1202"/>
      <c r="H134" s="1205">
        <v>900</v>
      </c>
      <c r="I134" s="252">
        <f t="shared" ref="I134:I136" si="89">IF(ISERROR(H134*G134),"",H134*G134)</f>
        <v>0</v>
      </c>
      <c r="J134" s="1499"/>
      <c r="K134" s="1503"/>
      <c r="L134" s="519"/>
      <c r="M134" s="519"/>
      <c r="N134" s="519"/>
      <c r="O134" s="519"/>
      <c r="P134" s="519"/>
      <c r="Q134" s="519"/>
      <c r="R134" s="519"/>
      <c r="S134" s="519"/>
      <c r="T134" s="519"/>
      <c r="U134" s="519" t="s">
        <v>1355</v>
      </c>
      <c r="V134" s="518">
        <v>99990166</v>
      </c>
      <c r="W134" s="518">
        <f>D134</f>
        <v>0</v>
      </c>
      <c r="X134" s="518">
        <f>E134</f>
        <v>99990166</v>
      </c>
      <c r="Y134" s="518" t="str">
        <f>F134</f>
        <v>Essential Service Package</v>
      </c>
      <c r="Z134" s="1498" t="str">
        <f>IF(G134&gt;0,G134,"")</f>
        <v/>
      </c>
      <c r="AA134" s="1524" t="str">
        <f>IF(I134&gt;0,I134,"")</f>
        <v/>
      </c>
      <c r="AB134" s="1524" t="str">
        <f t="shared" ref="AB134" si="90">IF(I134=0,"",I134)</f>
        <v/>
      </c>
      <c r="AC134" s="519" t="str">
        <f t="shared" si="69"/>
        <v/>
      </c>
      <c r="AD134" s="519"/>
      <c r="AE134" s="519"/>
      <c r="AF134" s="519"/>
      <c r="AG134" s="519"/>
      <c r="AH134" s="519"/>
      <c r="AI134" s="519"/>
      <c r="AJ134" s="519"/>
      <c r="AK134" s="519"/>
      <c r="AL134" s="519"/>
      <c r="AM134" s="519"/>
      <c r="AN134" s="519"/>
      <c r="AO134" s="519"/>
      <c r="AP134" s="519"/>
      <c r="AQ134" s="519"/>
      <c r="AR134" s="519"/>
      <c r="AS134" s="519"/>
      <c r="AT134" s="519"/>
      <c r="AU134" s="519"/>
      <c r="AV134" s="519"/>
      <c r="AW134" s="519"/>
      <c r="AX134" s="519"/>
      <c r="AY134" s="519"/>
      <c r="AZ134" s="519"/>
      <c r="BA134" s="519"/>
      <c r="BB134" s="519"/>
      <c r="BC134" s="519"/>
      <c r="BD134" s="519"/>
      <c r="BE134" s="519"/>
      <c r="BF134" s="912"/>
      <c r="BG134" s="519"/>
      <c r="BH134" s="519"/>
    </row>
    <row r="135" spans="1:60" s="201" customFormat="1">
      <c r="A135" s="112"/>
      <c r="B135"/>
      <c r="C135" s="1335"/>
      <c r="D135" s="943"/>
      <c r="E135" s="269"/>
      <c r="F135" s="144"/>
      <c r="G135" s="214"/>
      <c r="H135" s="329"/>
      <c r="I135" s="252">
        <f t="shared" si="89"/>
        <v>0</v>
      </c>
      <c r="J135" s="1499"/>
      <c r="K135" s="1503"/>
      <c r="L135" s="519"/>
      <c r="M135" s="519"/>
      <c r="N135" s="519"/>
      <c r="O135" s="519"/>
      <c r="P135" s="519"/>
      <c r="Q135" s="519"/>
      <c r="R135" s="519"/>
      <c r="S135" s="519"/>
      <c r="T135" s="519"/>
      <c r="U135" s="519"/>
      <c r="V135" s="519"/>
      <c r="W135" s="518"/>
      <c r="X135" s="518"/>
      <c r="Y135" s="518"/>
      <c r="Z135" s="1498"/>
      <c r="AA135" s="519"/>
      <c r="AB135" s="519"/>
      <c r="AC135" s="519" t="str">
        <f t="shared" si="69"/>
        <v/>
      </c>
      <c r="AD135" s="519"/>
      <c r="AE135" s="519"/>
      <c r="AF135" s="519"/>
      <c r="AG135" s="519"/>
      <c r="AH135" s="519"/>
      <c r="AI135" s="519"/>
      <c r="AJ135" s="519"/>
      <c r="AK135" s="519"/>
      <c r="AL135" s="519"/>
      <c r="AM135" s="519"/>
      <c r="AN135" s="519"/>
      <c r="AO135" s="519"/>
      <c r="AP135" s="519"/>
      <c r="AQ135" s="519"/>
      <c r="AR135" s="519"/>
      <c r="AS135" s="519"/>
      <c r="AT135" s="519"/>
      <c r="AU135" s="519"/>
      <c r="AV135" s="519"/>
      <c r="AW135" s="519"/>
      <c r="AX135" s="519"/>
      <c r="AY135" s="519"/>
      <c r="AZ135" s="519"/>
      <c r="BA135" s="519"/>
      <c r="BB135" s="519"/>
      <c r="BC135" s="519"/>
      <c r="BD135" s="519"/>
      <c r="BE135" s="519"/>
      <c r="BF135" s="912"/>
      <c r="BG135" s="519"/>
      <c r="BH135" s="519"/>
    </row>
    <row r="136" spans="1:60" s="201" customFormat="1" ht="13.5" thickBot="1">
      <c r="A136" s="112"/>
      <c r="B136"/>
      <c r="C136" s="1338"/>
      <c r="D136" s="946"/>
      <c r="E136" s="271"/>
      <c r="F136" s="255"/>
      <c r="G136" s="149"/>
      <c r="H136" s="330"/>
      <c r="I136" s="347">
        <f t="shared" si="89"/>
        <v>0</v>
      </c>
      <c r="J136" s="1499"/>
      <c r="K136" s="1503"/>
      <c r="L136" s="519"/>
      <c r="M136" s="519"/>
      <c r="N136" s="519"/>
      <c r="O136" s="519"/>
      <c r="P136" s="519"/>
      <c r="Q136" s="519"/>
      <c r="R136" s="519"/>
      <c r="S136" s="519"/>
      <c r="T136" s="519"/>
      <c r="U136" s="519"/>
      <c r="V136" s="519"/>
      <c r="W136" s="518"/>
      <c r="X136" s="518"/>
      <c r="Y136" s="518"/>
      <c r="Z136" s="1498"/>
      <c r="AA136" s="519"/>
      <c r="AB136" s="519"/>
      <c r="AC136" s="519" t="str">
        <f t="shared" si="69"/>
        <v/>
      </c>
      <c r="AD136" s="519"/>
      <c r="AE136" s="519"/>
      <c r="AF136" s="519"/>
      <c r="AG136" s="519"/>
      <c r="AH136" s="519"/>
      <c r="AI136" s="519"/>
      <c r="AJ136" s="519"/>
      <c r="AK136" s="519"/>
      <c r="AL136" s="519"/>
      <c r="AM136" s="519"/>
      <c r="AN136" s="519"/>
      <c r="AO136" s="519"/>
      <c r="AP136" s="519"/>
      <c r="AQ136" s="519"/>
      <c r="AR136" s="519"/>
      <c r="AS136" s="519"/>
      <c r="AT136" s="519"/>
      <c r="AU136" s="519"/>
      <c r="AV136" s="519"/>
      <c r="AW136" s="519"/>
      <c r="AX136" s="519"/>
      <c r="AY136" s="519"/>
      <c r="AZ136" s="519"/>
      <c r="BA136" s="519"/>
      <c r="BB136" s="519"/>
      <c r="BC136" s="519"/>
      <c r="BD136" s="519"/>
      <c r="BE136" s="519"/>
      <c r="BF136" s="912"/>
      <c r="BG136" s="519"/>
      <c r="BH136" s="519"/>
    </row>
    <row r="137" spans="1:60" s="201" customFormat="1" ht="13.5" thickBot="1">
      <c r="A137" s="112"/>
      <c r="B137"/>
      <c r="C137" s="26"/>
      <c r="D137" s="26"/>
      <c r="E137" s="26"/>
      <c r="F137" s="27"/>
      <c r="G137" s="28"/>
      <c r="H137" s="51" t="s">
        <v>42</v>
      </c>
      <c r="I137" s="246">
        <f>SUM(I122:I136)</f>
        <v>0</v>
      </c>
      <c r="J137" s="1499"/>
      <c r="K137" s="1503"/>
      <c r="L137" s="519"/>
      <c r="M137" s="519"/>
      <c r="N137" s="519"/>
      <c r="O137" s="519"/>
      <c r="P137" s="519"/>
      <c r="Q137" s="519"/>
      <c r="R137" s="519"/>
      <c r="S137" s="519"/>
      <c r="T137" s="519"/>
      <c r="U137" s="519"/>
      <c r="V137" s="519"/>
      <c r="W137" s="518"/>
      <c r="X137" s="518"/>
      <c r="Y137" s="518"/>
      <c r="Z137" s="1498"/>
      <c r="AA137" s="519"/>
      <c r="AB137" s="519"/>
      <c r="AC137" s="519" t="str">
        <f t="shared" si="69"/>
        <v/>
      </c>
      <c r="AD137" s="519"/>
      <c r="AE137" s="519"/>
      <c r="AF137" s="519"/>
      <c r="AG137" s="519"/>
      <c r="AH137" s="519"/>
      <c r="AI137" s="519"/>
      <c r="AJ137" s="519"/>
      <c r="AK137" s="519"/>
      <c r="AL137" s="519"/>
      <c r="AM137" s="519"/>
      <c r="AN137" s="519"/>
      <c r="AO137" s="519"/>
      <c r="AP137" s="519"/>
      <c r="AQ137" s="519"/>
      <c r="AR137" s="519"/>
      <c r="AS137" s="519"/>
      <c r="AT137" s="519"/>
      <c r="AU137" s="519"/>
      <c r="AV137" s="519"/>
      <c r="AW137" s="519"/>
      <c r="AX137" s="519"/>
      <c r="AY137" s="519"/>
      <c r="AZ137" s="519"/>
      <c r="BA137" s="519"/>
      <c r="BB137" s="519"/>
      <c r="BC137" s="519"/>
      <c r="BD137" s="519"/>
      <c r="BE137" s="519"/>
      <c r="BF137" s="912"/>
      <c r="BG137" s="519"/>
      <c r="BH137" s="519"/>
    </row>
    <row r="138" spans="1:60" s="201" customFormat="1" ht="13.5" thickBot="1">
      <c r="A138" s="112"/>
      <c r="B138"/>
      <c r="C138" s="1"/>
      <c r="D138" s="1"/>
      <c r="E138" s="1"/>
      <c r="F138"/>
      <c r="G138" s="2"/>
      <c r="H138" s="2"/>
      <c r="I138" s="2"/>
      <c r="J138" s="1499"/>
      <c r="K138" s="1503"/>
      <c r="L138" s="917"/>
      <c r="M138" s="917"/>
      <c r="N138" s="519"/>
      <c r="O138" s="519"/>
      <c r="P138" s="519"/>
      <c r="Q138" s="519"/>
      <c r="R138" s="519"/>
      <c r="S138" s="519"/>
      <c r="T138" s="519"/>
      <c r="U138" s="519"/>
      <c r="V138" s="519"/>
      <c r="W138" s="518"/>
      <c r="X138" s="518"/>
      <c r="Y138" s="518"/>
      <c r="Z138" s="1498"/>
      <c r="AA138" s="519"/>
      <c r="AB138" s="519"/>
      <c r="AC138" s="519" t="str">
        <f t="shared" si="69"/>
        <v/>
      </c>
      <c r="AD138" s="519"/>
      <c r="AE138" s="519"/>
      <c r="AF138" s="519"/>
      <c r="AG138" s="519"/>
      <c r="AH138" s="519"/>
      <c r="AI138" s="519"/>
      <c r="AJ138" s="519"/>
      <c r="AK138" s="519"/>
      <c r="AL138" s="519"/>
      <c r="AM138" s="519"/>
      <c r="AN138" s="519"/>
      <c r="AO138" s="519"/>
      <c r="AP138" s="519"/>
      <c r="AQ138" s="519"/>
      <c r="AR138" s="519"/>
      <c r="AS138" s="519"/>
      <c r="AT138" s="519"/>
      <c r="AU138" s="519"/>
      <c r="AV138" s="519"/>
      <c r="AW138" s="519"/>
      <c r="AX138" s="519"/>
      <c r="AY138" s="519"/>
      <c r="AZ138" s="519"/>
      <c r="BA138" s="519"/>
      <c r="BB138" s="519"/>
      <c r="BC138" s="519"/>
      <c r="BD138" s="519"/>
      <c r="BE138" s="519"/>
      <c r="BF138" s="912"/>
      <c r="BG138" s="519"/>
      <c r="BH138" s="519"/>
    </row>
    <row r="139" spans="1:60" s="201" customFormat="1" ht="16.5" thickBot="1">
      <c r="A139" s="112"/>
      <c r="B139"/>
      <c r="C139" s="80" t="s">
        <v>40</v>
      </c>
      <c r="D139" s="81"/>
      <c r="E139" s="81"/>
      <c r="F139" s="374" t="str">
        <f>IF(SUM(G144,G149,G153,G163)&lt;0, "You have not selected any ink","")</f>
        <v/>
      </c>
      <c r="G139" s="83"/>
      <c r="H139" s="82"/>
      <c r="I139" s="84"/>
      <c r="J139" s="1499"/>
      <c r="K139" s="1503"/>
      <c r="L139" s="917"/>
      <c r="M139" s="917"/>
      <c r="N139" s="519"/>
      <c r="O139" s="519"/>
      <c r="P139" s="519"/>
      <c r="Q139" s="519"/>
      <c r="R139" s="519"/>
      <c r="S139" s="519"/>
      <c r="T139" s="519"/>
      <c r="U139" s="519"/>
      <c r="V139" s="519"/>
      <c r="W139" s="518"/>
      <c r="X139" s="518"/>
      <c r="Y139" s="518"/>
      <c r="Z139" s="1498"/>
      <c r="AA139" s="519"/>
      <c r="AB139" s="519"/>
      <c r="AC139" s="519" t="str">
        <f t="shared" si="69"/>
        <v/>
      </c>
      <c r="AD139" s="519"/>
      <c r="AE139" s="519"/>
      <c r="AF139" s="519"/>
      <c r="AG139" s="519"/>
      <c r="AH139" s="519"/>
      <c r="AI139" s="519"/>
      <c r="AJ139" s="519"/>
      <c r="AK139" s="519"/>
      <c r="AL139" s="519"/>
      <c r="AM139" s="519"/>
      <c r="AN139" s="519"/>
      <c r="AO139" s="519"/>
      <c r="AP139" s="519"/>
      <c r="AQ139" s="519"/>
      <c r="AR139" s="519"/>
      <c r="AS139" s="519"/>
      <c r="AT139" s="519"/>
      <c r="AU139" s="519"/>
      <c r="AV139" s="519"/>
      <c r="AW139" s="519"/>
      <c r="AX139" s="519"/>
      <c r="AY139" s="519"/>
      <c r="AZ139" s="519"/>
      <c r="BA139" s="519"/>
      <c r="BB139" s="519"/>
      <c r="BC139" s="519"/>
      <c r="BD139" s="519"/>
      <c r="BE139" s="519"/>
      <c r="BF139" s="912"/>
      <c r="BG139" s="519"/>
      <c r="BH139" s="519"/>
    </row>
    <row r="140" spans="1:60" s="201" customFormat="1" ht="4.5" customHeight="1" thickBot="1">
      <c r="A140" s="112"/>
      <c r="B140"/>
      <c r="C140"/>
      <c r="D140"/>
      <c r="E140"/>
      <c r="F140"/>
      <c r="G140"/>
      <c r="H140"/>
      <c r="I140"/>
      <c r="J140" s="1499"/>
      <c r="K140" s="912"/>
      <c r="L140" s="917"/>
      <c r="M140" s="917"/>
      <c r="N140" s="519"/>
      <c r="O140" s="519"/>
      <c r="P140" s="519"/>
      <c r="Q140" s="519"/>
      <c r="R140" s="519"/>
      <c r="S140" s="519"/>
      <c r="T140" s="519"/>
      <c r="U140" s="519"/>
      <c r="V140" s="519"/>
      <c r="W140" s="518"/>
      <c r="X140" s="518"/>
      <c r="Y140" s="518"/>
      <c r="Z140" s="1498"/>
      <c r="AA140" s="519"/>
      <c r="AB140" s="519"/>
      <c r="AC140" s="519" t="str">
        <f t="shared" si="69"/>
        <v/>
      </c>
      <c r="AD140" s="519"/>
      <c r="AE140" s="519"/>
      <c r="AF140" s="519"/>
      <c r="AG140" s="519"/>
      <c r="AH140" s="519"/>
      <c r="AI140" s="519"/>
      <c r="AJ140" s="519"/>
      <c r="AK140" s="519"/>
      <c r="AL140" s="519"/>
      <c r="AM140" s="519"/>
      <c r="AN140" s="519"/>
      <c r="AO140" s="519"/>
      <c r="AP140" s="519"/>
      <c r="AQ140" s="519"/>
      <c r="AR140" s="519"/>
      <c r="AS140" s="519"/>
      <c r="AT140" s="519"/>
      <c r="AU140" s="519"/>
      <c r="AV140" s="519"/>
      <c r="AW140" s="519"/>
      <c r="AX140" s="519"/>
      <c r="AY140" s="519"/>
      <c r="AZ140" s="519"/>
      <c r="BA140" s="519"/>
      <c r="BB140" s="519"/>
      <c r="BC140" s="519"/>
      <c r="BD140" s="519"/>
      <c r="BE140" s="519"/>
      <c r="BF140" s="912"/>
      <c r="BG140" s="519"/>
      <c r="BH140" s="519"/>
    </row>
    <row r="141" spans="1:60" s="201" customFormat="1" ht="15">
      <c r="A141" s="112"/>
      <c r="B141" s="164"/>
      <c r="C141" s="396"/>
      <c r="D141" s="949"/>
      <c r="E141" s="777"/>
      <c r="F141" s="778"/>
      <c r="G141" s="779"/>
      <c r="H141" s="780"/>
      <c r="I141" s="781"/>
      <c r="J141" s="1499"/>
      <c r="K141" s="1503"/>
      <c r="L141" s="917"/>
      <c r="M141" s="917"/>
      <c r="N141" s="519"/>
      <c r="O141" s="519"/>
      <c r="P141" s="519"/>
      <c r="Q141" s="519"/>
      <c r="R141" s="519"/>
      <c r="S141" s="519"/>
      <c r="T141" s="519"/>
      <c r="U141" s="519"/>
      <c r="V141" s="519"/>
      <c r="W141" s="518"/>
      <c r="X141" s="518"/>
      <c r="Y141" s="518"/>
      <c r="Z141" s="1498"/>
      <c r="AA141" s="519"/>
      <c r="AB141" s="519"/>
      <c r="AC141" s="519" t="str">
        <f t="shared" si="69"/>
        <v/>
      </c>
      <c r="AD141" s="519"/>
      <c r="AE141" s="519"/>
      <c r="AF141" s="519"/>
      <c r="AG141" s="519"/>
      <c r="AH141" s="519"/>
      <c r="AI141" s="519"/>
      <c r="AJ141" s="519"/>
      <c r="AK141" s="519"/>
      <c r="AL141" s="519"/>
      <c r="AM141" s="519"/>
      <c r="AN141" s="519"/>
      <c r="AO141" s="519"/>
      <c r="AP141" s="519"/>
      <c r="AQ141" s="519"/>
      <c r="AR141" s="519"/>
      <c r="AS141" s="519"/>
      <c r="AT141" s="519"/>
      <c r="AU141" s="519"/>
      <c r="AV141" s="519"/>
      <c r="AW141" s="519"/>
      <c r="AX141" s="519"/>
      <c r="AY141" s="519"/>
      <c r="AZ141" s="519"/>
      <c r="BA141" s="519"/>
      <c r="BB141" s="519"/>
      <c r="BC141" s="519"/>
      <c r="BD141" s="519"/>
      <c r="BE141" s="519"/>
      <c r="BF141" s="912"/>
      <c r="BG141" s="519"/>
      <c r="BH141" s="519"/>
    </row>
    <row r="142" spans="1:60" s="201" customFormat="1" ht="15">
      <c r="A142" s="112"/>
      <c r="B142" s="164"/>
      <c r="C142" s="455" t="s">
        <v>1222</v>
      </c>
      <c r="D142" s="951"/>
      <c r="E142" s="456"/>
      <c r="F142" s="457"/>
      <c r="G142" s="458"/>
      <c r="H142" s="459"/>
      <c r="I142" s="460"/>
      <c r="J142" s="1499"/>
      <c r="K142" s="1503"/>
      <c r="L142" s="917"/>
      <c r="M142" s="917"/>
      <c r="N142" s="519"/>
      <c r="O142" s="519"/>
      <c r="P142" s="519"/>
      <c r="Q142" s="519"/>
      <c r="R142" s="519"/>
      <c r="S142" s="519"/>
      <c r="T142" s="519"/>
      <c r="U142" s="519"/>
      <c r="V142" s="519"/>
      <c r="W142" s="518"/>
      <c r="X142" s="518"/>
      <c r="Y142" s="518"/>
      <c r="Z142" s="1498"/>
      <c r="AA142" s="519"/>
      <c r="AB142" s="519"/>
      <c r="AC142" s="519" t="str">
        <f t="shared" si="69"/>
        <v/>
      </c>
      <c r="AD142" s="519"/>
      <c r="AE142" s="519"/>
      <c r="AF142" s="519"/>
      <c r="AG142" s="519"/>
      <c r="AH142" s="519"/>
      <c r="AI142" s="519"/>
      <c r="AJ142" s="519"/>
      <c r="AK142" s="519"/>
      <c r="AL142" s="519"/>
      <c r="AM142" s="519"/>
      <c r="AN142" s="519"/>
      <c r="AO142" s="519"/>
      <c r="AP142" s="519"/>
      <c r="AQ142" s="519"/>
      <c r="AR142" s="519"/>
      <c r="AS142" s="519"/>
      <c r="AT142" s="519"/>
      <c r="AU142" s="519"/>
      <c r="AV142" s="519"/>
      <c r="AW142" s="519"/>
      <c r="AX142" s="519"/>
      <c r="AY142" s="519"/>
      <c r="AZ142" s="519"/>
      <c r="BA142" s="519"/>
      <c r="BB142" s="519"/>
      <c r="BC142" s="519"/>
      <c r="BD142" s="519"/>
      <c r="BE142" s="519"/>
      <c r="BF142" s="912"/>
      <c r="BG142" s="519"/>
      <c r="BH142" s="519"/>
    </row>
    <row r="143" spans="1:60" s="201" customFormat="1" ht="38.25" hidden="1" customHeight="1">
      <c r="A143" s="112"/>
      <c r="B143" s="164"/>
      <c r="C143" s="1334"/>
      <c r="D143" s="1088" t="s">
        <v>1234</v>
      </c>
      <c r="E143" s="1088" t="s">
        <v>1233</v>
      </c>
      <c r="F143" s="1086" t="s">
        <v>1223</v>
      </c>
      <c r="G143" s="469"/>
      <c r="H143" s="140"/>
      <c r="I143" s="470">
        <f>IF(ISERROR(H143*G143),"",H143*G143)</f>
        <v>0</v>
      </c>
      <c r="J143" s="1499"/>
      <c r="K143" s="1503"/>
      <c r="L143" s="917"/>
      <c r="M143" s="917"/>
      <c r="N143" s="519"/>
      <c r="O143" s="519"/>
      <c r="P143" s="519"/>
      <c r="Q143" s="519"/>
      <c r="R143" s="519"/>
      <c r="S143" s="519"/>
      <c r="T143" s="519"/>
      <c r="U143" s="519"/>
      <c r="V143" s="519"/>
      <c r="W143" s="518"/>
      <c r="X143" s="518"/>
      <c r="Y143" s="518"/>
      <c r="Z143" s="1498"/>
      <c r="AA143" s="519"/>
      <c r="AB143" s="519"/>
      <c r="AC143" s="519" t="str">
        <f t="shared" si="69"/>
        <v/>
      </c>
      <c r="AD143" s="519"/>
      <c r="AE143" s="519"/>
      <c r="AF143" s="519"/>
      <c r="AG143" s="519"/>
      <c r="AH143" s="519"/>
      <c r="AI143" s="519"/>
      <c r="AJ143" s="519"/>
      <c r="AK143" s="519"/>
      <c r="AL143" s="519"/>
      <c r="AM143" s="519"/>
      <c r="AN143" s="519"/>
      <c r="AO143" s="519"/>
      <c r="AP143" s="519"/>
      <c r="AQ143" s="519"/>
      <c r="AR143" s="519"/>
      <c r="AS143" s="519"/>
      <c r="AT143" s="519"/>
      <c r="AU143" s="519"/>
      <c r="AV143" s="519"/>
      <c r="AW143" s="519"/>
      <c r="AX143" s="519"/>
      <c r="AY143" s="519"/>
      <c r="AZ143" s="519"/>
      <c r="BA143" s="519"/>
      <c r="BB143" s="519"/>
      <c r="BC143" s="519"/>
      <c r="BD143" s="519"/>
      <c r="BE143" s="519"/>
      <c r="BF143" s="912"/>
      <c r="BG143" s="519"/>
      <c r="BH143" s="519"/>
    </row>
    <row r="144" spans="1:60" s="201" customFormat="1">
      <c r="A144" s="112"/>
      <c r="B144" s="164"/>
      <c r="C144" s="1335"/>
      <c r="D144" s="944" t="str">
        <f>VLOOKUP($F144,$F$391:$I$673,3,FALSE)</f>
        <v>FAC1240/5L</v>
      </c>
      <c r="E144" s="56">
        <f>VLOOKUP($F144,$F$391:$I$673,2,FALSE)</f>
        <v>15140077</v>
      </c>
      <c r="F144" s="1131" t="s">
        <v>1244</v>
      </c>
      <c r="G144" s="1129">
        <v>0.6</v>
      </c>
      <c r="H144" s="140">
        <f>IF(G144&gt;0,VLOOKUP(F144,F$390:I$673,4,FALSE),"")</f>
        <v>1254</v>
      </c>
      <c r="I144" s="470">
        <f>IF(ISERROR(H144*G144),"",H144*G144)</f>
        <v>752.4</v>
      </c>
      <c r="J144" s="1499"/>
      <c r="K144" s="1503"/>
      <c r="L144" s="917"/>
      <c r="M144" s="917"/>
      <c r="N144" s="519"/>
      <c r="O144" s="519"/>
      <c r="P144" s="519"/>
      <c r="Q144" s="519"/>
      <c r="R144" s="519"/>
      <c r="S144" s="519"/>
      <c r="T144" s="519"/>
      <c r="U144" s="519" t="s">
        <v>1439</v>
      </c>
      <c r="V144" s="519"/>
      <c r="W144" s="518" t="str">
        <f t="shared" ref="W144:Y146" si="91">D144</f>
        <v>FAC1240/5L</v>
      </c>
      <c r="X144" s="518">
        <f t="shared" si="91"/>
        <v>15140077</v>
      </c>
      <c r="Y144" s="518" t="str">
        <f t="shared" si="91"/>
        <v xml:space="preserve">INK 1240 BLK (8900) 10 X 500ML  </v>
      </c>
      <c r="Z144" s="1498">
        <f>IF(G144&gt;0,G144,"")</f>
        <v>0.6</v>
      </c>
      <c r="AA144" s="1524">
        <f>IF(I144&gt;0,I144,"")</f>
        <v>752.4</v>
      </c>
      <c r="AB144" s="1524">
        <f t="shared" ref="AB144:AB146" si="92">IF(I144=0,"",I144)</f>
        <v>752.4</v>
      </c>
      <c r="AC144" s="519" t="str">
        <f t="shared" si="69"/>
        <v>Show</v>
      </c>
      <c r="AD144" s="519"/>
      <c r="AE144" s="519"/>
      <c r="AF144" s="519"/>
      <c r="AG144" s="519"/>
      <c r="AH144" s="519"/>
      <c r="AI144" s="519"/>
      <c r="AJ144" s="519"/>
      <c r="AK144" s="519"/>
      <c r="AL144" s="519"/>
      <c r="AM144" s="519"/>
      <c r="AN144" s="519"/>
      <c r="AO144" s="519"/>
      <c r="AP144" s="519"/>
      <c r="AQ144" s="519"/>
      <c r="AR144" s="519"/>
      <c r="AS144" s="519"/>
      <c r="AT144" s="519"/>
      <c r="AU144" s="519"/>
      <c r="AV144" s="519"/>
      <c r="AW144" s="519"/>
      <c r="AX144" s="519"/>
      <c r="AY144" s="519"/>
      <c r="AZ144" s="519"/>
      <c r="BA144" s="519"/>
      <c r="BB144" s="519"/>
      <c r="BC144" s="519"/>
      <c r="BD144" s="519"/>
      <c r="BE144" s="519"/>
      <c r="BF144" s="912"/>
      <c r="BG144" s="519"/>
      <c r="BH144" s="519"/>
    </row>
    <row r="145" spans="1:60" s="201" customFormat="1" ht="12.75" customHeight="1">
      <c r="A145" s="112"/>
      <c r="B145" s="164"/>
      <c r="C145" s="1335"/>
      <c r="D145" s="944" t="str">
        <f>VLOOKUP($F145,$F$391:$I$673,3,FALSE)</f>
        <v>FAC1512/5L</v>
      </c>
      <c r="E145" s="56">
        <f>VLOOKUP($F145,$F$391:$I$673,2,FALSE)</f>
        <v>16140057</v>
      </c>
      <c r="F145" s="1130" t="str">
        <f>VLOOKUP($F$144,$F$391:$K$600,6,FALSE)</f>
        <v xml:space="preserve">SOLVENT 1512 (8900) 5 X 1L  </v>
      </c>
      <c r="G145" s="214">
        <v>0.6</v>
      </c>
      <c r="H145" s="140">
        <f>IF(G145&gt;0,VLOOKUP(F145,F$390:I$673,4,FALSE),"")</f>
        <v>379</v>
      </c>
      <c r="I145" s="470">
        <f>IF(ISERROR(H145*G145),"",H145*G145)</f>
        <v>227.4</v>
      </c>
      <c r="J145" s="1499"/>
      <c r="K145" s="1503"/>
      <c r="L145" s="917"/>
      <c r="M145" s="917"/>
      <c r="N145" s="519"/>
      <c r="O145" s="519"/>
      <c r="P145" s="519"/>
      <c r="Q145" s="519"/>
      <c r="R145" s="519"/>
      <c r="S145" s="519"/>
      <c r="T145" s="519"/>
      <c r="U145" s="519" t="s">
        <v>1439</v>
      </c>
      <c r="V145" s="519"/>
      <c r="W145" s="518" t="str">
        <f t="shared" si="91"/>
        <v>FAC1512/5L</v>
      </c>
      <c r="X145" s="518">
        <f t="shared" si="91"/>
        <v>16140057</v>
      </c>
      <c r="Y145" s="518" t="str">
        <f t="shared" si="91"/>
        <v xml:space="preserve">SOLVENT 1512 (8900) 5 X 1L  </v>
      </c>
      <c r="Z145" s="1498">
        <f>IF(G145&gt;0,G145,"")</f>
        <v>0.6</v>
      </c>
      <c r="AA145" s="1524">
        <f>IF(I145&gt;0,I145,"")</f>
        <v>227.4</v>
      </c>
      <c r="AB145" s="1524">
        <f t="shared" si="92"/>
        <v>227.4</v>
      </c>
      <c r="AC145" s="519" t="str">
        <f t="shared" si="69"/>
        <v>Show</v>
      </c>
      <c r="AD145" s="519"/>
      <c r="AE145" s="519"/>
      <c r="AF145" s="519"/>
      <c r="AG145" s="519"/>
      <c r="AH145" s="519"/>
      <c r="AI145" s="519"/>
      <c r="AJ145" s="519"/>
      <c r="AK145" s="519"/>
      <c r="AL145" s="519"/>
      <c r="AM145" s="519"/>
      <c r="AN145" s="519"/>
      <c r="AO145" s="519"/>
      <c r="AP145" s="519"/>
      <c r="AQ145" s="519"/>
      <c r="AR145" s="519"/>
      <c r="AS145" s="519"/>
      <c r="AT145" s="519"/>
      <c r="AU145" s="519"/>
      <c r="AV145" s="519"/>
      <c r="AW145" s="519"/>
      <c r="AX145" s="519"/>
      <c r="AY145" s="519"/>
      <c r="AZ145" s="519"/>
      <c r="BA145" s="519"/>
      <c r="BB145" s="519"/>
      <c r="BC145" s="519"/>
      <c r="BD145" s="519"/>
      <c r="BE145" s="519"/>
      <c r="BF145" s="912"/>
      <c r="BG145" s="519"/>
      <c r="BH145" s="519"/>
    </row>
    <row r="146" spans="1:60" s="201" customFormat="1" ht="12.75" customHeight="1">
      <c r="A146" s="112"/>
      <c r="B146" s="164"/>
      <c r="C146" s="1335"/>
      <c r="D146" s="944" t="str">
        <f>VLOOKUP($F146,$F$391:$I$673,3,FALSE)</f>
        <v>FA90105/1L</v>
      </c>
      <c r="E146" s="56">
        <f>VLOOKUP($F146,$F$391:$I$673,2,FALSE)</f>
        <v>16140064</v>
      </c>
      <c r="F146" s="1130" t="str">
        <f>VLOOKUP(F144,$F$555:$L$572,7,FALSE)</f>
        <v xml:space="preserve">CLEANER 8900 MEK 2x500ML </v>
      </c>
      <c r="G146" s="214">
        <f>IF(G144&gt;0,SUM(G17,G19),0)</f>
        <v>3</v>
      </c>
      <c r="H146" s="140">
        <f>IF(G146&gt;0,VLOOKUP(F146,F$390:I$673,4,FALSE),"")</f>
        <v>52</v>
      </c>
      <c r="I146" s="470">
        <f>IF(ISERROR(H146*G146),"",H146*G146)</f>
        <v>156</v>
      </c>
      <c r="J146" s="1499"/>
      <c r="K146" s="1503"/>
      <c r="L146" s="917"/>
      <c r="M146" s="917"/>
      <c r="N146" s="519"/>
      <c r="O146" s="519"/>
      <c r="P146" s="519"/>
      <c r="Q146" s="519"/>
      <c r="R146" s="519"/>
      <c r="S146" s="519"/>
      <c r="T146" s="519"/>
      <c r="U146" s="519" t="s">
        <v>1439</v>
      </c>
      <c r="V146" s="519"/>
      <c r="W146" s="518" t="str">
        <f t="shared" si="91"/>
        <v>FA90105/1L</v>
      </c>
      <c r="X146" s="518">
        <f t="shared" si="91"/>
        <v>16140064</v>
      </c>
      <c r="Y146" s="518" t="str">
        <f t="shared" si="91"/>
        <v xml:space="preserve">CLEANER 8900 MEK 2x500ML </v>
      </c>
      <c r="Z146" s="1498">
        <f>IF(G146&gt;0,G146,"")</f>
        <v>3</v>
      </c>
      <c r="AA146" s="1524">
        <f>IF(I146&gt;0,I146,"")</f>
        <v>156</v>
      </c>
      <c r="AB146" s="1524">
        <f t="shared" si="92"/>
        <v>156</v>
      </c>
      <c r="AC146" s="519" t="str">
        <f t="shared" si="69"/>
        <v>Show</v>
      </c>
      <c r="AD146" s="519"/>
      <c r="AE146" s="519"/>
      <c r="AF146" s="519"/>
      <c r="AG146" s="519"/>
      <c r="AH146" s="519"/>
      <c r="AI146" s="519"/>
      <c r="AJ146" s="519"/>
      <c r="AK146" s="519"/>
      <c r="AL146" s="519"/>
      <c r="AM146" s="519"/>
      <c r="AN146" s="519"/>
      <c r="AO146" s="519"/>
      <c r="AP146" s="519"/>
      <c r="AQ146" s="519"/>
      <c r="AR146" s="519"/>
      <c r="AS146" s="519"/>
      <c r="AT146" s="519"/>
      <c r="AU146" s="519"/>
      <c r="AV146" s="519"/>
      <c r="AW146" s="519"/>
      <c r="AX146" s="519"/>
      <c r="AY146" s="519"/>
      <c r="AZ146" s="519"/>
      <c r="BA146" s="519"/>
      <c r="BB146" s="519"/>
      <c r="BC146" s="519"/>
      <c r="BD146" s="519"/>
      <c r="BE146" s="519"/>
      <c r="BF146" s="912"/>
      <c r="BG146" s="519"/>
      <c r="BH146" s="519"/>
    </row>
    <row r="147" spans="1:60" s="201" customFormat="1" ht="12.75" customHeight="1">
      <c r="A147" s="112"/>
      <c r="B147" s="164"/>
      <c r="C147" s="1335"/>
      <c r="D147" s="944"/>
      <c r="E147" s="56"/>
      <c r="F147" s="1130"/>
      <c r="G147" s="148"/>
      <c r="H147" s="140"/>
      <c r="I147" s="454"/>
      <c r="J147" s="1499"/>
      <c r="K147" s="1503"/>
      <c r="L147" s="917"/>
      <c r="M147" s="917"/>
      <c r="N147" s="519"/>
      <c r="O147" s="519"/>
      <c r="P147" s="519"/>
      <c r="Q147" s="519"/>
      <c r="R147" s="519"/>
      <c r="S147" s="519"/>
      <c r="T147" s="519"/>
      <c r="U147" s="519" t="s">
        <v>1439</v>
      </c>
      <c r="V147" s="519"/>
      <c r="W147" s="518"/>
      <c r="X147" s="518"/>
      <c r="Y147" s="518"/>
      <c r="Z147" s="1498"/>
      <c r="AA147" s="519"/>
      <c r="AB147" s="519"/>
      <c r="AC147" s="519" t="str">
        <f t="shared" si="69"/>
        <v/>
      </c>
      <c r="AD147" s="519"/>
      <c r="AE147" s="519"/>
      <c r="AF147" s="519"/>
      <c r="AG147" s="519"/>
      <c r="AH147" s="519"/>
      <c r="AI147" s="519"/>
      <c r="AJ147" s="519"/>
      <c r="AK147" s="519"/>
      <c r="AL147" s="519"/>
      <c r="AM147" s="519"/>
      <c r="AN147" s="519"/>
      <c r="AO147" s="519"/>
      <c r="AP147" s="519"/>
      <c r="AQ147" s="519"/>
      <c r="AR147" s="519"/>
      <c r="AS147" s="519"/>
      <c r="AT147" s="519"/>
      <c r="AU147" s="519"/>
      <c r="AV147" s="519"/>
      <c r="AW147" s="519"/>
      <c r="AX147" s="519"/>
      <c r="AY147" s="519"/>
      <c r="AZ147" s="519"/>
      <c r="BA147" s="519"/>
      <c r="BB147" s="519"/>
      <c r="BC147" s="519"/>
      <c r="BD147" s="519"/>
      <c r="BE147" s="519"/>
      <c r="BF147" s="912"/>
      <c r="BG147" s="519"/>
      <c r="BH147" s="519"/>
    </row>
    <row r="148" spans="1:60" s="201" customFormat="1" ht="12.75" customHeight="1">
      <c r="A148" s="112"/>
      <c r="B148" s="164"/>
      <c r="C148" s="1335"/>
      <c r="D148" s="944"/>
      <c r="E148" s="56"/>
      <c r="F148" s="1127" t="s">
        <v>1459</v>
      </c>
      <c r="G148" s="1217"/>
      <c r="H148" s="140"/>
      <c r="I148" s="454"/>
      <c r="J148" s="1499"/>
      <c r="K148" s="1503"/>
      <c r="L148" s="917"/>
      <c r="M148" s="917"/>
      <c r="N148" s="519"/>
      <c r="O148" s="519"/>
      <c r="P148" s="519"/>
      <c r="Q148" s="519"/>
      <c r="R148" s="519"/>
      <c r="S148" s="519"/>
      <c r="T148" s="519"/>
      <c r="U148" s="519"/>
      <c r="V148" s="519"/>
      <c r="W148" s="518"/>
      <c r="X148" s="518"/>
      <c r="Y148" s="518"/>
      <c r="Z148" s="1498"/>
      <c r="AA148" s="519"/>
      <c r="AB148" s="519"/>
      <c r="AC148" s="519"/>
      <c r="AD148" s="519"/>
      <c r="AE148" s="519"/>
      <c r="AF148" s="519"/>
      <c r="AG148" s="519"/>
      <c r="AH148" s="519"/>
      <c r="AI148" s="519"/>
      <c r="AJ148" s="519"/>
      <c r="AK148" s="519"/>
      <c r="AL148" s="519"/>
      <c r="AM148" s="519"/>
      <c r="AN148" s="519"/>
      <c r="AO148" s="519"/>
      <c r="AP148" s="519"/>
      <c r="AQ148" s="519"/>
      <c r="AR148" s="519"/>
      <c r="AS148" s="519"/>
      <c r="AT148" s="519"/>
      <c r="AU148" s="519"/>
      <c r="AV148" s="519"/>
      <c r="AW148" s="519"/>
      <c r="AX148" s="519"/>
      <c r="AY148" s="519"/>
      <c r="AZ148" s="519"/>
      <c r="BA148" s="519"/>
      <c r="BB148" s="519"/>
      <c r="BC148" s="519"/>
      <c r="BD148" s="519"/>
      <c r="BE148" s="519"/>
      <c r="BF148" s="912"/>
      <c r="BG148" s="519"/>
      <c r="BH148" s="519"/>
    </row>
    <row r="149" spans="1:60" s="201" customFormat="1" ht="12.75" customHeight="1">
      <c r="A149" s="112"/>
      <c r="B149" s="164"/>
      <c r="C149" s="1335"/>
      <c r="D149" s="944" t="str">
        <f>VLOOKUP($F149,$F$391:$I$673,3,FALSE)</f>
        <v>FAC1014/5L</v>
      </c>
      <c r="E149" s="56">
        <f>VLOOKUP($F149,$F$391:$I$673,2,FALSE)</f>
        <v>15140083</v>
      </c>
      <c r="F149" s="196" t="s">
        <v>1458</v>
      </c>
      <c r="G149" s="1217">
        <f>G148*0.2</f>
        <v>0</v>
      </c>
      <c r="H149" s="140">
        <f>IF(G149&gt;=0,VLOOKUP(F149,F$390:I$673,4,FALSE),"")</f>
        <v>1870</v>
      </c>
      <c r="I149" s="470">
        <f>IF(ISERROR(H149*G149),"",H149*G149)</f>
        <v>0</v>
      </c>
      <c r="J149" s="1499"/>
      <c r="K149" s="1503"/>
      <c r="L149" s="917"/>
      <c r="M149" s="917"/>
      <c r="N149" s="519"/>
      <c r="O149" s="519"/>
      <c r="P149" s="519"/>
      <c r="Q149" s="519"/>
      <c r="R149" s="519"/>
      <c r="S149" s="519"/>
      <c r="T149" s="519"/>
      <c r="U149" s="519" t="s">
        <v>1439</v>
      </c>
      <c r="V149" s="519"/>
      <c r="W149" s="518" t="str">
        <f t="shared" ref="W149:Y151" si="93">D149</f>
        <v>FAC1014/5L</v>
      </c>
      <c r="X149" s="518">
        <f t="shared" si="93"/>
        <v>15140083</v>
      </c>
      <c r="Y149" s="518" t="str">
        <f t="shared" si="93"/>
        <v>INK 1014 BLK (8900) 10 X 500ml</v>
      </c>
      <c r="Z149" s="1498" t="str">
        <f>IF(G149&gt;0,G149,"")</f>
        <v/>
      </c>
      <c r="AA149" s="1524" t="str">
        <f>IF(I149&gt;0,I149,"")</f>
        <v/>
      </c>
      <c r="AB149" s="1524" t="str">
        <f t="shared" ref="AB149:AB151" si="94">IF(I149=0,"",I149)</f>
        <v/>
      </c>
      <c r="AC149" s="519" t="str">
        <f t="shared" si="69"/>
        <v/>
      </c>
      <c r="AD149" s="519"/>
      <c r="AE149" s="519"/>
      <c r="AF149" s="519"/>
      <c r="AG149" s="519"/>
      <c r="AH149" s="519"/>
      <c r="AI149" s="519"/>
      <c r="AJ149" s="519"/>
      <c r="AK149" s="519"/>
      <c r="AL149" s="519"/>
      <c r="AM149" s="519"/>
      <c r="AN149" s="519"/>
      <c r="AO149" s="519"/>
      <c r="AP149" s="519"/>
      <c r="AQ149" s="519"/>
      <c r="AR149" s="519"/>
      <c r="AS149" s="519"/>
      <c r="AT149" s="519"/>
      <c r="AU149" s="519"/>
      <c r="AV149" s="519"/>
      <c r="AW149" s="519"/>
      <c r="AX149" s="519"/>
      <c r="AY149" s="519"/>
      <c r="AZ149" s="519"/>
      <c r="BA149" s="519"/>
      <c r="BB149" s="519"/>
      <c r="BC149" s="519"/>
      <c r="BD149" s="519"/>
      <c r="BE149" s="519"/>
      <c r="BF149" s="912"/>
      <c r="BG149" s="519"/>
      <c r="BH149" s="519"/>
    </row>
    <row r="150" spans="1:60" s="201" customFormat="1" ht="12.75" customHeight="1">
      <c r="A150" s="112"/>
      <c r="B150" s="164"/>
      <c r="C150" s="1335"/>
      <c r="D150" s="944" t="str">
        <f>VLOOKUP($F150,$F$391:$I$673,3,FALSE)</f>
        <v>FAC1505/5L</v>
      </c>
      <c r="E150" s="56">
        <f>VLOOKUP($F150,$F$391:$I$673,2,FALSE)</f>
        <v>16140061</v>
      </c>
      <c r="F150" s="1132" t="str">
        <f>VLOOKUP($F$149,$F$391:$K$600,6,FALSE)</f>
        <v>SOLVENT 1505 (8900) 5 X 1L </v>
      </c>
      <c r="G150" s="1204">
        <f>G148*0.2</f>
        <v>0</v>
      </c>
      <c r="H150" s="140">
        <f>IF(G150&gt;=0,VLOOKUP(F150,F$390:I$673,4,FALSE),"")</f>
        <v>574</v>
      </c>
      <c r="I150" s="470">
        <f>IF(ISERROR(H150*G150),"",H150*G150)</f>
        <v>0</v>
      </c>
      <c r="J150" s="1499"/>
      <c r="K150" s="1503"/>
      <c r="L150" s="917"/>
      <c r="M150" s="917"/>
      <c r="N150" s="519"/>
      <c r="O150" s="519"/>
      <c r="P150" s="519"/>
      <c r="Q150" s="519"/>
      <c r="R150" s="519"/>
      <c r="S150" s="519"/>
      <c r="T150" s="519"/>
      <c r="U150" s="519" t="s">
        <v>1439</v>
      </c>
      <c r="V150" s="519"/>
      <c r="W150" s="518" t="str">
        <f t="shared" si="93"/>
        <v>FAC1505/5L</v>
      </c>
      <c r="X150" s="518">
        <f t="shared" si="93"/>
        <v>16140061</v>
      </c>
      <c r="Y150" s="518" t="str">
        <f t="shared" si="93"/>
        <v>SOLVENT 1505 (8900) 5 X 1L </v>
      </c>
      <c r="Z150" s="1498" t="str">
        <f>IF(G150&gt;0,G150,"")</f>
        <v/>
      </c>
      <c r="AA150" s="1524" t="str">
        <f>IF(I150&gt;0,I150,"")</f>
        <v/>
      </c>
      <c r="AB150" s="1524" t="str">
        <f t="shared" si="94"/>
        <v/>
      </c>
      <c r="AC150" s="519" t="str">
        <f t="shared" si="69"/>
        <v/>
      </c>
      <c r="AD150" s="519"/>
      <c r="AE150" s="519"/>
      <c r="AF150" s="519"/>
      <c r="AG150" s="519"/>
      <c r="AH150" s="519"/>
      <c r="AI150" s="519"/>
      <c r="AJ150" s="519"/>
      <c r="AK150" s="519"/>
      <c r="AL150" s="519"/>
      <c r="AM150" s="519"/>
      <c r="AN150" s="519"/>
      <c r="AO150" s="519"/>
      <c r="AP150" s="519"/>
      <c r="AQ150" s="519"/>
      <c r="AR150" s="519"/>
      <c r="AS150" s="519"/>
      <c r="AT150" s="519"/>
      <c r="AU150" s="519"/>
      <c r="AV150" s="519"/>
      <c r="AW150" s="519"/>
      <c r="AX150" s="519"/>
      <c r="AY150" s="519"/>
      <c r="AZ150" s="519"/>
      <c r="BA150" s="519"/>
      <c r="BB150" s="519"/>
      <c r="BC150" s="519"/>
      <c r="BD150" s="519"/>
      <c r="BE150" s="519"/>
      <c r="BF150" s="912"/>
      <c r="BG150" s="519"/>
      <c r="BH150" s="519"/>
    </row>
    <row r="151" spans="1:60" s="201" customFormat="1" ht="12.75" customHeight="1">
      <c r="A151" s="112"/>
      <c r="B151" s="164"/>
      <c r="C151" s="1335"/>
      <c r="D151" s="944" t="str">
        <f>VLOOKUP($F151,$F$391:$I$673,3,FALSE)</f>
        <v>FA90105/1L</v>
      </c>
      <c r="E151" s="56">
        <f>VLOOKUP($F151,$F$391:$I$673,2,FALSE)</f>
        <v>16140064</v>
      </c>
      <c r="F151" s="1132" t="str">
        <f>VLOOKUP(F149,F555:L572,7,FALSE)</f>
        <v xml:space="preserve">CLEANER 8900 MEK 2x500ML </v>
      </c>
      <c r="G151" s="1204">
        <f>IF(G148&gt;0,SUM(G17,G19),0)</f>
        <v>0</v>
      </c>
      <c r="H151" s="140" t="str">
        <f>IF(G151&gt;=1,VLOOKUP(F151,F$390:I$673,4,FALSE),"")</f>
        <v/>
      </c>
      <c r="I151" s="470" t="str">
        <f>IF(ISERROR(H151*G151),"",H151*G151)</f>
        <v/>
      </c>
      <c r="J151" s="1499"/>
      <c r="K151" s="1503"/>
      <c r="L151" s="917"/>
      <c r="M151" s="917"/>
      <c r="N151" s="519"/>
      <c r="O151" s="519"/>
      <c r="P151" s="519"/>
      <c r="Q151" s="519"/>
      <c r="R151" s="519"/>
      <c r="S151" s="519"/>
      <c r="T151" s="519"/>
      <c r="U151" s="519" t="s">
        <v>1439</v>
      </c>
      <c r="V151" s="519"/>
      <c r="W151" s="518" t="str">
        <f t="shared" si="93"/>
        <v>FA90105/1L</v>
      </c>
      <c r="X151" s="518">
        <f t="shared" si="93"/>
        <v>16140064</v>
      </c>
      <c r="Y151" s="518" t="str">
        <f t="shared" si="93"/>
        <v xml:space="preserve">CLEANER 8900 MEK 2x500ML </v>
      </c>
      <c r="Z151" s="1498" t="str">
        <f>IF(G151&gt;0,G151,"")</f>
        <v/>
      </c>
      <c r="AA151" s="1524" t="str">
        <f>IF(I151&gt;0,I151,"")</f>
        <v/>
      </c>
      <c r="AB151" s="1524" t="str">
        <f t="shared" si="94"/>
        <v/>
      </c>
      <c r="AC151" s="519" t="str">
        <f t="shared" si="69"/>
        <v/>
      </c>
      <c r="AD151" s="519"/>
      <c r="AE151" s="519"/>
      <c r="AF151" s="519"/>
      <c r="AG151" s="519"/>
      <c r="AH151" s="519"/>
      <c r="AI151" s="519"/>
      <c r="AJ151" s="519"/>
      <c r="AK151" s="519"/>
      <c r="AL151" s="519"/>
      <c r="AM151" s="519"/>
      <c r="AN151" s="519"/>
      <c r="AO151" s="519"/>
      <c r="AP151" s="519"/>
      <c r="AQ151" s="519"/>
      <c r="AR151" s="519"/>
      <c r="AS151" s="519"/>
      <c r="AT151" s="519"/>
      <c r="AU151" s="519"/>
      <c r="AV151" s="519"/>
      <c r="AW151" s="519"/>
      <c r="AX151" s="519"/>
      <c r="AY151" s="519"/>
      <c r="AZ151" s="519"/>
      <c r="BA151" s="519"/>
      <c r="BB151" s="519"/>
      <c r="BC151" s="519"/>
      <c r="BD151" s="519"/>
      <c r="BE151" s="519"/>
      <c r="BF151" s="912"/>
      <c r="BG151" s="519"/>
      <c r="BH151" s="519"/>
    </row>
    <row r="152" spans="1:60" s="201" customFormat="1" ht="12.75" customHeight="1">
      <c r="A152" s="112"/>
      <c r="B152" s="164"/>
      <c r="C152" s="1335"/>
      <c r="D152" s="944"/>
      <c r="E152" s="56"/>
      <c r="F152" s="1132"/>
      <c r="G152" s="214"/>
      <c r="H152" s="140"/>
      <c r="I152" s="470"/>
      <c r="J152" s="1499"/>
      <c r="K152" s="1503"/>
      <c r="L152" s="917"/>
      <c r="M152" s="917"/>
      <c r="N152" s="519"/>
      <c r="O152" s="519"/>
      <c r="P152" s="519"/>
      <c r="Q152" s="519"/>
      <c r="R152" s="519"/>
      <c r="S152" s="519"/>
      <c r="T152" s="519"/>
      <c r="U152" s="519" t="s">
        <v>1439</v>
      </c>
      <c r="V152" s="519"/>
      <c r="W152" s="518"/>
      <c r="X152" s="518"/>
      <c r="Y152" s="518"/>
      <c r="Z152" s="1498"/>
      <c r="AA152" s="519"/>
      <c r="AB152" s="519"/>
      <c r="AC152" s="519" t="str">
        <f t="shared" si="69"/>
        <v/>
      </c>
      <c r="AD152" s="519"/>
      <c r="AE152" s="519"/>
      <c r="AF152" s="519"/>
      <c r="AG152" s="519"/>
      <c r="AH152" s="519"/>
      <c r="AI152" s="519"/>
      <c r="AJ152" s="519"/>
      <c r="AK152" s="519"/>
      <c r="AL152" s="519"/>
      <c r="AM152" s="519"/>
      <c r="AN152" s="519"/>
      <c r="AO152" s="519"/>
      <c r="AP152" s="519"/>
      <c r="AQ152" s="519"/>
      <c r="AR152" s="519"/>
      <c r="AS152" s="519"/>
      <c r="AT152" s="519"/>
      <c r="AU152" s="519"/>
      <c r="AV152" s="519"/>
      <c r="AW152" s="519"/>
      <c r="AX152" s="519"/>
      <c r="AY152" s="519"/>
      <c r="AZ152" s="519"/>
      <c r="BA152" s="519"/>
      <c r="BB152" s="519"/>
      <c r="BC152" s="519"/>
      <c r="BD152" s="519"/>
      <c r="BE152" s="519"/>
      <c r="BF152" s="912"/>
      <c r="BG152" s="519"/>
      <c r="BH152" s="519"/>
    </row>
    <row r="153" spans="1:60" s="201" customFormat="1" ht="12.75" customHeight="1">
      <c r="A153" s="112"/>
      <c r="B153" s="164"/>
      <c r="C153" s="1335"/>
      <c r="D153" s="944"/>
      <c r="E153" s="56"/>
      <c r="F153" s="1127" t="s">
        <v>1363</v>
      </c>
      <c r="G153" s="1204"/>
      <c r="H153" s="140"/>
      <c r="I153" s="470"/>
      <c r="J153" s="1499"/>
      <c r="K153" s="1503"/>
      <c r="L153" s="917"/>
      <c r="M153" s="917"/>
      <c r="N153" s="519"/>
      <c r="O153" s="519"/>
      <c r="P153" s="519"/>
      <c r="Q153" s="519"/>
      <c r="R153" s="519"/>
      <c r="S153" s="519"/>
      <c r="T153" s="519"/>
      <c r="U153" s="519" t="s">
        <v>1439</v>
      </c>
      <c r="V153" s="519"/>
      <c r="W153" s="518">
        <f t="shared" ref="W153:Y156" si="95">D153</f>
        <v>0</v>
      </c>
      <c r="X153" s="518">
        <f t="shared" si="95"/>
        <v>0</v>
      </c>
      <c r="Y153" s="518" t="str">
        <f t="shared" si="95"/>
        <v>Startup Kit - 1079 Yellow (8920)</v>
      </c>
      <c r="Z153" s="1498" t="str">
        <f>IF(G153&gt;0,G153,"")</f>
        <v/>
      </c>
      <c r="AA153" s="1524" t="str">
        <f>IF(I153&gt;0,I153,"")</f>
        <v/>
      </c>
      <c r="AB153" s="1524" t="str">
        <f t="shared" ref="AB153:AB156" si="96">IF(I153=0,"",I153)</f>
        <v/>
      </c>
      <c r="AC153" s="519" t="str">
        <f t="shared" si="69"/>
        <v/>
      </c>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519"/>
      <c r="AY153" s="519"/>
      <c r="AZ153" s="519"/>
      <c r="BA153" s="519"/>
      <c r="BB153" s="519"/>
      <c r="BC153" s="519"/>
      <c r="BD153" s="519"/>
      <c r="BE153" s="519"/>
      <c r="BF153" s="912"/>
      <c r="BG153" s="519"/>
      <c r="BH153" s="519"/>
    </row>
    <row r="154" spans="1:60" s="201" customFormat="1" ht="12.75" customHeight="1">
      <c r="A154" s="112"/>
      <c r="B154" s="164"/>
      <c r="C154" s="1335"/>
      <c r="D154" s="944" t="str">
        <f>VLOOKUP($F154,$F$391:$I$673,3,FALSE)</f>
        <v>FAC1079/5L</v>
      </c>
      <c r="E154" s="56">
        <f>VLOOKUP($F154,$F$391:$I$673,2,FALSE)</f>
        <v>15140091</v>
      </c>
      <c r="F154" s="196" t="s">
        <v>1364</v>
      </c>
      <c r="G154" s="214">
        <f>G153*0.2</f>
        <v>0</v>
      </c>
      <c r="H154" s="140">
        <f>IF(G154&gt;=0,VLOOKUP(F154,F$390:I$673,4,FALSE),"")</f>
        <v>3631</v>
      </c>
      <c r="I154" s="470">
        <f t="shared" ref="I154:I156" si="97">IF(ISERROR(H154*G154),"",H154*G154)</f>
        <v>0</v>
      </c>
      <c r="J154" s="1499"/>
      <c r="K154" s="1503"/>
      <c r="L154" s="917"/>
      <c r="M154" s="917"/>
      <c r="N154" s="519"/>
      <c r="O154" s="519"/>
      <c r="P154" s="519"/>
      <c r="Q154" s="519"/>
      <c r="R154" s="519"/>
      <c r="S154" s="519"/>
      <c r="T154" s="519"/>
      <c r="U154" s="519" t="s">
        <v>1439</v>
      </c>
      <c r="V154" s="519"/>
      <c r="W154" s="518" t="str">
        <f t="shared" si="95"/>
        <v>FAC1079/5L</v>
      </c>
      <c r="X154" s="518">
        <f t="shared" si="95"/>
        <v>15140091</v>
      </c>
      <c r="Y154" s="518" t="str">
        <f t="shared" si="95"/>
        <v>Ink 1079 Yellow (8900) 10 X 500ml</v>
      </c>
      <c r="Z154" s="1498" t="str">
        <f>IF(G154&gt;0,G154,"")</f>
        <v/>
      </c>
      <c r="AA154" s="1524" t="str">
        <f>IF(I154&gt;0,I154,"")</f>
        <v/>
      </c>
      <c r="AB154" s="1524" t="str">
        <f t="shared" si="96"/>
        <v/>
      </c>
      <c r="AC154" s="519" t="str">
        <f t="shared" si="69"/>
        <v/>
      </c>
      <c r="AD154" s="519"/>
      <c r="AE154" s="519"/>
      <c r="AF154" s="519"/>
      <c r="AG154" s="519"/>
      <c r="AH154" s="519"/>
      <c r="AI154" s="519"/>
      <c r="AJ154" s="519"/>
      <c r="AK154" s="519"/>
      <c r="AL154" s="519"/>
      <c r="AM154" s="519"/>
      <c r="AN154" s="519"/>
      <c r="AO154" s="519"/>
      <c r="AP154" s="519"/>
      <c r="AQ154" s="519"/>
      <c r="AR154" s="519"/>
      <c r="AS154" s="519"/>
      <c r="AT154" s="519"/>
      <c r="AU154" s="519"/>
      <c r="AV154" s="519"/>
      <c r="AW154" s="519"/>
      <c r="AX154" s="519"/>
      <c r="AY154" s="519"/>
      <c r="AZ154" s="519"/>
      <c r="BA154" s="519"/>
      <c r="BB154" s="519"/>
      <c r="BC154" s="519"/>
      <c r="BD154" s="519"/>
      <c r="BE154" s="519"/>
      <c r="BF154" s="912"/>
      <c r="BG154" s="519"/>
      <c r="BH154" s="519"/>
    </row>
    <row r="155" spans="1:60" s="201" customFormat="1" ht="12.75" customHeight="1">
      <c r="A155" s="112"/>
      <c r="B155" s="164"/>
      <c r="C155" s="1335"/>
      <c r="D155" s="944" t="str">
        <f>VLOOKUP($F155,$F$391:$I$673,3,FALSE)</f>
        <v>FAC1505/5L</v>
      </c>
      <c r="E155" s="56">
        <f>VLOOKUP($F155,$F$391:$I$673,2,FALSE)</f>
        <v>16140061</v>
      </c>
      <c r="F155" s="258" t="s">
        <v>1365</v>
      </c>
      <c r="G155" s="214">
        <f>G153*0.2</f>
        <v>0</v>
      </c>
      <c r="H155" s="140">
        <f>IF(G155&gt;=0,VLOOKUP(F155,F$390:I$673,4,FALSE),"")</f>
        <v>574</v>
      </c>
      <c r="I155" s="470">
        <f t="shared" si="97"/>
        <v>0</v>
      </c>
      <c r="J155" s="1499"/>
      <c r="K155" s="1503"/>
      <c r="L155" s="917"/>
      <c r="M155" s="917"/>
      <c r="N155" s="519"/>
      <c r="O155" s="519"/>
      <c r="P155" s="519"/>
      <c r="Q155" s="519"/>
      <c r="R155" s="519"/>
      <c r="S155" s="519"/>
      <c r="T155" s="519"/>
      <c r="U155" s="519" t="s">
        <v>1439</v>
      </c>
      <c r="V155" s="519"/>
      <c r="W155" s="518" t="str">
        <f t="shared" si="95"/>
        <v>FAC1505/5L</v>
      </c>
      <c r="X155" s="518">
        <f t="shared" si="95"/>
        <v>16140061</v>
      </c>
      <c r="Y155" s="518" t="str">
        <f t="shared" si="95"/>
        <v>Solvent 1505 (8900) 5 X 1L</v>
      </c>
      <c r="Z155" s="1498" t="str">
        <f>IF(G155&gt;0,G155,"")</f>
        <v/>
      </c>
      <c r="AA155" s="1524" t="str">
        <f>IF(I155&gt;0,I155,"")</f>
        <v/>
      </c>
      <c r="AB155" s="1524" t="str">
        <f t="shared" si="96"/>
        <v/>
      </c>
      <c r="AC155" s="519" t="str">
        <f t="shared" si="69"/>
        <v/>
      </c>
      <c r="AD155" s="519"/>
      <c r="AE155" s="519"/>
      <c r="AF155" s="519"/>
      <c r="AG155" s="519"/>
      <c r="AH155" s="519"/>
      <c r="AI155" s="519"/>
      <c r="AJ155" s="519"/>
      <c r="AK155" s="519"/>
      <c r="AL155" s="519"/>
      <c r="AM155" s="519"/>
      <c r="AN155" s="519"/>
      <c r="AO155" s="519"/>
      <c r="AP155" s="519"/>
      <c r="AQ155" s="519"/>
      <c r="AR155" s="519"/>
      <c r="AS155" s="519"/>
      <c r="AT155" s="519"/>
      <c r="AU155" s="519"/>
      <c r="AV155" s="519"/>
      <c r="AW155" s="519"/>
      <c r="AX155" s="519"/>
      <c r="AY155" s="519"/>
      <c r="AZ155" s="519"/>
      <c r="BA155" s="519"/>
      <c r="BB155" s="519"/>
      <c r="BC155" s="519"/>
      <c r="BD155" s="519"/>
      <c r="BE155" s="519"/>
      <c r="BF155" s="912"/>
      <c r="BG155" s="519"/>
      <c r="BH155" s="519"/>
    </row>
    <row r="156" spans="1:60" s="201" customFormat="1" ht="12.75" customHeight="1">
      <c r="A156" s="112"/>
      <c r="B156" s="164"/>
      <c r="C156" s="1335"/>
      <c r="D156" s="944" t="str">
        <f>VLOOKUP($F156,$F$391:$I$673,3,FALSE)</f>
        <v>FA90105/1L</v>
      </c>
      <c r="E156" s="56">
        <f>VLOOKUP($F156,$F$391:$I$673,2,FALSE)</f>
        <v>16140064</v>
      </c>
      <c r="F156" s="1132" t="s">
        <v>1309</v>
      </c>
      <c r="G156" s="214">
        <f>IF(G153&gt;0,SUM(G34),0)</f>
        <v>0</v>
      </c>
      <c r="H156" s="140">
        <f>IF(G156&gt;=0,VLOOKUP(F156,F$390:I$673,4,FALSE),"")</f>
        <v>52</v>
      </c>
      <c r="I156" s="470">
        <f t="shared" si="97"/>
        <v>0</v>
      </c>
      <c r="J156" s="1499"/>
      <c r="K156" s="1503"/>
      <c r="L156" s="917"/>
      <c r="M156" s="917"/>
      <c r="N156" s="519"/>
      <c r="O156" s="519"/>
      <c r="P156" s="519"/>
      <c r="Q156" s="519"/>
      <c r="R156" s="519"/>
      <c r="S156" s="519"/>
      <c r="T156" s="519"/>
      <c r="U156" s="519" t="s">
        <v>1439</v>
      </c>
      <c r="V156" s="519"/>
      <c r="W156" s="518" t="str">
        <f t="shared" si="95"/>
        <v>FA90105/1L</v>
      </c>
      <c r="X156" s="518">
        <f t="shared" si="95"/>
        <v>16140064</v>
      </c>
      <c r="Y156" s="518" t="str">
        <f t="shared" si="95"/>
        <v xml:space="preserve">CLEANER 8900 MEK 2x500ML </v>
      </c>
      <c r="Z156" s="1498" t="str">
        <f>IF(G156&gt;0,G156,"")</f>
        <v/>
      </c>
      <c r="AA156" s="1524" t="str">
        <f>IF(I156&gt;0,I156,"")</f>
        <v/>
      </c>
      <c r="AB156" s="1524" t="str">
        <f t="shared" si="96"/>
        <v/>
      </c>
      <c r="AC156" s="519" t="str">
        <f t="shared" ref="AC156:AC188" si="98">IF(Z156="","", "Show")</f>
        <v/>
      </c>
      <c r="AD156" s="519"/>
      <c r="AE156" s="519"/>
      <c r="AF156" s="519"/>
      <c r="AG156" s="519"/>
      <c r="AH156" s="519"/>
      <c r="AI156" s="519"/>
      <c r="AJ156" s="519"/>
      <c r="AK156" s="519"/>
      <c r="AL156" s="519"/>
      <c r="AM156" s="519"/>
      <c r="AN156" s="519"/>
      <c r="AO156" s="519"/>
      <c r="AP156" s="519"/>
      <c r="AQ156" s="519"/>
      <c r="AR156" s="519"/>
      <c r="AS156" s="519"/>
      <c r="AT156" s="519"/>
      <c r="AU156" s="519"/>
      <c r="AV156" s="519"/>
      <c r="AW156" s="519"/>
      <c r="AX156" s="519"/>
      <c r="AY156" s="519"/>
      <c r="AZ156" s="519"/>
      <c r="BA156" s="519"/>
      <c r="BB156" s="519"/>
      <c r="BC156" s="519"/>
      <c r="BD156" s="519"/>
      <c r="BE156" s="519"/>
      <c r="BF156" s="912"/>
      <c r="BG156" s="519"/>
      <c r="BH156" s="519"/>
    </row>
    <row r="157" spans="1:60" s="201" customFormat="1" ht="12.75" customHeight="1">
      <c r="A157" s="112"/>
      <c r="B157" s="164"/>
      <c r="C157" s="1335"/>
      <c r="D157" s="944"/>
      <c r="E157" s="56"/>
      <c r="F157" s="258"/>
      <c r="G157" s="214"/>
      <c r="H157" s="140"/>
      <c r="I157" s="470"/>
      <c r="J157" s="1499"/>
      <c r="K157" s="1503"/>
      <c r="L157" s="917"/>
      <c r="M157" s="917"/>
      <c r="N157" s="519"/>
      <c r="O157" s="519"/>
      <c r="P157" s="519"/>
      <c r="Q157" s="519"/>
      <c r="R157" s="519"/>
      <c r="S157" s="519"/>
      <c r="T157" s="519"/>
      <c r="U157" s="519" t="s">
        <v>1439</v>
      </c>
      <c r="V157" s="519"/>
      <c r="W157" s="518"/>
      <c r="X157" s="518"/>
      <c r="Y157" s="518"/>
      <c r="Z157" s="1498"/>
      <c r="AA157" s="519"/>
      <c r="AB157" s="519"/>
      <c r="AC157" s="519" t="str">
        <f t="shared" si="98"/>
        <v/>
      </c>
      <c r="AD157" s="519"/>
      <c r="AE157" s="519"/>
      <c r="AF157" s="519"/>
      <c r="AG157" s="519"/>
      <c r="AH157" s="519"/>
      <c r="AI157" s="519"/>
      <c r="AJ157" s="519"/>
      <c r="AK157" s="519"/>
      <c r="AL157" s="519"/>
      <c r="AM157" s="519"/>
      <c r="AN157" s="519"/>
      <c r="AO157" s="519"/>
      <c r="AP157" s="519"/>
      <c r="AQ157" s="519"/>
      <c r="AR157" s="519"/>
      <c r="AS157" s="519"/>
      <c r="AT157" s="519"/>
      <c r="AU157" s="519"/>
      <c r="AV157" s="519"/>
      <c r="AW157" s="519"/>
      <c r="AX157" s="519"/>
      <c r="AY157" s="519"/>
      <c r="AZ157" s="519"/>
      <c r="BA157" s="519"/>
      <c r="BB157" s="519"/>
      <c r="BC157" s="519"/>
      <c r="BD157" s="519"/>
      <c r="BE157" s="519"/>
      <c r="BF157" s="912"/>
      <c r="BG157" s="519"/>
      <c r="BH157" s="519"/>
    </row>
    <row r="158" spans="1:60" s="201" customFormat="1" ht="15" hidden="1" customHeight="1">
      <c r="A158" s="112"/>
      <c r="B158" s="164"/>
      <c r="C158" s="1335"/>
      <c r="D158" s="951" t="s">
        <v>1133</v>
      </c>
      <c r="E158" s="456"/>
      <c r="F158" s="457"/>
      <c r="G158" s="458"/>
      <c r="H158" s="459"/>
      <c r="I158" s="460"/>
      <c r="J158" s="1499"/>
      <c r="K158" s="1503"/>
      <c r="L158" s="917"/>
      <c r="M158" s="917"/>
      <c r="N158" s="519"/>
      <c r="O158" s="519"/>
      <c r="P158" s="519"/>
      <c r="Q158" s="519"/>
      <c r="R158" s="519"/>
      <c r="S158" s="519"/>
      <c r="T158" s="519"/>
      <c r="U158" s="519" t="s">
        <v>1439</v>
      </c>
      <c r="V158" s="519"/>
      <c r="W158" s="518"/>
      <c r="X158" s="518"/>
      <c r="Y158" s="518"/>
      <c r="Z158" s="1498"/>
      <c r="AA158" s="519"/>
      <c r="AB158" s="519"/>
      <c r="AC158" s="519" t="str">
        <f t="shared" si="98"/>
        <v/>
      </c>
      <c r="AD158" s="519"/>
      <c r="AE158" s="519"/>
      <c r="AF158" s="519"/>
      <c r="AG158" s="519"/>
      <c r="AH158" s="519"/>
      <c r="AI158" s="519"/>
      <c r="AJ158" s="519"/>
      <c r="AK158" s="519"/>
      <c r="AL158" s="519"/>
      <c r="AM158" s="519"/>
      <c r="AN158" s="519"/>
      <c r="AO158" s="519"/>
      <c r="AP158" s="519"/>
      <c r="AQ158" s="519"/>
      <c r="AR158" s="519"/>
      <c r="AS158" s="519"/>
      <c r="AT158" s="519"/>
      <c r="AU158" s="519"/>
      <c r="AV158" s="519"/>
      <c r="AW158" s="519"/>
      <c r="AX158" s="519"/>
      <c r="AY158" s="519"/>
      <c r="AZ158" s="519"/>
      <c r="BA158" s="519"/>
      <c r="BB158" s="519"/>
      <c r="BC158" s="519"/>
      <c r="BD158" s="519"/>
      <c r="BE158" s="519"/>
      <c r="BF158" s="912"/>
      <c r="BG158" s="519"/>
      <c r="BH158" s="519"/>
    </row>
    <row r="159" spans="1:60" s="201" customFormat="1" ht="25.5" hidden="1" customHeight="1">
      <c r="A159" s="112"/>
      <c r="B159" s="164"/>
      <c r="C159" s="1336"/>
      <c r="D159" s="944">
        <f>VLOOKUP($F159,$F$391:$I$673,3,FALSE)</f>
        <v>0</v>
      </c>
      <c r="E159" s="465" t="e">
        <f>VLOOKUP($F159,$F$391:$I$673,2,FALSE)</f>
        <v>#N/A</v>
      </c>
      <c r="F159" s="467" t="s">
        <v>627</v>
      </c>
      <c r="G159" s="469">
        <f>G26</f>
        <v>0</v>
      </c>
      <c r="H159" s="471" t="str">
        <f>IF(G159&gt;=1,VLOOKUP(F159,F$390:I$673,4,FALSE),"")</f>
        <v/>
      </c>
      <c r="I159" s="470" t="str">
        <f t="shared" ref="I159" si="99">IF(ISERROR(H159*G159),"",H159*G159)</f>
        <v/>
      </c>
      <c r="J159" s="1499"/>
      <c r="K159" s="1503"/>
      <c r="L159" s="917"/>
      <c r="M159" s="917"/>
      <c r="N159" s="519"/>
      <c r="O159" s="519"/>
      <c r="P159" s="519"/>
      <c r="Q159" s="519"/>
      <c r="R159" s="519"/>
      <c r="S159" s="519"/>
      <c r="T159" s="519"/>
      <c r="U159" s="519" t="s">
        <v>1439</v>
      </c>
      <c r="V159" s="519"/>
      <c r="W159" s="518"/>
      <c r="X159" s="518"/>
      <c r="Y159" s="518"/>
      <c r="Z159" s="1498"/>
      <c r="AA159" s="519"/>
      <c r="AB159" s="519"/>
      <c r="AC159" s="519" t="str">
        <f t="shared" si="98"/>
        <v/>
      </c>
      <c r="AD159" s="519"/>
      <c r="AE159" s="519"/>
      <c r="AF159" s="519"/>
      <c r="AG159" s="519"/>
      <c r="AH159" s="519"/>
      <c r="AI159" s="519"/>
      <c r="AJ159" s="519"/>
      <c r="AK159" s="519"/>
      <c r="AL159" s="519"/>
      <c r="AM159" s="519"/>
      <c r="AN159" s="519"/>
      <c r="AO159" s="519"/>
      <c r="AP159" s="519"/>
      <c r="AQ159" s="519"/>
      <c r="AR159" s="519"/>
      <c r="AS159" s="519"/>
      <c r="AT159" s="519"/>
      <c r="AU159" s="519"/>
      <c r="AV159" s="519"/>
      <c r="AW159" s="519"/>
      <c r="AX159" s="519"/>
      <c r="AY159" s="519"/>
      <c r="AZ159" s="519"/>
      <c r="BA159" s="519"/>
      <c r="BB159" s="519"/>
      <c r="BC159" s="519"/>
      <c r="BD159" s="519"/>
      <c r="BE159" s="519"/>
      <c r="BF159" s="912"/>
      <c r="BG159" s="519"/>
      <c r="BH159" s="519"/>
    </row>
    <row r="160" spans="1:60" s="201" customFormat="1" ht="12.75" customHeight="1">
      <c r="A160" s="112"/>
      <c r="B160" s="164"/>
      <c r="C160" s="461"/>
      <c r="D160" s="1087"/>
      <c r="E160" s="462"/>
      <c r="F160" s="463"/>
      <c r="G160" s="463"/>
      <c r="H160" s="464"/>
      <c r="I160" s="454"/>
      <c r="J160" s="1499"/>
      <c r="K160" s="1503"/>
      <c r="L160" s="917"/>
      <c r="M160" s="917"/>
      <c r="N160" s="519"/>
      <c r="O160" s="519"/>
      <c r="P160" s="519"/>
      <c r="Q160" s="519"/>
      <c r="R160" s="519"/>
      <c r="S160" s="519"/>
      <c r="T160" s="519"/>
      <c r="U160" s="519" t="s">
        <v>1439</v>
      </c>
      <c r="V160" s="519"/>
      <c r="W160" s="518"/>
      <c r="X160" s="518"/>
      <c r="Y160" s="518"/>
      <c r="Z160" s="1498"/>
      <c r="AA160" s="519"/>
      <c r="AB160" s="519"/>
      <c r="AC160" s="519" t="str">
        <f t="shared" si="98"/>
        <v/>
      </c>
      <c r="AD160" s="519"/>
      <c r="AE160" s="519"/>
      <c r="AF160" s="519"/>
      <c r="AG160" s="519"/>
      <c r="AH160" s="519"/>
      <c r="AI160" s="519"/>
      <c r="AJ160" s="519"/>
      <c r="AK160" s="519"/>
      <c r="AL160" s="519"/>
      <c r="AM160" s="519"/>
      <c r="AN160" s="519"/>
      <c r="AO160" s="519"/>
      <c r="AP160" s="519"/>
      <c r="AQ160" s="519"/>
      <c r="AR160" s="519"/>
      <c r="AS160" s="519"/>
      <c r="AT160" s="519"/>
      <c r="AU160" s="519"/>
      <c r="AV160" s="519"/>
      <c r="AW160" s="519"/>
      <c r="AX160" s="519"/>
      <c r="AY160" s="519"/>
      <c r="AZ160" s="519"/>
      <c r="BA160" s="519"/>
      <c r="BB160" s="519"/>
      <c r="BC160" s="519"/>
      <c r="BD160" s="519"/>
      <c r="BE160" s="519"/>
      <c r="BF160" s="912"/>
      <c r="BG160" s="519"/>
      <c r="BH160" s="519"/>
    </row>
    <row r="161" spans="1:60" s="201" customFormat="1" ht="3" customHeight="1">
      <c r="A161" s="112"/>
      <c r="B161" s="164"/>
      <c r="C161" s="782"/>
      <c r="D161" s="26"/>
      <c r="E161" s="783"/>
      <c r="F161" s="784"/>
      <c r="G161" s="784"/>
      <c r="H161" s="785"/>
      <c r="I161" s="786"/>
      <c r="J161" s="1499"/>
      <c r="K161" s="1503"/>
      <c r="L161" s="917"/>
      <c r="M161" s="917"/>
      <c r="N161" s="519"/>
      <c r="O161" s="519"/>
      <c r="P161" s="519"/>
      <c r="Q161" s="519"/>
      <c r="R161" s="519"/>
      <c r="S161" s="519"/>
      <c r="T161" s="519"/>
      <c r="U161" s="519" t="s">
        <v>1439</v>
      </c>
      <c r="V161" s="519"/>
      <c r="W161" s="518"/>
      <c r="X161" s="518"/>
      <c r="Y161" s="518"/>
      <c r="Z161" s="1498"/>
      <c r="AA161" s="519"/>
      <c r="AB161" s="519"/>
      <c r="AC161" s="519" t="str">
        <f t="shared" si="98"/>
        <v/>
      </c>
      <c r="AD161" s="519"/>
      <c r="AE161" s="519"/>
      <c r="AF161" s="519"/>
      <c r="AG161" s="519"/>
      <c r="AH161" s="519"/>
      <c r="AI161" s="519"/>
      <c r="AJ161" s="519"/>
      <c r="AK161" s="519"/>
      <c r="AL161" s="519"/>
      <c r="AM161" s="519"/>
      <c r="AN161" s="519"/>
      <c r="AO161" s="519"/>
      <c r="AP161" s="519"/>
      <c r="AQ161" s="519"/>
      <c r="AR161" s="519"/>
      <c r="AS161" s="519"/>
      <c r="AT161" s="519"/>
      <c r="AU161" s="519"/>
      <c r="AV161" s="519"/>
      <c r="AW161" s="519"/>
      <c r="AX161" s="519"/>
      <c r="AY161" s="519"/>
      <c r="AZ161" s="519"/>
      <c r="BA161" s="519"/>
      <c r="BB161" s="519"/>
      <c r="BC161" s="519"/>
      <c r="BD161" s="519"/>
      <c r="BE161" s="519"/>
      <c r="BF161" s="912"/>
      <c r="BG161" s="519"/>
      <c r="BH161" s="519"/>
    </row>
    <row r="162" spans="1:60" s="201" customFormat="1" ht="17.25" customHeight="1">
      <c r="A162" s="112"/>
      <c r="B162" s="164"/>
      <c r="C162" s="455" t="s">
        <v>639</v>
      </c>
      <c r="D162" s="952"/>
      <c r="E162" s="456"/>
      <c r="F162" s="457"/>
      <c r="G162" s="458"/>
      <c r="H162" s="459"/>
      <c r="I162" s="460"/>
      <c r="J162" s="1499"/>
      <c r="K162" s="1503"/>
      <c r="L162" s="917"/>
      <c r="M162" s="917"/>
      <c r="N162" s="519"/>
      <c r="O162" s="519"/>
      <c r="P162" s="519"/>
      <c r="Q162" s="519"/>
      <c r="R162" s="519"/>
      <c r="S162" s="519"/>
      <c r="T162" s="519"/>
      <c r="U162" s="519" t="s">
        <v>1439</v>
      </c>
      <c r="V162" s="519"/>
      <c r="W162" s="518"/>
      <c r="X162" s="518"/>
      <c r="Y162" s="518"/>
      <c r="Z162" s="1498"/>
      <c r="AA162" s="519"/>
      <c r="AB162" s="519"/>
      <c r="AC162" s="519" t="str">
        <f t="shared" si="98"/>
        <v/>
      </c>
      <c r="AD162" s="519"/>
      <c r="AE162" s="519"/>
      <c r="AF162" s="519"/>
      <c r="AG162" s="519"/>
      <c r="AH162" s="519"/>
      <c r="AI162" s="519"/>
      <c r="AJ162" s="519"/>
      <c r="AK162" s="519"/>
      <c r="AL162" s="519"/>
      <c r="AM162" s="519"/>
      <c r="AN162" s="519"/>
      <c r="AO162" s="519"/>
      <c r="AP162" s="519"/>
      <c r="AQ162" s="519"/>
      <c r="AR162" s="519"/>
      <c r="AS162" s="519"/>
      <c r="AT162" s="519"/>
      <c r="AU162" s="519"/>
      <c r="AV162" s="519"/>
      <c r="AW162" s="519"/>
      <c r="AX162" s="519"/>
      <c r="AY162" s="519"/>
      <c r="AZ162" s="519"/>
      <c r="BA162" s="519"/>
      <c r="BB162" s="519"/>
      <c r="BC162" s="519"/>
      <c r="BD162" s="519"/>
      <c r="BE162" s="519"/>
      <c r="BF162" s="912"/>
      <c r="BG162" s="519"/>
      <c r="BH162" s="519"/>
    </row>
    <row r="163" spans="1:60" s="201" customFormat="1" ht="12.75" customHeight="1">
      <c r="A163" s="112"/>
      <c r="B163" s="164"/>
      <c r="C163" s="73"/>
      <c r="D163" s="944" t="str">
        <f>VLOOKUP($F163,$F$391:$I$673,3,FALSE)</f>
        <v>FAC1240/5L</v>
      </c>
      <c r="E163" s="56">
        <f>VLOOKUP($F163,$F$391:$I$673,2,FALSE)</f>
        <v>15140077</v>
      </c>
      <c r="F163" s="1131" t="s">
        <v>1244</v>
      </c>
      <c r="G163" s="1191"/>
      <c r="H163" s="141" t="str">
        <f>IF(G163&gt;=1,VLOOKUP(F163,F$390:I$673,4,FALSE),"")</f>
        <v/>
      </c>
      <c r="I163" s="59" t="str">
        <f>IF(ISERROR(H163*G163),"",H163*G163)</f>
        <v/>
      </c>
      <c r="J163" s="1499"/>
      <c r="K163" s="1503"/>
      <c r="L163" s="917"/>
      <c r="M163" s="917"/>
      <c r="N163" s="519"/>
      <c r="O163" s="519"/>
      <c r="P163" s="519"/>
      <c r="Q163" s="519"/>
      <c r="R163" s="519"/>
      <c r="S163" s="519"/>
      <c r="T163" s="519"/>
      <c r="U163" s="519" t="s">
        <v>1439</v>
      </c>
      <c r="V163" s="519"/>
      <c r="W163" s="518" t="str">
        <f t="shared" ref="W163:Y165" si="100">D163</f>
        <v>FAC1240/5L</v>
      </c>
      <c r="X163" s="518">
        <f t="shared" si="100"/>
        <v>15140077</v>
      </c>
      <c r="Y163" s="518" t="str">
        <f t="shared" si="100"/>
        <v xml:space="preserve">INK 1240 BLK (8900) 10 X 500ML  </v>
      </c>
      <c r="Z163" s="1498" t="str">
        <f>IF(G163&gt;0,G163,"")</f>
        <v/>
      </c>
      <c r="AA163" s="1524" t="str">
        <f>IF(I163&gt;0,I163,"")</f>
        <v/>
      </c>
      <c r="AB163" s="1524" t="str">
        <f t="shared" ref="AB163:AB165" si="101">IF(I163=0,"",I163)</f>
        <v/>
      </c>
      <c r="AC163" s="519" t="str">
        <f t="shared" si="98"/>
        <v/>
      </c>
      <c r="AD163" s="519"/>
      <c r="AE163" s="519"/>
      <c r="AF163" s="519"/>
      <c r="AG163" s="519"/>
      <c r="AH163" s="519"/>
      <c r="AI163" s="519"/>
      <c r="AJ163" s="519"/>
      <c r="AK163" s="519"/>
      <c r="AL163" s="519"/>
      <c r="AM163" s="519"/>
      <c r="AN163" s="519"/>
      <c r="AO163" s="519"/>
      <c r="AP163" s="519"/>
      <c r="AQ163" s="519"/>
      <c r="AR163" s="519"/>
      <c r="AS163" s="519"/>
      <c r="AT163" s="519"/>
      <c r="AU163" s="519"/>
      <c r="AV163" s="519"/>
      <c r="AW163" s="519"/>
      <c r="AX163" s="519"/>
      <c r="AY163" s="519"/>
      <c r="AZ163" s="519"/>
      <c r="BA163" s="519"/>
      <c r="BB163" s="519"/>
      <c r="BC163" s="519"/>
      <c r="BD163" s="519"/>
      <c r="BE163" s="519"/>
      <c r="BF163" s="912"/>
      <c r="BG163" s="519"/>
      <c r="BH163" s="519"/>
    </row>
    <row r="164" spans="1:60" s="201" customFormat="1" ht="12.75" customHeight="1">
      <c r="A164" s="112"/>
      <c r="B164" s="164"/>
      <c r="C164" s="1341"/>
      <c r="D164" s="944" t="str">
        <f>VLOOKUP($F164,$F$391:$I$673,3,FALSE)</f>
        <v>FAC1512/5L</v>
      </c>
      <c r="E164" s="56">
        <f>VLOOKUP($F164,$F$391:$I$673,2,FALSE)</f>
        <v>16140057</v>
      </c>
      <c r="F164" s="1188" t="str">
        <f>VLOOKUP($F$144,$F$391:$K$600,6,FALSE)</f>
        <v xml:space="preserve">SOLVENT 1512 (8900) 5 X 1L  </v>
      </c>
      <c r="G164" s="1191"/>
      <c r="H164" s="141" t="str">
        <f>IF(G164&gt;=1,VLOOKUP(F164,F$390:I$673,4,FALSE),"")</f>
        <v/>
      </c>
      <c r="I164" s="59" t="str">
        <f>IF(ISERROR(H164*G164),"",H164*G164)</f>
        <v/>
      </c>
      <c r="J164" s="1499"/>
      <c r="K164" s="1503"/>
      <c r="L164" s="917"/>
      <c r="M164" s="917"/>
      <c r="N164" s="519"/>
      <c r="O164" s="519"/>
      <c r="P164" s="519"/>
      <c r="Q164" s="519"/>
      <c r="R164" s="519"/>
      <c r="S164" s="519"/>
      <c r="T164" s="519"/>
      <c r="U164" s="519" t="s">
        <v>1439</v>
      </c>
      <c r="V164" s="519"/>
      <c r="W164" s="518" t="str">
        <f t="shared" si="100"/>
        <v>FAC1512/5L</v>
      </c>
      <c r="X164" s="518">
        <f t="shared" si="100"/>
        <v>16140057</v>
      </c>
      <c r="Y164" s="518" t="str">
        <f t="shared" si="100"/>
        <v xml:space="preserve">SOLVENT 1512 (8900) 5 X 1L  </v>
      </c>
      <c r="Z164" s="1498" t="str">
        <f>IF(G164&gt;0,G164,"")</f>
        <v/>
      </c>
      <c r="AA164" s="1524" t="str">
        <f>IF(I164&gt;0,I164,"")</f>
        <v/>
      </c>
      <c r="AB164" s="1524" t="str">
        <f t="shared" si="101"/>
        <v/>
      </c>
      <c r="AC164" s="519" t="str">
        <f t="shared" si="98"/>
        <v/>
      </c>
      <c r="AD164" s="519"/>
      <c r="AE164" s="519"/>
      <c r="AF164" s="519"/>
      <c r="AG164" s="519"/>
      <c r="AH164" s="519"/>
      <c r="AI164" s="519"/>
      <c r="AJ164" s="519"/>
      <c r="AK164" s="519"/>
      <c r="AL164" s="519"/>
      <c r="AM164" s="519"/>
      <c r="AN164" s="519"/>
      <c r="AO164" s="519"/>
      <c r="AP164" s="519"/>
      <c r="AQ164" s="519"/>
      <c r="AR164" s="519"/>
      <c r="AS164" s="519"/>
      <c r="AT164" s="519"/>
      <c r="AU164" s="519"/>
      <c r="AV164" s="519"/>
      <c r="AW164" s="519"/>
      <c r="AX164" s="519"/>
      <c r="AY164" s="519"/>
      <c r="AZ164" s="519"/>
      <c r="BA164" s="519"/>
      <c r="BB164" s="519"/>
      <c r="BC164" s="519"/>
      <c r="BD164" s="519"/>
      <c r="BE164" s="519"/>
      <c r="BF164" s="912"/>
      <c r="BG164" s="519"/>
      <c r="BH164" s="519"/>
    </row>
    <row r="165" spans="1:60" s="201" customFormat="1" ht="12.75" customHeight="1">
      <c r="A165" s="112"/>
      <c r="B165" s="164"/>
      <c r="C165" s="1340"/>
      <c r="D165" s="944" t="str">
        <f>VLOOKUP($F165,$F$391:$I$673,3,FALSE)</f>
        <v>FA90105/1L</v>
      </c>
      <c r="E165" s="56">
        <f>VLOOKUP($F165,$F$391:$I$673,2,FALSE)</f>
        <v>16140064</v>
      </c>
      <c r="F165" s="1132" t="str">
        <f>VLOOKUP(F163,$F$555:$L$572,7,FALSE)</f>
        <v xml:space="preserve">CLEANER 8900 MEK 2x500ML </v>
      </c>
      <c r="G165" s="1191"/>
      <c r="H165" s="141" t="str">
        <f>IF(G165&gt;=1,VLOOKUP(F165,F$390:I$673,4,FALSE),"")</f>
        <v/>
      </c>
      <c r="I165" s="59" t="str">
        <f>IF(ISERROR(H165*G165),"",H165*G165)</f>
        <v/>
      </c>
      <c r="J165" s="1499"/>
      <c r="K165" s="1503"/>
      <c r="L165" s="917"/>
      <c r="M165" s="917"/>
      <c r="N165" s="519"/>
      <c r="O165" s="519"/>
      <c r="P165" s="519"/>
      <c r="Q165" s="519"/>
      <c r="R165" s="519"/>
      <c r="S165" s="519"/>
      <c r="T165" s="519"/>
      <c r="U165" s="519" t="s">
        <v>1439</v>
      </c>
      <c r="V165" s="519"/>
      <c r="W165" s="518" t="str">
        <f t="shared" si="100"/>
        <v>FA90105/1L</v>
      </c>
      <c r="X165" s="518">
        <f t="shared" si="100"/>
        <v>16140064</v>
      </c>
      <c r="Y165" s="518" t="str">
        <f t="shared" si="100"/>
        <v xml:space="preserve">CLEANER 8900 MEK 2x500ML </v>
      </c>
      <c r="Z165" s="1498" t="str">
        <f>IF(G165&gt;0,G165,"")</f>
        <v/>
      </c>
      <c r="AA165" s="1524" t="str">
        <f>IF(I165&gt;0,I165,"")</f>
        <v/>
      </c>
      <c r="AB165" s="1524" t="str">
        <f t="shared" si="101"/>
        <v/>
      </c>
      <c r="AC165" s="519" t="str">
        <f t="shared" si="98"/>
        <v/>
      </c>
      <c r="AD165" s="519"/>
      <c r="AE165" s="519"/>
      <c r="AF165" s="519"/>
      <c r="AG165" s="519"/>
      <c r="AH165" s="519"/>
      <c r="AI165" s="519"/>
      <c r="AJ165" s="519"/>
      <c r="AK165" s="519"/>
      <c r="AL165" s="519"/>
      <c r="AM165" s="519"/>
      <c r="AN165" s="519"/>
      <c r="AO165" s="519"/>
      <c r="AP165" s="519"/>
      <c r="AQ165" s="519"/>
      <c r="AR165" s="519"/>
      <c r="AS165" s="519"/>
      <c r="AT165" s="519"/>
      <c r="AU165" s="519"/>
      <c r="AV165" s="519"/>
      <c r="AW165" s="519"/>
      <c r="AX165" s="519"/>
      <c r="AY165" s="519"/>
      <c r="AZ165" s="519"/>
      <c r="BA165" s="519"/>
      <c r="BB165" s="519"/>
      <c r="BC165" s="519"/>
      <c r="BD165" s="519"/>
      <c r="BE165" s="519"/>
      <c r="BF165" s="912"/>
      <c r="BG165" s="519"/>
      <c r="BH165" s="519"/>
    </row>
    <row r="166" spans="1:60" s="201" customFormat="1" ht="12.75" customHeight="1">
      <c r="A166" s="112"/>
      <c r="B166" s="164"/>
      <c r="C166" s="461"/>
      <c r="D166" s="950"/>
      <c r="E166" s="462"/>
      <c r="F166" s="463"/>
      <c r="G166" s="463"/>
      <c r="H166" s="464"/>
      <c r="I166" s="454"/>
      <c r="J166" s="1499"/>
      <c r="K166" s="1503"/>
      <c r="L166" s="917"/>
      <c r="M166" s="917"/>
      <c r="N166" s="519"/>
      <c r="O166" s="519"/>
      <c r="P166" s="519"/>
      <c r="Q166" s="519"/>
      <c r="R166" s="519"/>
      <c r="S166" s="519"/>
      <c r="T166" s="519"/>
      <c r="U166" s="519" t="s">
        <v>1439</v>
      </c>
      <c r="V166" s="519"/>
      <c r="W166" s="518"/>
      <c r="X166" s="518"/>
      <c r="Y166" s="518"/>
      <c r="Z166" s="1498"/>
      <c r="AA166" s="519"/>
      <c r="AB166" s="519"/>
      <c r="AC166" s="519" t="str">
        <f t="shared" si="98"/>
        <v/>
      </c>
      <c r="AD166" s="519"/>
      <c r="AE166" s="519"/>
      <c r="AF166" s="519"/>
      <c r="AG166" s="519"/>
      <c r="AH166" s="519"/>
      <c r="AI166" s="519"/>
      <c r="AJ166" s="519"/>
      <c r="AK166" s="519"/>
      <c r="AL166" s="519"/>
      <c r="AM166" s="519"/>
      <c r="AN166" s="519"/>
      <c r="AO166" s="519"/>
      <c r="AP166" s="519"/>
      <c r="AQ166" s="519"/>
      <c r="AR166" s="519"/>
      <c r="AS166" s="519"/>
      <c r="AT166" s="519"/>
      <c r="AU166" s="519"/>
      <c r="AV166" s="519"/>
      <c r="AW166" s="519"/>
      <c r="AX166" s="519"/>
      <c r="AY166" s="519"/>
      <c r="AZ166" s="519"/>
      <c r="BA166" s="519"/>
      <c r="BB166" s="519"/>
      <c r="BC166" s="519"/>
      <c r="BD166" s="519"/>
      <c r="BE166" s="519"/>
      <c r="BF166" s="912"/>
      <c r="BG166" s="519"/>
      <c r="BH166" s="519"/>
    </row>
    <row r="167" spans="1:60" s="201" customFormat="1" ht="15">
      <c r="A167" s="112"/>
      <c r="B167"/>
      <c r="C167" s="455" t="s">
        <v>638</v>
      </c>
      <c r="D167" s="952"/>
      <c r="E167" s="456"/>
      <c r="F167" s="457"/>
      <c r="G167" s="458"/>
      <c r="H167" s="459"/>
      <c r="I167" s="460"/>
      <c r="J167" s="1499"/>
      <c r="K167" s="1503"/>
      <c r="L167" s="917"/>
      <c r="M167" s="917"/>
      <c r="N167" s="519"/>
      <c r="O167" s="519"/>
      <c r="P167" s="519"/>
      <c r="Q167" s="519"/>
      <c r="R167" s="519"/>
      <c r="S167" s="519"/>
      <c r="T167" s="519"/>
      <c r="U167" s="519" t="s">
        <v>1439</v>
      </c>
      <c r="V167" s="519"/>
      <c r="W167" s="518"/>
      <c r="X167" s="518"/>
      <c r="Y167" s="518"/>
      <c r="Z167" s="1498"/>
      <c r="AA167" s="519"/>
      <c r="AB167" s="519"/>
      <c r="AC167" s="519" t="str">
        <f t="shared" si="98"/>
        <v/>
      </c>
      <c r="AD167" s="519"/>
      <c r="AE167" s="519"/>
      <c r="AF167" s="519"/>
      <c r="AG167" s="519"/>
      <c r="AH167" s="519"/>
      <c r="AI167" s="519"/>
      <c r="AJ167" s="519"/>
      <c r="AK167" s="519"/>
      <c r="AL167" s="519"/>
      <c r="AM167" s="519"/>
      <c r="AN167" s="519"/>
      <c r="AO167" s="519"/>
      <c r="AP167" s="519"/>
      <c r="AQ167" s="519"/>
      <c r="AR167" s="519"/>
      <c r="AS167" s="519"/>
      <c r="AT167" s="519"/>
      <c r="AU167" s="519"/>
      <c r="AV167" s="519"/>
      <c r="AW167" s="519"/>
      <c r="AX167" s="519"/>
      <c r="AY167" s="519"/>
      <c r="AZ167" s="519"/>
      <c r="BA167" s="519"/>
      <c r="BB167" s="519"/>
      <c r="BC167" s="519"/>
      <c r="BD167" s="519"/>
      <c r="BE167" s="519"/>
      <c r="BF167" s="912"/>
      <c r="BG167" s="519"/>
      <c r="BH167" s="519"/>
    </row>
    <row r="168" spans="1:60" s="201" customFormat="1" ht="13.5" customHeight="1" thickBot="1">
      <c r="A168" s="112"/>
      <c r="B168"/>
      <c r="C168" s="40"/>
      <c r="D168" s="953">
        <f>VLOOKUP($F168,$F$391:$I$673,3,FALSE)</f>
        <v>0</v>
      </c>
      <c r="E168" s="10">
        <f>VLOOKUP($F168,$F$391:$I$673,2,FALSE)</f>
        <v>19810039</v>
      </c>
      <c r="F168" s="242" t="s">
        <v>559</v>
      </c>
      <c r="G168" s="150"/>
      <c r="H168" s="441" t="str">
        <f>IF(G168&gt;=1,VLOOKUP(F168,F$390:I$673,4,FALSE),"")</f>
        <v/>
      </c>
      <c r="I168" s="442" t="str">
        <f>IF(ISERROR(H168*G168),"",H168*G168)</f>
        <v/>
      </c>
      <c r="J168" s="1499"/>
      <c r="K168" s="1503"/>
      <c r="L168" s="917"/>
      <c r="M168" s="917"/>
      <c r="N168" s="519"/>
      <c r="O168" s="519"/>
      <c r="P168" s="519"/>
      <c r="Q168" s="519"/>
      <c r="R168" s="519"/>
      <c r="S168" s="519"/>
      <c r="T168" s="519"/>
      <c r="U168" s="519" t="s">
        <v>1439</v>
      </c>
      <c r="V168" s="519"/>
      <c r="W168" s="518">
        <f>D168</f>
        <v>0</v>
      </c>
      <c r="X168" s="518">
        <f>E168</f>
        <v>19810039</v>
      </c>
      <c r="Y168" s="518" t="str">
        <f>F168</f>
        <v>Matthews Cleaning Kit</v>
      </c>
      <c r="Z168" s="1498" t="str">
        <f>IF(G168&gt;0,G168,"")</f>
        <v/>
      </c>
      <c r="AA168" s="1524" t="str">
        <f>IF(I168&gt;0,I168,"")</f>
        <v/>
      </c>
      <c r="AB168" s="1524" t="str">
        <f t="shared" ref="AB168" si="102">IF(I168=0,"",I168)</f>
        <v/>
      </c>
      <c r="AC168" s="519" t="str">
        <f t="shared" si="98"/>
        <v/>
      </c>
      <c r="AD168" s="519"/>
      <c r="AE168" s="519"/>
      <c r="AF168" s="519"/>
      <c r="AG168" s="519"/>
      <c r="AH168" s="519"/>
      <c r="AI168" s="519"/>
      <c r="AJ168" s="519"/>
      <c r="AK168" s="519"/>
      <c r="AL168" s="519"/>
      <c r="AM168" s="519"/>
      <c r="AN168" s="519"/>
      <c r="AO168" s="519"/>
      <c r="AP168" s="519"/>
      <c r="AQ168" s="519"/>
      <c r="AR168" s="519"/>
      <c r="AS168" s="519"/>
      <c r="AT168" s="519"/>
      <c r="AU168" s="519"/>
      <c r="AV168" s="519"/>
      <c r="AW168" s="519"/>
      <c r="AX168" s="519"/>
      <c r="AY168" s="519"/>
      <c r="AZ168" s="519"/>
      <c r="BA168" s="519"/>
      <c r="BB168" s="519"/>
      <c r="BC168" s="519"/>
      <c r="BD168" s="519"/>
      <c r="BE168" s="519"/>
      <c r="BF168" s="912"/>
      <c r="BG168" s="519"/>
      <c r="BH168" s="519"/>
    </row>
    <row r="169" spans="1:60" s="201" customFormat="1" ht="13.5" thickBot="1">
      <c r="A169" s="112"/>
      <c r="B169"/>
      <c r="C169" s="1"/>
      <c r="D169" s="1"/>
      <c r="E169" s="1"/>
      <c r="F169"/>
      <c r="G169" s="2"/>
      <c r="H169" s="51" t="s">
        <v>42</v>
      </c>
      <c r="I169" s="246">
        <f>SUM(I143:I168)</f>
        <v>1135.8</v>
      </c>
      <c r="J169" s="1499"/>
      <c r="K169" s="912"/>
      <c r="L169" s="519"/>
      <c r="M169" s="519"/>
      <c r="N169" s="519"/>
      <c r="O169" s="519"/>
      <c r="P169" s="519"/>
      <c r="Q169" s="519"/>
      <c r="R169" s="519"/>
      <c r="S169" s="519"/>
      <c r="T169" s="519"/>
      <c r="U169" s="519"/>
      <c r="V169" s="519"/>
      <c r="W169" s="519"/>
      <c r="X169" s="519"/>
      <c r="Y169" s="519"/>
      <c r="Z169" s="1498"/>
      <c r="AA169" s="519"/>
      <c r="AB169" s="519"/>
      <c r="AC169" s="519" t="str">
        <f t="shared" si="98"/>
        <v/>
      </c>
      <c r="AD169" s="519"/>
      <c r="AE169" s="519"/>
      <c r="AF169" s="519"/>
      <c r="AG169" s="519"/>
      <c r="AH169" s="519"/>
      <c r="AI169" s="519"/>
      <c r="AJ169" s="519"/>
      <c r="AK169" s="519"/>
      <c r="AL169" s="519"/>
      <c r="AM169" s="519"/>
      <c r="AN169" s="519"/>
      <c r="AO169" s="519"/>
      <c r="AP169" s="519"/>
      <c r="AQ169" s="519"/>
      <c r="AR169" s="519"/>
      <c r="AS169" s="519"/>
      <c r="AT169" s="519"/>
      <c r="AU169" s="519"/>
      <c r="AV169" s="519"/>
      <c r="AW169" s="519"/>
      <c r="AX169" s="519"/>
      <c r="AY169" s="519"/>
      <c r="AZ169" s="519"/>
      <c r="BA169" s="519"/>
      <c r="BB169" s="519"/>
      <c r="BC169" s="519"/>
      <c r="BD169" s="519"/>
      <c r="BE169" s="519"/>
      <c r="BF169" s="912"/>
      <c r="BG169" s="519"/>
      <c r="BH169" s="519"/>
    </row>
    <row r="170" spans="1:60" s="201" customFormat="1" ht="13.5" thickBot="1">
      <c r="A170" s="112"/>
      <c r="B170"/>
      <c r="C170" s="1"/>
      <c r="D170" s="1"/>
      <c r="E170" s="1"/>
      <c r="F170"/>
      <c r="G170" s="2"/>
      <c r="H170" s="229"/>
      <c r="I170" s="230"/>
      <c r="J170" s="1499"/>
      <c r="K170" s="912"/>
      <c r="L170" s="519"/>
      <c r="M170" s="519"/>
      <c r="N170" s="519"/>
      <c r="O170" s="519"/>
      <c r="P170" s="519"/>
      <c r="Q170" s="519"/>
      <c r="R170" s="519"/>
      <c r="S170" s="519"/>
      <c r="T170" s="519"/>
      <c r="U170" s="519"/>
      <c r="V170" s="519"/>
      <c r="W170" s="519"/>
      <c r="X170" s="519"/>
      <c r="Y170" s="519"/>
      <c r="Z170" s="1498"/>
      <c r="AA170" s="519"/>
      <c r="AB170" s="519"/>
      <c r="AC170" s="519" t="str">
        <f t="shared" si="98"/>
        <v/>
      </c>
      <c r="AD170" s="519"/>
      <c r="AE170" s="519"/>
      <c r="AF170" s="519"/>
      <c r="AG170" s="519"/>
      <c r="AH170" s="519"/>
      <c r="AI170" s="519"/>
      <c r="AJ170" s="519"/>
      <c r="AK170" s="519"/>
      <c r="AL170" s="519"/>
      <c r="AM170" s="519"/>
      <c r="AN170" s="519"/>
      <c r="AO170" s="519"/>
      <c r="AP170" s="519"/>
      <c r="AQ170" s="519"/>
      <c r="AR170" s="519"/>
      <c r="AS170" s="519"/>
      <c r="AT170" s="519"/>
      <c r="AU170" s="519"/>
      <c r="AV170" s="519"/>
      <c r="AW170" s="519"/>
      <c r="AX170" s="519"/>
      <c r="AY170" s="519"/>
      <c r="AZ170" s="519"/>
      <c r="BA170" s="519"/>
      <c r="BB170" s="519"/>
      <c r="BC170" s="519"/>
      <c r="BD170" s="519"/>
      <c r="BE170" s="519"/>
      <c r="BF170" s="912"/>
      <c r="BG170" s="519"/>
      <c r="BH170" s="519"/>
    </row>
    <row r="171" spans="1:60" s="201" customFormat="1" ht="16.5" thickBot="1">
      <c r="A171" s="112"/>
      <c r="B171"/>
      <c r="C171" s="80" t="s">
        <v>141</v>
      </c>
      <c r="D171" s="81"/>
      <c r="E171" s="81"/>
      <c r="F171" s="107"/>
      <c r="G171" s="83"/>
      <c r="H171" s="82"/>
      <c r="I171" s="84"/>
      <c r="J171" s="1499"/>
      <c r="K171" s="912"/>
      <c r="L171" s="519"/>
      <c r="M171" s="519"/>
      <c r="N171" s="519"/>
      <c r="O171" s="519"/>
      <c r="P171" s="519"/>
      <c r="Q171" s="519"/>
      <c r="R171" s="519"/>
      <c r="S171" s="519"/>
      <c r="T171" s="519"/>
      <c r="U171" s="519"/>
      <c r="V171" s="519"/>
      <c r="W171" s="519"/>
      <c r="X171" s="519"/>
      <c r="Y171" s="519"/>
      <c r="Z171" s="1498"/>
      <c r="AA171" s="519"/>
      <c r="AB171" s="519"/>
      <c r="AC171" s="519" t="str">
        <f t="shared" si="98"/>
        <v/>
      </c>
      <c r="AD171" s="519"/>
      <c r="AE171" s="519"/>
      <c r="AF171" s="519"/>
      <c r="AG171" s="519"/>
      <c r="AH171" s="519"/>
      <c r="AI171" s="519"/>
      <c r="AJ171" s="519"/>
      <c r="AK171" s="519"/>
      <c r="AL171" s="519"/>
      <c r="AM171" s="519"/>
      <c r="AN171" s="519"/>
      <c r="AO171" s="519"/>
      <c r="AP171" s="519"/>
      <c r="AQ171" s="519"/>
      <c r="AR171" s="519"/>
      <c r="AS171" s="519"/>
      <c r="AT171" s="519"/>
      <c r="AU171" s="519"/>
      <c r="AV171" s="519"/>
      <c r="AW171" s="519"/>
      <c r="AX171" s="519"/>
      <c r="AY171" s="519"/>
      <c r="AZ171" s="519"/>
      <c r="BA171" s="519"/>
      <c r="BB171" s="519"/>
      <c r="BC171" s="519"/>
      <c r="BD171" s="519"/>
      <c r="BE171" s="519"/>
      <c r="BF171" s="912"/>
      <c r="BG171" s="519"/>
      <c r="BH171" s="519"/>
    </row>
    <row r="172" spans="1:60" s="201" customFormat="1" ht="4.5" customHeight="1" thickBot="1">
      <c r="A172" s="112"/>
      <c r="B172"/>
      <c r="C172"/>
      <c r="D172"/>
      <c r="E172"/>
      <c r="F172"/>
      <c r="G172"/>
      <c r="H172"/>
      <c r="I172"/>
      <c r="J172" s="1499"/>
      <c r="K172" s="912"/>
      <c r="L172" s="917"/>
      <c r="M172" s="917"/>
      <c r="N172" s="519"/>
      <c r="O172" s="519"/>
      <c r="P172" s="519"/>
      <c r="Q172" s="519"/>
      <c r="R172" s="519"/>
      <c r="S172" s="519"/>
      <c r="T172" s="519"/>
      <c r="U172" s="519"/>
      <c r="V172" s="519"/>
      <c r="W172" s="519"/>
      <c r="X172" s="519"/>
      <c r="Y172" s="519"/>
      <c r="Z172" s="1498"/>
      <c r="AA172" s="519"/>
      <c r="AB172" s="519"/>
      <c r="AC172" s="519" t="str">
        <f t="shared" si="98"/>
        <v/>
      </c>
      <c r="AD172" s="519"/>
      <c r="AE172" s="519"/>
      <c r="AF172" s="519"/>
      <c r="AG172" s="519"/>
      <c r="AH172" s="519"/>
      <c r="AI172" s="519"/>
      <c r="AJ172" s="519"/>
      <c r="AK172" s="519"/>
      <c r="AL172" s="519"/>
      <c r="AM172" s="519"/>
      <c r="AN172" s="519"/>
      <c r="AO172" s="519"/>
      <c r="AP172" s="519"/>
      <c r="AQ172" s="519"/>
      <c r="AR172" s="519"/>
      <c r="AS172" s="519"/>
      <c r="AT172" s="519"/>
      <c r="AU172" s="519"/>
      <c r="AV172" s="519"/>
      <c r="AW172" s="519"/>
      <c r="AX172" s="519"/>
      <c r="AY172" s="519"/>
      <c r="AZ172" s="519"/>
      <c r="BA172" s="519"/>
      <c r="BB172" s="519"/>
      <c r="BC172" s="519"/>
      <c r="BD172" s="519"/>
      <c r="BE172" s="519"/>
      <c r="BF172" s="912"/>
      <c r="BG172" s="519"/>
      <c r="BH172" s="519"/>
    </row>
    <row r="173" spans="1:60" s="201" customFormat="1" ht="13.5" thickBot="1">
      <c r="A173" s="112"/>
      <c r="B173"/>
      <c r="C173" s="1332"/>
      <c r="D173" s="1284" t="s">
        <v>1392</v>
      </c>
      <c r="E173" s="1285" t="s">
        <v>1388</v>
      </c>
      <c r="F173" s="1286" t="s">
        <v>1389</v>
      </c>
      <c r="G173" s="1287" t="s">
        <v>1390</v>
      </c>
      <c r="H173" s="1288" t="s">
        <v>1391</v>
      </c>
      <c r="I173" s="1289" t="s">
        <v>35</v>
      </c>
      <c r="J173" s="1499"/>
      <c r="K173" s="912"/>
      <c r="L173" s="917"/>
      <c r="M173" s="917"/>
      <c r="N173" s="519"/>
      <c r="O173" s="519"/>
      <c r="P173" s="519"/>
      <c r="Q173" s="519"/>
      <c r="R173" s="519"/>
      <c r="S173" s="519"/>
      <c r="T173" s="519"/>
      <c r="U173" s="519"/>
      <c r="V173" s="519"/>
      <c r="W173" s="519"/>
      <c r="X173" s="1498" t="s">
        <v>1437</v>
      </c>
      <c r="Y173" s="519"/>
      <c r="Z173" s="1498" t="s">
        <v>1390</v>
      </c>
      <c r="AA173" s="519"/>
      <c r="AB173" s="1498" t="s">
        <v>35</v>
      </c>
      <c r="AC173" s="519" t="str">
        <f t="shared" si="98"/>
        <v>Show</v>
      </c>
      <c r="AD173" s="519"/>
      <c r="AE173" s="519"/>
      <c r="AF173" s="519"/>
      <c r="AG173" s="519"/>
      <c r="AH173" s="519"/>
      <c r="AI173" s="519"/>
      <c r="AJ173" s="519"/>
      <c r="AK173" s="519"/>
      <c r="AL173" s="519"/>
      <c r="AM173" s="519"/>
      <c r="AN173" s="519"/>
      <c r="AO173" s="519"/>
      <c r="AP173" s="519"/>
      <c r="AQ173" s="519"/>
      <c r="AR173" s="519"/>
      <c r="AS173" s="519"/>
      <c r="AT173" s="519"/>
      <c r="AU173" s="519"/>
      <c r="AV173" s="519"/>
      <c r="AW173" s="519"/>
      <c r="AX173" s="519"/>
      <c r="AY173" s="519"/>
      <c r="AZ173" s="519"/>
      <c r="BA173" s="519"/>
      <c r="BB173" s="519"/>
      <c r="BC173" s="519"/>
      <c r="BD173" s="519"/>
      <c r="BE173" s="519"/>
      <c r="BF173" s="912"/>
      <c r="BG173" s="519"/>
      <c r="BH173" s="519"/>
    </row>
    <row r="174" spans="1:60" s="201" customFormat="1" ht="13.5" thickTop="1">
      <c r="A174" s="112"/>
      <c r="B174"/>
      <c r="C174" s="1295" t="str">
        <f>IF(AND(F174&lt;&gt;"", E174=""), "Error: Please select PG","")</f>
        <v/>
      </c>
      <c r="D174" s="1291"/>
      <c r="E174" s="1197"/>
      <c r="F174" s="1290"/>
      <c r="G174" s="1189"/>
      <c r="H174" s="1193"/>
      <c r="I174" s="32">
        <f t="shared" ref="I174:I188" si="103">IF(ISERROR(H174*G174),"",H174*G174)</f>
        <v>0</v>
      </c>
      <c r="J174" s="1499"/>
      <c r="K174" s="912"/>
      <c r="L174" s="519"/>
      <c r="M174" s="519"/>
      <c r="N174" s="519"/>
      <c r="O174" s="519"/>
      <c r="P174" s="519"/>
      <c r="Q174" s="519"/>
      <c r="R174" s="519"/>
      <c r="S174" s="519"/>
      <c r="T174" s="519"/>
      <c r="U174" s="518">
        <f>E174</f>
        <v>0</v>
      </c>
      <c r="V174" s="519"/>
      <c r="W174" s="519"/>
      <c r="X174" s="1498">
        <f>D174</f>
        <v>0</v>
      </c>
      <c r="Y174" s="519"/>
      <c r="Z174" s="1498" t="str">
        <f>IF(G174&gt;0,G174,"")</f>
        <v/>
      </c>
      <c r="AA174" s="1524" t="str">
        <f>IF(I174&gt;0,I174,"")</f>
        <v/>
      </c>
      <c r="AB174" s="1524">
        <f>I174</f>
        <v>0</v>
      </c>
      <c r="AC174" s="519" t="str">
        <f t="shared" si="98"/>
        <v/>
      </c>
      <c r="AD174" s="519"/>
      <c r="AE174" s="519"/>
      <c r="AF174" s="519"/>
      <c r="AG174" s="519"/>
      <c r="AH174" s="519"/>
      <c r="AI174" s="519"/>
      <c r="AJ174" s="519"/>
      <c r="AK174" s="519"/>
      <c r="AL174" s="519"/>
      <c r="AM174" s="519"/>
      <c r="AN174" s="519"/>
      <c r="AO174" s="519"/>
      <c r="AP174" s="519"/>
      <c r="AQ174" s="519"/>
      <c r="AR174" s="519"/>
      <c r="AS174" s="519"/>
      <c r="AT174" s="519"/>
      <c r="AU174" s="519"/>
      <c r="AV174" s="519"/>
      <c r="AW174" s="519"/>
      <c r="AX174" s="519"/>
      <c r="AY174" s="519"/>
      <c r="AZ174" s="519"/>
      <c r="BA174" s="519"/>
      <c r="BB174" s="519"/>
      <c r="BC174" s="519"/>
      <c r="BD174" s="519"/>
      <c r="BE174" s="519"/>
      <c r="BF174" s="912"/>
      <c r="BG174" s="519"/>
      <c r="BH174" s="519"/>
    </row>
    <row r="175" spans="1:60" s="201" customFormat="1">
      <c r="A175" s="112"/>
      <c r="B175"/>
      <c r="C175" s="260"/>
      <c r="D175" s="1292"/>
      <c r="E175" s="1197"/>
      <c r="F175" s="1198"/>
      <c r="G175" s="1190"/>
      <c r="H175" s="1194"/>
      <c r="I175" s="59">
        <f t="shared" si="103"/>
        <v>0</v>
      </c>
      <c r="J175" s="1499"/>
      <c r="K175" s="912"/>
      <c r="L175" s="519"/>
      <c r="M175" s="519"/>
      <c r="N175" s="519"/>
      <c r="O175" s="519"/>
      <c r="P175" s="519"/>
      <c r="Q175" s="519"/>
      <c r="R175" s="519"/>
      <c r="S175" s="519"/>
      <c r="T175" s="519"/>
      <c r="U175" s="518">
        <f t="shared" ref="U175:U188" si="104">E175</f>
        <v>0</v>
      </c>
      <c r="V175" s="519"/>
      <c r="W175" s="519"/>
      <c r="X175" s="1498">
        <f t="shared" ref="X175:X188" si="105">D175</f>
        <v>0</v>
      </c>
      <c r="Y175" s="519"/>
      <c r="Z175" s="1498" t="str">
        <f t="shared" ref="Z175:Z188" si="106">IF(G175&gt;0,G175,"")</f>
        <v/>
      </c>
      <c r="AA175" s="519"/>
      <c r="AB175" s="1524">
        <f t="shared" ref="AB175:AB188" si="107">I175</f>
        <v>0</v>
      </c>
      <c r="AC175" s="519" t="str">
        <f t="shared" si="98"/>
        <v/>
      </c>
      <c r="AD175" s="519"/>
      <c r="AE175" s="519"/>
      <c r="AF175" s="519"/>
      <c r="AG175" s="519"/>
      <c r="AH175" s="519"/>
      <c r="AI175" s="519"/>
      <c r="AJ175" s="519"/>
      <c r="AK175" s="519"/>
      <c r="AL175" s="519"/>
      <c r="AM175" s="519"/>
      <c r="AN175" s="519"/>
      <c r="AO175" s="519"/>
      <c r="AP175" s="519"/>
      <c r="AQ175" s="519"/>
      <c r="AR175" s="519"/>
      <c r="AS175" s="519"/>
      <c r="AT175" s="519"/>
      <c r="AU175" s="519"/>
      <c r="AV175" s="519"/>
      <c r="AW175" s="519"/>
      <c r="AX175" s="519"/>
      <c r="AY175" s="519"/>
      <c r="AZ175" s="519"/>
      <c r="BA175" s="519"/>
      <c r="BB175" s="519"/>
      <c r="BC175" s="519"/>
      <c r="BD175" s="519"/>
      <c r="BE175" s="519"/>
      <c r="BF175" s="912"/>
      <c r="BG175" s="519"/>
      <c r="BH175" s="519"/>
    </row>
    <row r="176" spans="1:60" s="201" customFormat="1">
      <c r="A176" s="112"/>
      <c r="B176"/>
      <c r="C176" s="260"/>
      <c r="D176" s="1292"/>
      <c r="E176" s="1197"/>
      <c r="F176" s="1198"/>
      <c r="G176" s="1190"/>
      <c r="H176" s="1194"/>
      <c r="I176" s="59">
        <f t="shared" si="103"/>
        <v>0</v>
      </c>
      <c r="J176" s="1499"/>
      <c r="K176" s="912"/>
      <c r="L176" s="519"/>
      <c r="M176" s="519"/>
      <c r="N176" s="519"/>
      <c r="O176" s="519"/>
      <c r="P176" s="519"/>
      <c r="Q176" s="519"/>
      <c r="R176" s="519"/>
      <c r="S176" s="519"/>
      <c r="T176" s="519"/>
      <c r="U176" s="518">
        <f t="shared" si="104"/>
        <v>0</v>
      </c>
      <c r="V176" s="519"/>
      <c r="W176" s="519"/>
      <c r="X176" s="1498">
        <f t="shared" si="105"/>
        <v>0</v>
      </c>
      <c r="Y176" s="519"/>
      <c r="Z176" s="1498" t="str">
        <f t="shared" si="106"/>
        <v/>
      </c>
      <c r="AA176" s="519"/>
      <c r="AB176" s="1524">
        <f t="shared" si="107"/>
        <v>0</v>
      </c>
      <c r="AC176" s="519" t="str">
        <f t="shared" si="98"/>
        <v/>
      </c>
      <c r="AD176" s="519"/>
      <c r="AE176" s="519"/>
      <c r="AF176" s="519"/>
      <c r="AG176" s="519"/>
      <c r="AH176" s="519"/>
      <c r="AI176" s="519"/>
      <c r="AJ176" s="519"/>
      <c r="AK176" s="519"/>
      <c r="AL176" s="519"/>
      <c r="AM176" s="519"/>
      <c r="AN176" s="519"/>
      <c r="AO176" s="519"/>
      <c r="AP176" s="519"/>
      <c r="AQ176" s="519"/>
      <c r="AR176" s="519"/>
      <c r="AS176" s="519"/>
      <c r="AT176" s="519"/>
      <c r="AU176" s="519"/>
      <c r="AV176" s="519"/>
      <c r="AW176" s="519"/>
      <c r="AX176" s="519"/>
      <c r="AY176" s="519"/>
      <c r="AZ176" s="519"/>
      <c r="BA176" s="519"/>
      <c r="BB176" s="519"/>
      <c r="BC176" s="519"/>
      <c r="BD176" s="519"/>
      <c r="BE176" s="519"/>
      <c r="BF176" s="912"/>
      <c r="BG176" s="519"/>
      <c r="BH176" s="519"/>
    </row>
    <row r="177" spans="1:60" s="201" customFormat="1">
      <c r="A177" s="112"/>
      <c r="B177"/>
      <c r="C177" s="260"/>
      <c r="D177" s="1292"/>
      <c r="E177" s="1197"/>
      <c r="F177" s="1198"/>
      <c r="G177" s="1190"/>
      <c r="H177" s="1194"/>
      <c r="I177" s="59">
        <f t="shared" si="103"/>
        <v>0</v>
      </c>
      <c r="J177" s="1499"/>
      <c r="K177" s="912"/>
      <c r="L177" s="519"/>
      <c r="M177" s="519"/>
      <c r="N177" s="519"/>
      <c r="O177" s="519"/>
      <c r="P177" s="519"/>
      <c r="Q177" s="519"/>
      <c r="R177" s="519"/>
      <c r="S177" s="519"/>
      <c r="T177" s="519"/>
      <c r="U177" s="518">
        <f t="shared" si="104"/>
        <v>0</v>
      </c>
      <c r="V177" s="519"/>
      <c r="W177" s="519"/>
      <c r="X177" s="1498">
        <f t="shared" si="105"/>
        <v>0</v>
      </c>
      <c r="Y177" s="519"/>
      <c r="Z177" s="1498" t="str">
        <f t="shared" si="106"/>
        <v/>
      </c>
      <c r="AA177" s="519"/>
      <c r="AB177" s="1524">
        <f t="shared" si="107"/>
        <v>0</v>
      </c>
      <c r="AC177" s="519" t="str">
        <f t="shared" si="98"/>
        <v/>
      </c>
      <c r="AD177" s="519"/>
      <c r="AE177" s="519"/>
      <c r="AF177" s="519"/>
      <c r="AG177" s="519"/>
      <c r="AH177" s="519"/>
      <c r="AI177" s="519"/>
      <c r="AJ177" s="519"/>
      <c r="AK177" s="519"/>
      <c r="AL177" s="519"/>
      <c r="AM177" s="519"/>
      <c r="AN177" s="519"/>
      <c r="AO177" s="519"/>
      <c r="AP177" s="519"/>
      <c r="AQ177" s="519"/>
      <c r="AR177" s="519"/>
      <c r="AS177" s="519"/>
      <c r="AT177" s="519"/>
      <c r="AU177" s="519"/>
      <c r="AV177" s="519"/>
      <c r="AW177" s="519"/>
      <c r="AX177" s="519"/>
      <c r="AY177" s="519"/>
      <c r="AZ177" s="519"/>
      <c r="BA177" s="519"/>
      <c r="BB177" s="519"/>
      <c r="BC177" s="519"/>
      <c r="BD177" s="519"/>
      <c r="BE177" s="519"/>
      <c r="BF177" s="912"/>
      <c r="BG177" s="519"/>
      <c r="BH177" s="519"/>
    </row>
    <row r="178" spans="1:60" s="201" customFormat="1">
      <c r="A178" s="112"/>
      <c r="B178"/>
      <c r="C178" s="260"/>
      <c r="D178" s="1292"/>
      <c r="E178" s="1197"/>
      <c r="F178" s="1198"/>
      <c r="G178" s="1190"/>
      <c r="H178" s="1194"/>
      <c r="I178" s="59">
        <f t="shared" si="103"/>
        <v>0</v>
      </c>
      <c r="J178" s="1499"/>
      <c r="K178" s="912"/>
      <c r="L178" s="519"/>
      <c r="M178" s="519"/>
      <c r="N178" s="519"/>
      <c r="O178" s="519"/>
      <c r="P178" s="519"/>
      <c r="Q178" s="519"/>
      <c r="R178" s="519"/>
      <c r="S178" s="519"/>
      <c r="T178" s="519"/>
      <c r="U178" s="518">
        <f t="shared" si="104"/>
        <v>0</v>
      </c>
      <c r="V178" s="519"/>
      <c r="W178" s="519"/>
      <c r="X178" s="1498">
        <f t="shared" si="105"/>
        <v>0</v>
      </c>
      <c r="Y178" s="519"/>
      <c r="Z178" s="1498" t="str">
        <f t="shared" si="106"/>
        <v/>
      </c>
      <c r="AA178" s="519"/>
      <c r="AB178" s="1524">
        <f t="shared" si="107"/>
        <v>0</v>
      </c>
      <c r="AC178" s="519" t="str">
        <f t="shared" si="98"/>
        <v/>
      </c>
      <c r="AD178" s="519"/>
      <c r="AE178" s="519"/>
      <c r="AF178" s="519"/>
      <c r="AG178" s="519"/>
      <c r="AH178" s="519"/>
      <c r="AI178" s="519"/>
      <c r="AJ178" s="519"/>
      <c r="AK178" s="519"/>
      <c r="AL178" s="519"/>
      <c r="AM178" s="519"/>
      <c r="AN178" s="519"/>
      <c r="AO178" s="519"/>
      <c r="AP178" s="519"/>
      <c r="AQ178" s="519"/>
      <c r="AR178" s="519"/>
      <c r="AS178" s="519"/>
      <c r="AT178" s="519"/>
      <c r="AU178" s="519"/>
      <c r="AV178" s="519"/>
      <c r="AW178" s="519"/>
      <c r="AX178" s="519"/>
      <c r="AY178" s="519"/>
      <c r="AZ178" s="519"/>
      <c r="BA178" s="519"/>
      <c r="BB178" s="519"/>
      <c r="BC178" s="519"/>
      <c r="BD178" s="519"/>
      <c r="BE178" s="519"/>
      <c r="BF178" s="912"/>
      <c r="BG178" s="519"/>
      <c r="BH178" s="519"/>
    </row>
    <row r="179" spans="1:60" s="201" customFormat="1">
      <c r="A179" s="112"/>
      <c r="B179"/>
      <c r="C179" s="260"/>
      <c r="D179" s="1292"/>
      <c r="E179" s="1197"/>
      <c r="F179" s="1198"/>
      <c r="G179" s="1190"/>
      <c r="H179" s="1194"/>
      <c r="I179" s="59">
        <f t="shared" si="103"/>
        <v>0</v>
      </c>
      <c r="J179" s="1499"/>
      <c r="K179" s="912"/>
      <c r="L179" s="519"/>
      <c r="M179" s="519"/>
      <c r="N179" s="519"/>
      <c r="O179" s="519"/>
      <c r="P179" s="519"/>
      <c r="Q179" s="519"/>
      <c r="R179" s="519"/>
      <c r="S179" s="519"/>
      <c r="T179" s="519"/>
      <c r="U179" s="518">
        <f t="shared" si="104"/>
        <v>0</v>
      </c>
      <c r="V179" s="519"/>
      <c r="W179" s="519"/>
      <c r="X179" s="1498">
        <f t="shared" si="105"/>
        <v>0</v>
      </c>
      <c r="Y179" s="519"/>
      <c r="Z179" s="1498" t="str">
        <f t="shared" si="106"/>
        <v/>
      </c>
      <c r="AA179" s="519"/>
      <c r="AB179" s="1524">
        <f t="shared" si="107"/>
        <v>0</v>
      </c>
      <c r="AC179" s="519" t="str">
        <f t="shared" si="98"/>
        <v/>
      </c>
      <c r="AD179" s="519"/>
      <c r="AE179" s="519"/>
      <c r="AF179" s="519"/>
      <c r="AG179" s="519"/>
      <c r="AH179" s="519"/>
      <c r="AI179" s="519"/>
      <c r="AJ179" s="519"/>
      <c r="AK179" s="519"/>
      <c r="AL179" s="519"/>
      <c r="AM179" s="519"/>
      <c r="AN179" s="519"/>
      <c r="AO179" s="519"/>
      <c r="AP179" s="519"/>
      <c r="AQ179" s="519"/>
      <c r="AR179" s="519"/>
      <c r="AS179" s="519"/>
      <c r="AT179" s="519"/>
      <c r="AU179" s="519"/>
      <c r="AV179" s="519"/>
      <c r="AW179" s="519"/>
      <c r="AX179" s="519"/>
      <c r="AY179" s="519"/>
      <c r="AZ179" s="519"/>
      <c r="BA179" s="519"/>
      <c r="BB179" s="519"/>
      <c r="BC179" s="519"/>
      <c r="BD179" s="519"/>
      <c r="BE179" s="519"/>
      <c r="BF179" s="912"/>
      <c r="BG179" s="519"/>
      <c r="BH179" s="519"/>
    </row>
    <row r="180" spans="1:60" s="201" customFormat="1">
      <c r="A180" s="112"/>
      <c r="B180"/>
      <c r="C180" s="260"/>
      <c r="D180" s="1292"/>
      <c r="E180" s="1197"/>
      <c r="F180" s="1198"/>
      <c r="G180" s="1190"/>
      <c r="H180" s="1194"/>
      <c r="I180" s="59">
        <f t="shared" si="103"/>
        <v>0</v>
      </c>
      <c r="J180" s="1499"/>
      <c r="K180" s="912"/>
      <c r="L180" s="519"/>
      <c r="M180" s="519"/>
      <c r="N180" s="519"/>
      <c r="O180" s="519"/>
      <c r="P180" s="519"/>
      <c r="Q180" s="519"/>
      <c r="R180" s="519"/>
      <c r="S180" s="519"/>
      <c r="T180" s="519"/>
      <c r="U180" s="518">
        <f t="shared" si="104"/>
        <v>0</v>
      </c>
      <c r="V180" s="519"/>
      <c r="W180" s="519"/>
      <c r="X180" s="1498">
        <f t="shared" si="105"/>
        <v>0</v>
      </c>
      <c r="Y180" s="519"/>
      <c r="Z180" s="1498" t="str">
        <f t="shared" si="106"/>
        <v/>
      </c>
      <c r="AA180" s="519"/>
      <c r="AB180" s="1524">
        <f t="shared" si="107"/>
        <v>0</v>
      </c>
      <c r="AC180" s="519" t="str">
        <f t="shared" si="98"/>
        <v/>
      </c>
      <c r="AD180" s="519"/>
      <c r="AE180" s="519"/>
      <c r="AF180" s="519"/>
      <c r="AG180" s="519"/>
      <c r="AH180" s="519"/>
      <c r="AI180" s="519"/>
      <c r="AJ180" s="519"/>
      <c r="AK180" s="519"/>
      <c r="AL180" s="519"/>
      <c r="AM180" s="519"/>
      <c r="AN180" s="519"/>
      <c r="AO180" s="519"/>
      <c r="AP180" s="519"/>
      <c r="AQ180" s="519"/>
      <c r="AR180" s="519"/>
      <c r="AS180" s="519"/>
      <c r="AT180" s="519"/>
      <c r="AU180" s="519"/>
      <c r="AV180" s="519"/>
      <c r="AW180" s="519"/>
      <c r="AX180" s="519"/>
      <c r="AY180" s="519"/>
      <c r="AZ180" s="519"/>
      <c r="BA180" s="519"/>
      <c r="BB180" s="519"/>
      <c r="BC180" s="519"/>
      <c r="BD180" s="519"/>
      <c r="BE180" s="519"/>
      <c r="BF180" s="912"/>
      <c r="BG180" s="519"/>
      <c r="BH180" s="519"/>
    </row>
    <row r="181" spans="1:60" s="201" customFormat="1">
      <c r="A181" s="112"/>
      <c r="B181"/>
      <c r="C181" s="260"/>
      <c r="D181" s="1292"/>
      <c r="E181" s="1197"/>
      <c r="F181" s="1198"/>
      <c r="G181" s="1190"/>
      <c r="H181" s="1194"/>
      <c r="I181" s="59">
        <f t="shared" si="103"/>
        <v>0</v>
      </c>
      <c r="J181" s="1499"/>
      <c r="K181" s="912"/>
      <c r="L181" s="519"/>
      <c r="M181" s="519"/>
      <c r="N181" s="519"/>
      <c r="O181" s="519"/>
      <c r="P181" s="519"/>
      <c r="Q181" s="519"/>
      <c r="R181" s="519"/>
      <c r="S181" s="519"/>
      <c r="T181" s="519"/>
      <c r="U181" s="518">
        <f t="shared" si="104"/>
        <v>0</v>
      </c>
      <c r="V181" s="519"/>
      <c r="W181" s="519"/>
      <c r="X181" s="1498">
        <f t="shared" si="105"/>
        <v>0</v>
      </c>
      <c r="Y181" s="519"/>
      <c r="Z181" s="1498" t="str">
        <f t="shared" si="106"/>
        <v/>
      </c>
      <c r="AA181" s="519"/>
      <c r="AB181" s="1524">
        <f t="shared" si="107"/>
        <v>0</v>
      </c>
      <c r="AC181" s="519" t="str">
        <f t="shared" si="98"/>
        <v/>
      </c>
      <c r="AD181" s="519"/>
      <c r="AE181" s="519"/>
      <c r="AF181" s="519"/>
      <c r="AG181" s="519"/>
      <c r="AH181" s="519"/>
      <c r="AI181" s="519"/>
      <c r="AJ181" s="519"/>
      <c r="AK181" s="519"/>
      <c r="AL181" s="519"/>
      <c r="AM181" s="519"/>
      <c r="AN181" s="519"/>
      <c r="AO181" s="519"/>
      <c r="AP181" s="519"/>
      <c r="AQ181" s="519"/>
      <c r="AR181" s="519"/>
      <c r="AS181" s="519"/>
      <c r="AT181" s="519"/>
      <c r="AU181" s="519"/>
      <c r="AV181" s="519"/>
      <c r="AW181" s="519"/>
      <c r="AX181" s="519"/>
      <c r="AY181" s="519"/>
      <c r="AZ181" s="519"/>
      <c r="BA181" s="519"/>
      <c r="BB181" s="519"/>
      <c r="BC181" s="519"/>
      <c r="BD181" s="519"/>
      <c r="BE181" s="519"/>
      <c r="BF181" s="912"/>
      <c r="BG181" s="519"/>
      <c r="BH181" s="519"/>
    </row>
    <row r="182" spans="1:60" s="201" customFormat="1">
      <c r="A182" s="112"/>
      <c r="B182"/>
      <c r="C182" s="260"/>
      <c r="D182" s="1292"/>
      <c r="E182" s="1197"/>
      <c r="F182" s="1198"/>
      <c r="G182" s="1190"/>
      <c r="H182" s="1194"/>
      <c r="I182" s="59">
        <f t="shared" si="103"/>
        <v>0</v>
      </c>
      <c r="J182" s="1499"/>
      <c r="K182" s="912"/>
      <c r="L182" s="519"/>
      <c r="M182" s="519"/>
      <c r="N182" s="519"/>
      <c r="O182" s="519"/>
      <c r="P182" s="519"/>
      <c r="Q182" s="519"/>
      <c r="R182" s="519"/>
      <c r="S182" s="519"/>
      <c r="T182" s="519"/>
      <c r="U182" s="518">
        <f t="shared" si="104"/>
        <v>0</v>
      </c>
      <c r="V182" s="519"/>
      <c r="W182" s="519"/>
      <c r="X182" s="1498">
        <f t="shared" si="105"/>
        <v>0</v>
      </c>
      <c r="Y182" s="519"/>
      <c r="Z182" s="1498" t="str">
        <f t="shared" si="106"/>
        <v/>
      </c>
      <c r="AA182" s="519"/>
      <c r="AB182" s="1524">
        <f t="shared" si="107"/>
        <v>0</v>
      </c>
      <c r="AC182" s="519" t="str">
        <f t="shared" si="98"/>
        <v/>
      </c>
      <c r="AD182" s="519"/>
      <c r="AE182" s="519"/>
      <c r="AF182" s="519"/>
      <c r="AG182" s="519"/>
      <c r="AH182" s="519"/>
      <c r="AI182" s="519"/>
      <c r="AJ182" s="519"/>
      <c r="AK182" s="519"/>
      <c r="AL182" s="519"/>
      <c r="AM182" s="519"/>
      <c r="AN182" s="519"/>
      <c r="AO182" s="519"/>
      <c r="AP182" s="519"/>
      <c r="AQ182" s="519"/>
      <c r="AR182" s="519"/>
      <c r="AS182" s="519"/>
      <c r="AT182" s="519"/>
      <c r="AU182" s="519"/>
      <c r="AV182" s="519"/>
      <c r="AW182" s="519"/>
      <c r="AX182" s="519"/>
      <c r="AY182" s="519"/>
      <c r="AZ182" s="519"/>
      <c r="BA182" s="519"/>
      <c r="BB182" s="519"/>
      <c r="BC182" s="519"/>
      <c r="BD182" s="519"/>
      <c r="BE182" s="519"/>
      <c r="BF182" s="912"/>
      <c r="BG182" s="519"/>
      <c r="BH182" s="519"/>
    </row>
    <row r="183" spans="1:60" s="201" customFormat="1">
      <c r="A183" s="112"/>
      <c r="B183"/>
      <c r="C183" s="260"/>
      <c r="D183" s="1292"/>
      <c r="E183" s="1197"/>
      <c r="F183" s="1198"/>
      <c r="G183" s="1190"/>
      <c r="H183" s="1194"/>
      <c r="I183" s="59">
        <f t="shared" si="103"/>
        <v>0</v>
      </c>
      <c r="J183" s="1499"/>
      <c r="K183" s="912"/>
      <c r="L183" s="519"/>
      <c r="M183" s="519"/>
      <c r="N183" s="519"/>
      <c r="O183" s="519"/>
      <c r="P183" s="519"/>
      <c r="Q183" s="519"/>
      <c r="R183" s="519"/>
      <c r="S183" s="519"/>
      <c r="T183" s="519"/>
      <c r="U183" s="518">
        <f t="shared" si="104"/>
        <v>0</v>
      </c>
      <c r="V183" s="519"/>
      <c r="W183" s="519"/>
      <c r="X183" s="1498">
        <f t="shared" si="105"/>
        <v>0</v>
      </c>
      <c r="Y183" s="519"/>
      <c r="Z183" s="1498" t="str">
        <f t="shared" si="106"/>
        <v/>
      </c>
      <c r="AA183" s="519"/>
      <c r="AB183" s="1524">
        <f t="shared" si="107"/>
        <v>0</v>
      </c>
      <c r="AC183" s="519" t="str">
        <f t="shared" si="98"/>
        <v/>
      </c>
      <c r="AD183" s="519"/>
      <c r="AE183" s="519"/>
      <c r="AF183" s="519"/>
      <c r="AG183" s="519"/>
      <c r="AH183" s="519"/>
      <c r="AI183" s="519"/>
      <c r="AJ183" s="519"/>
      <c r="AK183" s="519"/>
      <c r="AL183" s="519"/>
      <c r="AM183" s="519"/>
      <c r="AN183" s="519"/>
      <c r="AO183" s="519"/>
      <c r="AP183" s="519"/>
      <c r="AQ183" s="519"/>
      <c r="AR183" s="519"/>
      <c r="AS183" s="519"/>
      <c r="AT183" s="519"/>
      <c r="AU183" s="519"/>
      <c r="AV183" s="519"/>
      <c r="AW183" s="519"/>
      <c r="AX183" s="519"/>
      <c r="AY183" s="519"/>
      <c r="AZ183" s="519"/>
      <c r="BA183" s="519"/>
      <c r="BB183" s="519"/>
      <c r="BC183" s="519"/>
      <c r="BD183" s="519"/>
      <c r="BE183" s="519"/>
      <c r="BF183" s="912"/>
      <c r="BG183" s="519"/>
      <c r="BH183" s="519"/>
    </row>
    <row r="184" spans="1:60" s="201" customFormat="1">
      <c r="A184" s="112"/>
      <c r="B184"/>
      <c r="C184" s="260"/>
      <c r="D184" s="1292"/>
      <c r="E184" s="1197"/>
      <c r="F184" s="1198"/>
      <c r="G184" s="1190"/>
      <c r="H184" s="1194"/>
      <c r="I184" s="59">
        <f t="shared" si="103"/>
        <v>0</v>
      </c>
      <c r="J184" s="1499"/>
      <c r="K184" s="912"/>
      <c r="L184" s="519"/>
      <c r="M184" s="519"/>
      <c r="N184" s="519"/>
      <c r="O184" s="519"/>
      <c r="P184" s="519"/>
      <c r="Q184" s="519"/>
      <c r="R184" s="519"/>
      <c r="S184" s="519"/>
      <c r="T184" s="519"/>
      <c r="U184" s="518">
        <f t="shared" si="104"/>
        <v>0</v>
      </c>
      <c r="V184" s="519"/>
      <c r="W184" s="519"/>
      <c r="X184" s="1498">
        <f t="shared" si="105"/>
        <v>0</v>
      </c>
      <c r="Y184" s="519"/>
      <c r="Z184" s="1498" t="str">
        <f t="shared" si="106"/>
        <v/>
      </c>
      <c r="AA184" s="519"/>
      <c r="AB184" s="1524">
        <f t="shared" si="107"/>
        <v>0</v>
      </c>
      <c r="AC184" s="519" t="str">
        <f t="shared" si="98"/>
        <v/>
      </c>
      <c r="AD184" s="519"/>
      <c r="AE184" s="519"/>
      <c r="AF184" s="519"/>
      <c r="AG184" s="519"/>
      <c r="AH184" s="519"/>
      <c r="AI184" s="519"/>
      <c r="AJ184" s="519"/>
      <c r="AK184" s="519"/>
      <c r="AL184" s="519"/>
      <c r="AM184" s="519"/>
      <c r="AN184" s="519"/>
      <c r="AO184" s="519"/>
      <c r="AP184" s="519"/>
      <c r="AQ184" s="519"/>
      <c r="AR184" s="519"/>
      <c r="AS184" s="519"/>
      <c r="AT184" s="519"/>
      <c r="AU184" s="519"/>
      <c r="AV184" s="519"/>
      <c r="AW184" s="519"/>
      <c r="AX184" s="519"/>
      <c r="AY184" s="519"/>
      <c r="AZ184" s="519"/>
      <c r="BA184" s="519"/>
      <c r="BB184" s="519"/>
      <c r="BC184" s="519"/>
      <c r="BD184" s="519"/>
      <c r="BE184" s="519"/>
      <c r="BF184" s="912"/>
      <c r="BG184" s="519"/>
      <c r="BH184" s="519"/>
    </row>
    <row r="185" spans="1:60" s="201" customFormat="1">
      <c r="A185" s="112"/>
      <c r="B185"/>
      <c r="C185" s="260"/>
      <c r="D185" s="1292"/>
      <c r="E185" s="1197"/>
      <c r="F185" s="1198"/>
      <c r="G185" s="1190"/>
      <c r="H185" s="1194"/>
      <c r="I185" s="59">
        <f t="shared" si="103"/>
        <v>0</v>
      </c>
      <c r="J185" s="1499"/>
      <c r="K185" s="912"/>
      <c r="L185" s="519"/>
      <c r="M185" s="519"/>
      <c r="N185" s="519"/>
      <c r="O185" s="519"/>
      <c r="P185" s="519"/>
      <c r="Q185" s="519"/>
      <c r="R185" s="519"/>
      <c r="S185" s="519"/>
      <c r="T185" s="519"/>
      <c r="U185" s="518">
        <f t="shared" si="104"/>
        <v>0</v>
      </c>
      <c r="V185" s="519"/>
      <c r="W185" s="519"/>
      <c r="X185" s="1498">
        <f t="shared" si="105"/>
        <v>0</v>
      </c>
      <c r="Y185" s="519"/>
      <c r="Z185" s="1498" t="str">
        <f t="shared" si="106"/>
        <v/>
      </c>
      <c r="AA185" s="519"/>
      <c r="AB185" s="1524">
        <f t="shared" si="107"/>
        <v>0</v>
      </c>
      <c r="AC185" s="519" t="str">
        <f t="shared" si="98"/>
        <v/>
      </c>
      <c r="AD185" s="519"/>
      <c r="AE185" s="519"/>
      <c r="AF185" s="519"/>
      <c r="AG185" s="519"/>
      <c r="AH185" s="519"/>
      <c r="AI185" s="519"/>
      <c r="AJ185" s="519"/>
      <c r="AK185" s="519"/>
      <c r="AL185" s="519"/>
      <c r="AM185" s="519"/>
      <c r="AN185" s="519"/>
      <c r="AO185" s="519"/>
      <c r="AP185" s="519"/>
      <c r="AQ185" s="519"/>
      <c r="AR185" s="519"/>
      <c r="AS185" s="519"/>
      <c r="AT185" s="519"/>
      <c r="AU185" s="519"/>
      <c r="AV185" s="519"/>
      <c r="AW185" s="519"/>
      <c r="AX185" s="519"/>
      <c r="AY185" s="519"/>
      <c r="AZ185" s="519"/>
      <c r="BA185" s="519"/>
      <c r="BB185" s="519"/>
      <c r="BC185" s="519"/>
      <c r="BD185" s="519"/>
      <c r="BE185" s="519"/>
      <c r="BF185" s="912"/>
      <c r="BG185" s="519"/>
      <c r="BH185" s="519"/>
    </row>
    <row r="186" spans="1:60" s="201" customFormat="1">
      <c r="A186" s="112"/>
      <c r="B186"/>
      <c r="C186" s="260"/>
      <c r="D186" s="1292"/>
      <c r="E186" s="1197"/>
      <c r="F186" s="1198"/>
      <c r="G186" s="1190"/>
      <c r="H186" s="1194"/>
      <c r="I186" s="59">
        <f t="shared" si="103"/>
        <v>0</v>
      </c>
      <c r="J186" s="1499"/>
      <c r="K186" s="912"/>
      <c r="L186" s="519"/>
      <c r="M186" s="519"/>
      <c r="N186" s="519"/>
      <c r="O186" s="519"/>
      <c r="P186" s="519"/>
      <c r="Q186" s="519"/>
      <c r="R186" s="519"/>
      <c r="S186" s="519"/>
      <c r="T186" s="519"/>
      <c r="U186" s="518">
        <f t="shared" si="104"/>
        <v>0</v>
      </c>
      <c r="V186" s="519"/>
      <c r="W186" s="519"/>
      <c r="X186" s="1498">
        <f t="shared" si="105"/>
        <v>0</v>
      </c>
      <c r="Y186" s="519"/>
      <c r="Z186" s="1498" t="str">
        <f t="shared" si="106"/>
        <v/>
      </c>
      <c r="AA186" s="519"/>
      <c r="AB186" s="1524">
        <f t="shared" si="107"/>
        <v>0</v>
      </c>
      <c r="AC186" s="519" t="str">
        <f t="shared" si="98"/>
        <v/>
      </c>
      <c r="AD186" s="519"/>
      <c r="AE186" s="519"/>
      <c r="AF186" s="519"/>
      <c r="AG186" s="519"/>
      <c r="AH186" s="519"/>
      <c r="AI186" s="519"/>
      <c r="AJ186" s="519"/>
      <c r="AK186" s="519"/>
      <c r="AL186" s="519"/>
      <c r="AM186" s="519"/>
      <c r="AN186" s="519"/>
      <c r="AO186" s="519"/>
      <c r="AP186" s="519"/>
      <c r="AQ186" s="519"/>
      <c r="AR186" s="519"/>
      <c r="AS186" s="519"/>
      <c r="AT186" s="519"/>
      <c r="AU186" s="519"/>
      <c r="AV186" s="519"/>
      <c r="AW186" s="519"/>
      <c r="AX186" s="519"/>
      <c r="AY186" s="519"/>
      <c r="AZ186" s="519"/>
      <c r="BA186" s="519"/>
      <c r="BB186" s="519"/>
      <c r="BC186" s="519"/>
      <c r="BD186" s="519"/>
      <c r="BE186" s="519"/>
      <c r="BF186" s="912"/>
      <c r="BG186" s="519"/>
      <c r="BH186" s="519"/>
    </row>
    <row r="187" spans="1:60" s="201" customFormat="1">
      <c r="A187" s="112"/>
      <c r="B187"/>
      <c r="C187" s="236"/>
      <c r="D187" s="1293"/>
      <c r="E187" s="1197"/>
      <c r="F187" s="1199"/>
      <c r="G187" s="1191"/>
      <c r="H187" s="1195"/>
      <c r="I187" s="59">
        <f t="shared" si="103"/>
        <v>0</v>
      </c>
      <c r="J187" s="1499"/>
      <c r="K187" s="912"/>
      <c r="L187" s="519"/>
      <c r="M187" s="519"/>
      <c r="N187" s="519"/>
      <c r="O187" s="519"/>
      <c r="P187" s="519"/>
      <c r="Q187" s="519"/>
      <c r="R187" s="519"/>
      <c r="S187" s="519"/>
      <c r="T187" s="519"/>
      <c r="U187" s="518">
        <f t="shared" si="104"/>
        <v>0</v>
      </c>
      <c r="V187" s="519"/>
      <c r="W187" s="519"/>
      <c r="X187" s="1498">
        <f t="shared" si="105"/>
        <v>0</v>
      </c>
      <c r="Y187" s="519"/>
      <c r="Z187" s="1498" t="str">
        <f t="shared" si="106"/>
        <v/>
      </c>
      <c r="AA187" s="519"/>
      <c r="AB187" s="1524">
        <f t="shared" si="107"/>
        <v>0</v>
      </c>
      <c r="AC187" s="519" t="str">
        <f t="shared" si="98"/>
        <v/>
      </c>
      <c r="AD187" s="519"/>
      <c r="AE187" s="519"/>
      <c r="AF187" s="519"/>
      <c r="AG187" s="519"/>
      <c r="AH187" s="519"/>
      <c r="AI187" s="519"/>
      <c r="AJ187" s="519"/>
      <c r="AK187" s="519"/>
      <c r="AL187" s="519"/>
      <c r="AM187" s="519"/>
      <c r="AN187" s="519"/>
      <c r="AO187" s="519"/>
      <c r="AP187" s="519"/>
      <c r="AQ187" s="519"/>
      <c r="AR187" s="519"/>
      <c r="AS187" s="519"/>
      <c r="AT187" s="519"/>
      <c r="AU187" s="519"/>
      <c r="AV187" s="519"/>
      <c r="AW187" s="519"/>
      <c r="AX187" s="519"/>
      <c r="AY187" s="519"/>
      <c r="AZ187" s="519"/>
      <c r="BA187" s="519"/>
      <c r="BB187" s="519"/>
      <c r="BC187" s="519"/>
      <c r="BD187" s="519"/>
      <c r="BE187" s="519"/>
      <c r="BF187" s="912"/>
      <c r="BG187" s="519"/>
      <c r="BH187" s="519"/>
    </row>
    <row r="188" spans="1:60" s="201" customFormat="1" ht="13.5" thickBot="1">
      <c r="A188" s="112"/>
      <c r="B188"/>
      <c r="C188" s="240"/>
      <c r="D188" s="1294"/>
      <c r="E188" s="1333"/>
      <c r="F188" s="1200"/>
      <c r="G188" s="1192"/>
      <c r="H188" s="1196"/>
      <c r="I188" s="12">
        <f t="shared" si="103"/>
        <v>0</v>
      </c>
      <c r="J188" s="1499"/>
      <c r="K188" s="912"/>
      <c r="L188" s="519"/>
      <c r="M188" s="519"/>
      <c r="N188" s="519"/>
      <c r="O188" s="519"/>
      <c r="P188" s="519"/>
      <c r="Q188" s="519"/>
      <c r="R188" s="519"/>
      <c r="S188" s="519"/>
      <c r="T188" s="519"/>
      <c r="U188" s="518">
        <f t="shared" si="104"/>
        <v>0</v>
      </c>
      <c r="V188" s="519"/>
      <c r="W188" s="519"/>
      <c r="X188" s="1498">
        <f t="shared" si="105"/>
        <v>0</v>
      </c>
      <c r="Y188" s="519"/>
      <c r="Z188" s="1498" t="str">
        <f t="shared" si="106"/>
        <v/>
      </c>
      <c r="AA188" s="519"/>
      <c r="AB188" s="1524">
        <f t="shared" si="107"/>
        <v>0</v>
      </c>
      <c r="AC188" s="519" t="str">
        <f t="shared" si="98"/>
        <v/>
      </c>
      <c r="AD188" s="519"/>
      <c r="AE188" s="519"/>
      <c r="AF188" s="519"/>
      <c r="AG188" s="519"/>
      <c r="AH188" s="519"/>
      <c r="AI188" s="519"/>
      <c r="AJ188" s="519"/>
      <c r="AK188" s="519"/>
      <c r="AL188" s="519"/>
      <c r="AM188" s="519"/>
      <c r="AN188" s="519"/>
      <c r="AO188" s="519"/>
      <c r="AP188" s="519"/>
      <c r="AQ188" s="519"/>
      <c r="AR188" s="519"/>
      <c r="AS188" s="519"/>
      <c r="AT188" s="519"/>
      <c r="AU188" s="519"/>
      <c r="AV188" s="519"/>
      <c r="AW188" s="519"/>
      <c r="AX188" s="519"/>
      <c r="AY188" s="519"/>
      <c r="AZ188" s="519"/>
      <c r="BA188" s="519"/>
      <c r="BB188" s="519"/>
      <c r="BC188" s="519"/>
      <c r="BD188" s="519"/>
      <c r="BE188" s="519"/>
      <c r="BF188" s="912"/>
      <c r="BG188" s="519"/>
      <c r="BH188" s="519"/>
    </row>
    <row r="189" spans="1:60" s="201" customFormat="1" ht="13.5" thickBot="1">
      <c r="A189" s="112"/>
      <c r="B189"/>
      <c r="C189" s="434"/>
      <c r="D189" s="434" t="s">
        <v>144</v>
      </c>
      <c r="E189" s="435">
        <f>ROUND(SUM(I17:I41),0)</f>
        <v>34443</v>
      </c>
      <c r="F189"/>
      <c r="G189" s="2"/>
      <c r="H189" s="211" t="s">
        <v>42</v>
      </c>
      <c r="I189" s="1331">
        <f>SUM(I174:I188)</f>
        <v>0</v>
      </c>
      <c r="J189" s="1499"/>
      <c r="K189" s="912"/>
      <c r="L189" s="519"/>
      <c r="M189" s="519"/>
      <c r="N189" s="519"/>
      <c r="O189" s="519"/>
      <c r="P189" s="519"/>
      <c r="Q189" s="519"/>
      <c r="R189" s="519"/>
      <c r="S189" s="519"/>
      <c r="T189" s="519"/>
      <c r="U189" s="519"/>
      <c r="V189" s="519"/>
      <c r="W189" s="519"/>
      <c r="X189" s="519"/>
      <c r="Y189" s="519"/>
      <c r="Z189" s="1498"/>
      <c r="AA189" s="519"/>
      <c r="AB189" s="519"/>
      <c r="AC189" s="519"/>
      <c r="AD189" s="519"/>
      <c r="AE189" s="519"/>
      <c r="AF189" s="519"/>
      <c r="AG189" s="519"/>
      <c r="AH189" s="519"/>
      <c r="AI189" s="519"/>
      <c r="AJ189" s="519"/>
      <c r="AK189" s="519"/>
      <c r="AL189" s="519"/>
      <c r="AM189" s="519"/>
      <c r="AN189" s="519"/>
      <c r="AO189" s="519"/>
      <c r="AP189" s="519"/>
      <c r="AQ189" s="519"/>
      <c r="AR189" s="519"/>
      <c r="AS189" s="519"/>
      <c r="AT189" s="519"/>
      <c r="AU189" s="519"/>
      <c r="AV189" s="519"/>
      <c r="AW189" s="519"/>
      <c r="AX189" s="519"/>
      <c r="AY189" s="519"/>
      <c r="AZ189" s="519"/>
      <c r="BA189" s="519"/>
      <c r="BB189" s="519"/>
      <c r="BC189" s="519"/>
      <c r="BD189" s="519"/>
      <c r="BE189" s="519"/>
      <c r="BF189" s="912"/>
      <c r="BG189" s="519"/>
      <c r="BH189" s="519"/>
    </row>
    <row r="190" spans="1:60" s="201" customFormat="1" ht="13.5" thickBot="1">
      <c r="A190" s="112"/>
      <c r="B190"/>
      <c r="C190" s="434"/>
      <c r="D190" s="434" t="s">
        <v>584</v>
      </c>
      <c r="E190" s="435">
        <f>ROUND(SUM(I189,I169,I137,I118,I85,I60),0)</f>
        <v>9416</v>
      </c>
      <c r="F190"/>
      <c r="G190" s="2"/>
      <c r="H190" s="229"/>
      <c r="I190" s="230"/>
      <c r="J190" s="1499"/>
      <c r="K190" s="912"/>
      <c r="L190" s="519"/>
      <c r="M190" s="519"/>
      <c r="N190" s="519"/>
      <c r="O190" s="519"/>
      <c r="P190" s="519"/>
      <c r="Q190" s="519"/>
      <c r="R190" s="519"/>
      <c r="S190" s="519"/>
      <c r="T190" s="519"/>
      <c r="U190" s="519"/>
      <c r="V190" s="519"/>
      <c r="W190" s="519"/>
      <c r="X190" s="519"/>
      <c r="Y190" s="519"/>
      <c r="Z190" s="519"/>
      <c r="AA190" s="519"/>
      <c r="AB190" s="519"/>
      <c r="AC190" s="519"/>
      <c r="AD190" s="519"/>
      <c r="AE190" s="519"/>
      <c r="AF190" s="519"/>
      <c r="AG190" s="519"/>
      <c r="AH190" s="519"/>
      <c r="AI190" s="519"/>
      <c r="AJ190" s="519"/>
      <c r="AK190" s="519"/>
      <c r="AL190" s="519"/>
      <c r="AM190" s="519"/>
      <c r="AN190" s="519"/>
      <c r="AO190" s="519"/>
      <c r="AP190" s="519"/>
      <c r="AQ190" s="519"/>
      <c r="AR190" s="519"/>
      <c r="AS190" s="519"/>
      <c r="AT190" s="519"/>
      <c r="AU190" s="519"/>
      <c r="AV190" s="519"/>
      <c r="AW190" s="519"/>
      <c r="AX190" s="519"/>
      <c r="AY190" s="519"/>
      <c r="AZ190" s="519"/>
      <c r="BA190" s="519"/>
      <c r="BB190" s="519"/>
      <c r="BC190" s="519"/>
      <c r="BD190" s="519"/>
      <c r="BE190" s="519"/>
      <c r="BF190" s="912"/>
      <c r="BG190" s="519"/>
      <c r="BH190" s="519"/>
    </row>
    <row r="191" spans="1:60" s="201" customFormat="1" ht="13.5" hidden="1" thickBot="1">
      <c r="A191" s="112"/>
      <c r="B191"/>
      <c r="C191" s="436"/>
      <c r="D191" s="436"/>
      <c r="E191" s="437"/>
      <c r="F191" s="189" t="s">
        <v>102</v>
      </c>
      <c r="G191" s="2"/>
      <c r="H191" s="71" t="s">
        <v>101</v>
      </c>
      <c r="I191" s="188">
        <f>'Install Guide'!H25</f>
        <v>0</v>
      </c>
      <c r="J191" s="1499"/>
      <c r="K191" s="912"/>
      <c r="L191" s="519"/>
      <c r="M191" s="519"/>
      <c r="N191" s="519"/>
      <c r="O191" s="519"/>
      <c r="P191" s="519"/>
      <c r="Q191" s="519"/>
      <c r="R191" s="519"/>
      <c r="S191" s="519"/>
      <c r="T191" s="519"/>
      <c r="U191" s="519"/>
      <c r="V191" s="519"/>
      <c r="W191" s="519"/>
      <c r="X191" s="519"/>
      <c r="Y191" s="519"/>
      <c r="Z191" s="519"/>
      <c r="AA191" s="519"/>
      <c r="AB191" s="519"/>
      <c r="AC191" s="519"/>
      <c r="AD191" s="519"/>
      <c r="AE191" s="519"/>
      <c r="AF191" s="519"/>
      <c r="AG191" s="519"/>
      <c r="AH191" s="519"/>
      <c r="AI191" s="519"/>
      <c r="AJ191" s="519"/>
      <c r="AK191" s="519"/>
      <c r="AL191" s="519"/>
      <c r="AM191" s="519"/>
      <c r="AN191" s="519"/>
      <c r="AO191" s="519"/>
      <c r="AP191" s="519"/>
      <c r="AQ191" s="519"/>
      <c r="AR191" s="519"/>
      <c r="AS191" s="519"/>
      <c r="AT191" s="519"/>
      <c r="AU191" s="519"/>
      <c r="AV191" s="519"/>
      <c r="AW191" s="519"/>
      <c r="AX191" s="519"/>
      <c r="AY191" s="519"/>
      <c r="AZ191" s="519"/>
      <c r="BA191" s="519"/>
      <c r="BB191" s="519"/>
      <c r="BC191" s="519"/>
      <c r="BD191" s="519"/>
      <c r="BE191" s="519"/>
      <c r="BF191" s="912"/>
      <c r="BG191" s="519"/>
      <c r="BH191" s="519"/>
    </row>
    <row r="192" spans="1:60" s="201" customFormat="1" ht="13.5" hidden="1" thickBot="1">
      <c r="A192" s="112"/>
      <c r="B192"/>
      <c r="C192" s="434"/>
      <c r="D192" s="434"/>
      <c r="E192" s="437"/>
      <c r="F192"/>
      <c r="G192" s="2"/>
      <c r="H192" s="38"/>
      <c r="I192" s="39"/>
      <c r="J192" s="1499"/>
      <c r="K192" s="912"/>
      <c r="L192" s="519"/>
      <c r="M192" s="519"/>
      <c r="N192" s="519"/>
      <c r="O192" s="519"/>
      <c r="P192" s="519"/>
      <c r="Q192" s="519"/>
      <c r="R192" s="519"/>
      <c r="S192" s="519"/>
      <c r="T192" s="519"/>
      <c r="U192" s="519"/>
      <c r="V192" s="519"/>
      <c r="W192" s="519"/>
      <c r="X192" s="519"/>
      <c r="Y192" s="519"/>
      <c r="Z192" s="519"/>
      <c r="AA192" s="519"/>
      <c r="AB192" s="519"/>
      <c r="AC192" s="519"/>
      <c r="AD192" s="519"/>
      <c r="AE192" s="519"/>
      <c r="AF192" s="519"/>
      <c r="AG192" s="519"/>
      <c r="AH192" s="519"/>
      <c r="AI192" s="519"/>
      <c r="AJ192" s="519"/>
      <c r="AK192" s="519"/>
      <c r="AL192" s="519"/>
      <c r="AM192" s="519"/>
      <c r="AN192" s="519"/>
      <c r="AO192" s="519"/>
      <c r="AP192" s="519"/>
      <c r="AQ192" s="519"/>
      <c r="AR192" s="519"/>
      <c r="AS192" s="519"/>
      <c r="AT192" s="519"/>
      <c r="AU192" s="519"/>
      <c r="AV192" s="519"/>
      <c r="AW192" s="519"/>
      <c r="AX192" s="519"/>
      <c r="AY192" s="519"/>
      <c r="AZ192" s="519"/>
      <c r="BA192" s="519"/>
      <c r="BB192" s="519"/>
      <c r="BC192" s="519"/>
      <c r="BD192" s="519"/>
      <c r="BE192" s="519"/>
      <c r="BF192" s="912"/>
      <c r="BG192" s="519"/>
      <c r="BH192" s="519"/>
    </row>
    <row r="193" spans="1:60" s="201" customFormat="1" ht="13.5" thickBot="1">
      <c r="A193" s="112"/>
      <c r="B193"/>
      <c r="C193" s="1218"/>
      <c r="D193" s="434" t="s">
        <v>585</v>
      </c>
      <c r="E193" s="435">
        <f>ROUND(I215-E190,0)</f>
        <v>24110</v>
      </c>
      <c r="F193" s="1082"/>
      <c r="G193" s="1219"/>
      <c r="H193" s="71" t="s">
        <v>41</v>
      </c>
      <c r="I193" s="245">
        <f>ROUND(SUM(I118,I137,I169,I191,I42,I189,I60,I85),0)</f>
        <v>43859</v>
      </c>
      <c r="J193" s="1499"/>
      <c r="K193" s="912"/>
      <c r="L193" s="519"/>
      <c r="M193" s="519"/>
      <c r="N193" s="519"/>
      <c r="O193" s="519"/>
      <c r="P193" s="519"/>
      <c r="Q193" s="519"/>
      <c r="R193" s="519"/>
      <c r="S193" s="519"/>
      <c r="T193" s="519"/>
      <c r="U193" s="519"/>
      <c r="V193" s="519"/>
      <c r="W193" s="519"/>
      <c r="X193" s="519"/>
      <c r="Y193" s="519"/>
      <c r="Z193" s="519"/>
      <c r="AA193" s="519"/>
      <c r="AB193" s="519"/>
      <c r="AC193" s="519"/>
      <c r="AD193" s="519"/>
      <c r="AE193" s="519"/>
      <c r="AF193" s="519"/>
      <c r="AG193" s="519"/>
      <c r="AH193" s="519"/>
      <c r="AI193" s="519"/>
      <c r="AJ193" s="519"/>
      <c r="AK193" s="519"/>
      <c r="AL193" s="519"/>
      <c r="AM193" s="519"/>
      <c r="AN193" s="519"/>
      <c r="AO193" s="519"/>
      <c r="AP193" s="519"/>
      <c r="AQ193" s="519"/>
      <c r="AR193" s="519"/>
      <c r="AS193" s="519"/>
      <c r="AT193" s="519"/>
      <c r="AU193" s="519"/>
      <c r="AV193" s="519"/>
      <c r="AW193" s="519"/>
      <c r="AX193" s="519"/>
      <c r="AY193" s="519"/>
      <c r="AZ193" s="519"/>
      <c r="BA193" s="519"/>
      <c r="BB193" s="519"/>
      <c r="BC193" s="519"/>
      <c r="BD193" s="519"/>
      <c r="BE193" s="519"/>
      <c r="BF193" s="912"/>
      <c r="BG193" s="519"/>
      <c r="BH193" s="519"/>
    </row>
    <row r="194" spans="1:60" s="201" customFormat="1" ht="13.5" thickBot="1">
      <c r="A194" s="112"/>
      <c r="B194"/>
      <c r="C194" s="1218"/>
      <c r="D194" s="434" t="s">
        <v>586</v>
      </c>
      <c r="E194" s="440">
        <f>ROUND((E193/E189)-1,4)</f>
        <v>-0.3</v>
      </c>
      <c r="F194" s="111"/>
      <c r="G194" s="1219"/>
      <c r="H194" s="2"/>
      <c r="I194" s="2"/>
      <c r="J194" s="1504"/>
      <c r="K194" s="912"/>
      <c r="L194" s="519"/>
      <c r="M194" s="519"/>
      <c r="N194" s="519"/>
      <c r="O194" s="519"/>
      <c r="P194" s="519"/>
      <c r="Q194" s="519"/>
      <c r="R194" s="519"/>
      <c r="S194" s="519"/>
      <c r="T194" s="519"/>
      <c r="U194" s="519"/>
      <c r="V194" s="519"/>
      <c r="W194" s="519"/>
      <c r="X194" s="519"/>
      <c r="Y194" s="519"/>
      <c r="Z194" s="519"/>
      <c r="AA194" s="519"/>
      <c r="AB194" s="519"/>
      <c r="AC194" s="519"/>
      <c r="AD194" s="519"/>
      <c r="AE194" s="519"/>
      <c r="AF194" s="519"/>
      <c r="AG194" s="519"/>
      <c r="AH194" s="519"/>
      <c r="AI194" s="519"/>
      <c r="AJ194" s="519"/>
      <c r="AK194" s="519"/>
      <c r="AL194" s="519"/>
      <c r="AM194" s="519"/>
      <c r="AN194" s="519"/>
      <c r="AO194" s="519"/>
      <c r="AP194" s="519"/>
      <c r="AQ194" s="519"/>
      <c r="AR194" s="519"/>
      <c r="AS194" s="519"/>
      <c r="AT194" s="519"/>
      <c r="AU194" s="519"/>
      <c r="AV194" s="519"/>
      <c r="AW194" s="519"/>
      <c r="AX194" s="519"/>
      <c r="AY194" s="519"/>
      <c r="AZ194" s="519"/>
      <c r="BA194" s="519"/>
      <c r="BB194" s="519"/>
      <c r="BC194" s="519"/>
      <c r="BD194" s="519"/>
      <c r="BE194" s="519"/>
      <c r="BF194" s="912"/>
      <c r="BG194" s="519"/>
      <c r="BH194" s="519"/>
    </row>
    <row r="195" spans="1:60" s="201" customFormat="1" ht="16.5" thickBot="1">
      <c r="A195" s="112"/>
      <c r="B195"/>
      <c r="C195" s="1218"/>
      <c r="D195" s="434" t="s">
        <v>586</v>
      </c>
      <c r="E195" s="438" t="str">
        <f>IF(D202="Y","",IF(I195&gt;10%,"Warning this is above the maximum allowable discount for a 4900!",""))</f>
        <v>Warning this is above the maximum allowable discount for a 4900!</v>
      </c>
      <c r="F195" s="111"/>
      <c r="G195" s="1219"/>
      <c r="H195" s="151" t="s">
        <v>73</v>
      </c>
      <c r="I195" s="1358">
        <v>0.3</v>
      </c>
      <c r="J195" s="1504"/>
      <c r="K195" s="912"/>
      <c r="L195" s="519"/>
      <c r="M195" s="519"/>
      <c r="N195" s="519"/>
      <c r="O195" s="519"/>
      <c r="P195" s="519"/>
      <c r="Q195" s="519"/>
      <c r="R195" s="519"/>
      <c r="S195" s="519"/>
      <c r="T195" s="519"/>
      <c r="U195" s="519"/>
      <c r="V195" s="519"/>
      <c r="W195" s="519"/>
      <c r="X195" s="519"/>
      <c r="Y195" s="519"/>
      <c r="Z195" s="519"/>
      <c r="AA195" s="519"/>
      <c r="AB195" s="519"/>
      <c r="AC195" s="519"/>
      <c r="AD195" s="519"/>
      <c r="AE195" s="519"/>
      <c r="AF195" s="519"/>
      <c r="AG195" s="519"/>
      <c r="AH195" s="519"/>
      <c r="AI195" s="519"/>
      <c r="AJ195" s="519"/>
      <c r="AK195" s="519"/>
      <c r="AL195" s="519"/>
      <c r="AM195" s="519"/>
      <c r="AN195" s="519"/>
      <c r="AO195" s="519"/>
      <c r="AP195" s="519"/>
      <c r="AQ195" s="519"/>
      <c r="AR195" s="519"/>
      <c r="AS195" s="519"/>
      <c r="AT195" s="519"/>
      <c r="AU195" s="519"/>
      <c r="AV195" s="519"/>
      <c r="AW195" s="519"/>
      <c r="AX195" s="519"/>
      <c r="AY195" s="519"/>
      <c r="AZ195" s="519"/>
      <c r="BA195" s="519"/>
      <c r="BB195" s="519"/>
      <c r="BC195" s="519"/>
      <c r="BD195" s="519"/>
      <c r="BE195" s="519"/>
      <c r="BF195" s="912"/>
      <c r="BG195" s="519"/>
      <c r="BH195" s="519"/>
    </row>
    <row r="196" spans="1:60" s="201" customFormat="1" ht="16.5" thickBot="1">
      <c r="A196" s="112"/>
      <c r="B196"/>
      <c r="C196" s="992"/>
      <c r="D196" s="992"/>
      <c r="E196" s="992"/>
      <c r="F196" s="143" t="str">
        <f>IF(AND(D202="Y",I195&gt;10%),"Special Discount Approved by Sales Manager",IF(I195&gt;10%,"Pending Approval",""))</f>
        <v>Pending Approval</v>
      </c>
      <c r="G196" s="1082"/>
      <c r="H196"/>
      <c r="I196"/>
      <c r="J196" s="1504"/>
      <c r="K196" s="912"/>
      <c r="L196" s="519"/>
      <c r="M196" s="519"/>
      <c r="N196" s="519"/>
      <c r="O196" s="519"/>
      <c r="P196" s="519"/>
      <c r="Q196" s="519"/>
      <c r="R196" s="519"/>
      <c r="S196" s="519"/>
      <c r="T196" s="519"/>
      <c r="U196" s="519"/>
      <c r="V196" s="519"/>
      <c r="W196" s="519"/>
      <c r="X196" s="519"/>
      <c r="Y196" s="519"/>
      <c r="Z196" s="519"/>
      <c r="AA196" s="519"/>
      <c r="AB196" s="519"/>
      <c r="AC196" s="519"/>
      <c r="AD196" s="519"/>
      <c r="AE196" s="519"/>
      <c r="AF196" s="519"/>
      <c r="AG196" s="519"/>
      <c r="AH196" s="519"/>
      <c r="AI196" s="519"/>
      <c r="AJ196" s="519"/>
      <c r="AK196" s="519"/>
      <c r="AL196" s="519"/>
      <c r="AM196" s="519"/>
      <c r="AN196" s="519"/>
      <c r="AO196" s="519"/>
      <c r="AP196" s="519"/>
      <c r="AQ196" s="519"/>
      <c r="AR196" s="519"/>
      <c r="AS196" s="519"/>
      <c r="AT196" s="519"/>
      <c r="AU196" s="519"/>
      <c r="AV196" s="519"/>
      <c r="AW196" s="519"/>
      <c r="AX196" s="519"/>
      <c r="AY196" s="519"/>
      <c r="AZ196" s="519"/>
      <c r="BA196" s="519"/>
      <c r="BB196" s="519"/>
      <c r="BC196" s="519"/>
      <c r="BD196" s="519"/>
      <c r="BE196" s="519"/>
      <c r="BF196" s="912"/>
      <c r="BG196" s="519"/>
      <c r="BH196" s="519"/>
    </row>
    <row r="197" spans="1:60" s="201" customFormat="1" ht="13.5" thickBot="1">
      <c r="A197" s="112"/>
      <c r="B197"/>
      <c r="C197" s="992"/>
      <c r="D197" s="992"/>
      <c r="E197" s="992"/>
      <c r="F197" s="1082"/>
      <c r="G197" s="1082"/>
      <c r="H197" s="102" t="s">
        <v>41</v>
      </c>
      <c r="I197" s="245">
        <f>ROUND((I42*(1-I195))+SUM(I169,I137,I118,I189,I60,I85),0)</f>
        <v>33526</v>
      </c>
      <c r="J197" s="1504"/>
      <c r="K197" s="912"/>
      <c r="L197" s="519"/>
      <c r="M197" s="519"/>
      <c r="N197" s="519"/>
      <c r="O197" s="519"/>
      <c r="P197" s="519"/>
      <c r="Q197" s="519"/>
      <c r="R197" s="519"/>
      <c r="S197" s="519"/>
      <c r="T197" s="519"/>
      <c r="U197" s="519"/>
      <c r="V197" s="519"/>
      <c r="W197" s="519"/>
      <c r="X197" s="519"/>
      <c r="Y197" s="519"/>
      <c r="Z197" s="519"/>
      <c r="AA197" s="519"/>
      <c r="AB197" s="519"/>
      <c r="AC197" s="519"/>
      <c r="AD197" s="519"/>
      <c r="AE197" s="519"/>
      <c r="AF197" s="519"/>
      <c r="AG197" s="519"/>
      <c r="AH197" s="519"/>
      <c r="AI197" s="519"/>
      <c r="AJ197" s="519"/>
      <c r="AK197" s="519"/>
      <c r="AL197" s="519"/>
      <c r="AM197" s="519"/>
      <c r="AN197" s="519"/>
      <c r="AO197" s="519"/>
      <c r="AP197" s="519"/>
      <c r="AQ197" s="519"/>
      <c r="AR197" s="519"/>
      <c r="AS197" s="519"/>
      <c r="AT197" s="519"/>
      <c r="AU197" s="519"/>
      <c r="AV197" s="519"/>
      <c r="AW197" s="519"/>
      <c r="AX197" s="519"/>
      <c r="AY197" s="519"/>
      <c r="AZ197" s="519"/>
      <c r="BA197" s="519"/>
      <c r="BB197" s="519"/>
      <c r="BC197" s="519"/>
      <c r="BD197" s="519"/>
      <c r="BE197" s="519"/>
      <c r="BF197" s="912"/>
      <c r="BG197" s="519"/>
      <c r="BH197" s="519"/>
    </row>
    <row r="198" spans="1:60" s="201" customFormat="1">
      <c r="A198" s="112"/>
      <c r="B198"/>
      <c r="C198" s="992"/>
      <c r="D198" s="992"/>
      <c r="E198" s="992"/>
      <c r="F198" s="1082"/>
      <c r="G198" s="1219"/>
      <c r="H198" s="1082"/>
      <c r="I198" s="1082"/>
      <c r="J198" s="1499"/>
      <c r="K198" s="912"/>
      <c r="L198" s="519"/>
      <c r="M198" s="519"/>
      <c r="N198" s="519"/>
      <c r="O198" s="519"/>
      <c r="P198" s="519"/>
      <c r="Q198" s="519"/>
      <c r="R198" s="519"/>
      <c r="S198" s="519"/>
      <c r="T198" s="519"/>
      <c r="U198" s="519"/>
      <c r="V198" s="519"/>
      <c r="W198" s="519"/>
      <c r="X198" s="519"/>
      <c r="Y198" s="519"/>
      <c r="Z198" s="519"/>
      <c r="AA198" s="519"/>
      <c r="AB198" s="519"/>
      <c r="AC198" s="519"/>
      <c r="AD198" s="519"/>
      <c r="AE198" s="519"/>
      <c r="AF198" s="519"/>
      <c r="AG198" s="519"/>
      <c r="AH198" s="519"/>
      <c r="AI198" s="519"/>
      <c r="AJ198" s="519"/>
      <c r="AK198" s="519"/>
      <c r="AL198" s="519"/>
      <c r="AM198" s="519"/>
      <c r="AN198" s="519"/>
      <c r="AO198" s="519"/>
      <c r="AP198" s="519"/>
      <c r="AQ198" s="519"/>
      <c r="AR198" s="519"/>
      <c r="AS198" s="519"/>
      <c r="AT198" s="519"/>
      <c r="AU198" s="519"/>
      <c r="AV198" s="519"/>
      <c r="AW198" s="519"/>
      <c r="AX198" s="519"/>
      <c r="AY198" s="519"/>
      <c r="AZ198" s="519"/>
      <c r="BA198" s="519"/>
      <c r="BB198" s="519"/>
      <c r="BC198" s="519"/>
      <c r="BD198" s="519"/>
      <c r="BE198" s="519"/>
      <c r="BF198" s="912"/>
      <c r="BG198" s="519"/>
      <c r="BH198" s="519"/>
    </row>
    <row r="199" spans="1:60" s="201" customFormat="1" ht="16.5" hidden="1" thickBot="1">
      <c r="A199" s="112"/>
      <c r="B199"/>
      <c r="C199" s="1220"/>
      <c r="D199" s="1220" t="s">
        <v>10</v>
      </c>
      <c r="E199" s="1221"/>
      <c r="F199" s="1222"/>
      <c r="G199" s="1223"/>
      <c r="H199" s="1222"/>
      <c r="I199" s="1224"/>
      <c r="J199" s="1499"/>
      <c r="K199" s="912"/>
      <c r="L199" s="519"/>
      <c r="M199" s="519"/>
      <c r="N199" s="519"/>
      <c r="O199" s="519"/>
      <c r="P199" s="519"/>
      <c r="Q199" s="519"/>
      <c r="R199" s="519"/>
      <c r="S199" s="519"/>
      <c r="T199" s="519"/>
      <c r="U199" s="519"/>
      <c r="V199" s="519"/>
      <c r="W199" s="519"/>
      <c r="X199" s="519"/>
      <c r="Y199" s="519"/>
      <c r="Z199" s="519"/>
      <c r="AA199" s="519"/>
      <c r="AB199" s="519"/>
      <c r="AC199" s="519"/>
      <c r="AD199" s="519"/>
      <c r="AE199" s="519"/>
      <c r="AF199" s="519"/>
      <c r="AG199" s="519"/>
      <c r="AH199" s="519"/>
      <c r="AI199" s="519"/>
      <c r="AJ199" s="519"/>
      <c r="AK199" s="519"/>
      <c r="AL199" s="519"/>
      <c r="AM199" s="519"/>
      <c r="AN199" s="519"/>
      <c r="AO199" s="519"/>
      <c r="AP199" s="519"/>
      <c r="AQ199" s="519"/>
      <c r="AR199" s="519"/>
      <c r="AS199" s="519"/>
      <c r="AT199" s="519"/>
      <c r="AU199" s="519"/>
      <c r="AV199" s="519"/>
      <c r="AW199" s="519"/>
      <c r="AX199" s="519"/>
      <c r="AY199" s="519"/>
      <c r="AZ199" s="519"/>
      <c r="BA199" s="519"/>
      <c r="BB199" s="519"/>
      <c r="BC199" s="519"/>
      <c r="BD199" s="519"/>
      <c r="BE199" s="519"/>
      <c r="BF199" s="912"/>
      <c r="BG199" s="519"/>
      <c r="BH199" s="519"/>
    </row>
    <row r="200" spans="1:60" s="201" customFormat="1" ht="6" hidden="1" customHeight="1" thickBot="1">
      <c r="A200" s="112"/>
      <c r="B200" s="1"/>
      <c r="C200" s="992"/>
      <c r="D200" s="992"/>
      <c r="E200" s="992"/>
      <c r="F200" s="992"/>
      <c r="G200" s="992"/>
      <c r="H200" s="992"/>
      <c r="I200" s="992"/>
      <c r="J200" s="992"/>
      <c r="K200" s="912"/>
      <c r="L200" s="519"/>
      <c r="M200" s="519"/>
      <c r="N200" s="519"/>
      <c r="O200" s="519"/>
      <c r="P200" s="519"/>
      <c r="Q200" s="519"/>
      <c r="R200" s="519"/>
      <c r="S200" s="519"/>
      <c r="T200" s="519"/>
      <c r="U200" s="519"/>
      <c r="V200" s="519"/>
      <c r="W200" s="519"/>
      <c r="X200" s="519"/>
      <c r="Y200" s="519"/>
      <c r="Z200" s="519"/>
      <c r="AA200" s="519"/>
      <c r="AB200" s="519"/>
      <c r="AC200" s="519"/>
      <c r="AD200" s="519"/>
      <c r="AE200" s="519"/>
      <c r="AF200" s="519"/>
      <c r="AG200" s="519"/>
      <c r="AH200" s="519"/>
      <c r="AI200" s="519"/>
      <c r="AJ200" s="519"/>
      <c r="AK200" s="519"/>
      <c r="AL200" s="519"/>
      <c r="AM200" s="519"/>
      <c r="AN200" s="519"/>
      <c r="AO200" s="519"/>
      <c r="AP200" s="519"/>
      <c r="AQ200" s="519"/>
      <c r="AR200" s="519"/>
      <c r="AS200" s="519"/>
      <c r="AT200" s="519"/>
      <c r="AU200" s="519"/>
      <c r="AV200" s="519"/>
      <c r="AW200" s="519"/>
      <c r="AX200" s="519"/>
      <c r="AY200" s="519"/>
      <c r="AZ200" s="519"/>
      <c r="BA200" s="519"/>
      <c r="BB200" s="519"/>
      <c r="BC200" s="519"/>
      <c r="BD200" s="519"/>
      <c r="BE200" s="519"/>
      <c r="BF200" s="912"/>
      <c r="BG200" s="519"/>
      <c r="BH200" s="519"/>
    </row>
    <row r="201" spans="1:60" s="201" customFormat="1" ht="103.5" hidden="1" customHeight="1" thickBot="1">
      <c r="A201" s="112"/>
      <c r="B201"/>
      <c r="C201" s="1082"/>
      <c r="D201" s="1688" t="s">
        <v>64</v>
      </c>
      <c r="E201" s="1689"/>
      <c r="F201" s="1689"/>
      <c r="G201" s="1689"/>
      <c r="H201" s="1689"/>
      <c r="I201" s="1690"/>
      <c r="J201" s="1499"/>
      <c r="K201" s="912"/>
      <c r="L201" s="519"/>
      <c r="M201" s="519"/>
      <c r="N201" s="519"/>
      <c r="O201" s="519"/>
      <c r="P201" s="519"/>
      <c r="Q201" s="519"/>
      <c r="R201" s="519"/>
      <c r="S201" s="519"/>
      <c r="T201" s="519"/>
      <c r="U201" s="519"/>
      <c r="V201" s="519"/>
      <c r="W201" s="519"/>
      <c r="X201" s="519"/>
      <c r="Y201" s="519"/>
      <c r="Z201" s="519"/>
      <c r="AA201" s="519"/>
      <c r="AB201" s="519"/>
      <c r="AC201" s="519"/>
      <c r="AD201" s="519"/>
      <c r="AE201" s="519"/>
      <c r="AF201" s="519"/>
      <c r="AG201" s="519"/>
      <c r="AH201" s="519"/>
      <c r="AI201" s="519"/>
      <c r="AJ201" s="519"/>
      <c r="AK201" s="519"/>
      <c r="AL201" s="519"/>
      <c r="AM201" s="519"/>
      <c r="AN201" s="519"/>
      <c r="AO201" s="519"/>
      <c r="AP201" s="519"/>
      <c r="AQ201" s="519"/>
      <c r="AR201" s="519"/>
      <c r="AS201" s="519"/>
      <c r="AT201" s="519"/>
      <c r="AU201" s="519"/>
      <c r="AV201" s="519"/>
      <c r="AW201" s="519"/>
      <c r="AX201" s="519"/>
      <c r="AY201" s="519"/>
      <c r="AZ201" s="519"/>
      <c r="BA201" s="519"/>
      <c r="BB201" s="519"/>
      <c r="BC201" s="519"/>
      <c r="BD201" s="519"/>
      <c r="BE201" s="519"/>
      <c r="BF201" s="912"/>
      <c r="BG201" s="519"/>
      <c r="BH201" s="519"/>
    </row>
    <row r="202" spans="1:60" s="201" customFormat="1" hidden="1">
      <c r="A202" s="112"/>
      <c r="B202"/>
      <c r="C202" s="992"/>
      <c r="D202" s="992"/>
      <c r="E202" s="992"/>
      <c r="F202" s="1082"/>
      <c r="G202" s="1219"/>
      <c r="H202" s="1082"/>
      <c r="I202" s="1082"/>
      <c r="J202" s="1499"/>
      <c r="K202" s="912"/>
      <c r="L202" s="519"/>
      <c r="M202" s="519"/>
      <c r="N202" s="519"/>
      <c r="O202" s="519"/>
      <c r="P202" s="519"/>
      <c r="Q202" s="519"/>
      <c r="R202" s="519"/>
      <c r="S202" s="519"/>
      <c r="T202" s="519"/>
      <c r="U202" s="519"/>
      <c r="V202" s="519"/>
      <c r="W202" s="519"/>
      <c r="X202" s="519"/>
      <c r="Y202" s="519"/>
      <c r="Z202" s="519"/>
      <c r="AA202" s="519"/>
      <c r="AB202" s="519"/>
      <c r="AC202" s="519"/>
      <c r="AD202" s="519"/>
      <c r="AE202" s="519"/>
      <c r="AF202" s="519"/>
      <c r="AG202" s="519"/>
      <c r="AH202" s="519"/>
      <c r="AI202" s="519"/>
      <c r="AJ202" s="519"/>
      <c r="AK202" s="519"/>
      <c r="AL202" s="519"/>
      <c r="AM202" s="519"/>
      <c r="AN202" s="519"/>
      <c r="AO202" s="519"/>
      <c r="AP202" s="519"/>
      <c r="AQ202" s="519"/>
      <c r="AR202" s="519"/>
      <c r="AS202" s="519"/>
      <c r="AT202" s="519"/>
      <c r="AU202" s="519"/>
      <c r="AV202" s="519"/>
      <c r="AW202" s="519"/>
      <c r="AX202" s="519"/>
      <c r="AY202" s="519"/>
      <c r="AZ202" s="519"/>
      <c r="BA202" s="519"/>
      <c r="BB202" s="519"/>
      <c r="BC202" s="519"/>
      <c r="BD202" s="519"/>
      <c r="BE202" s="519"/>
      <c r="BF202" s="912"/>
      <c r="BG202" s="519"/>
      <c r="BH202" s="519"/>
    </row>
    <row r="203" spans="1:60" s="201" customFormat="1" hidden="1">
      <c r="A203" s="112"/>
      <c r="B203"/>
      <c r="C203" s="1225"/>
      <c r="D203" s="1225"/>
      <c r="E203" s="1225"/>
      <c r="F203" s="1226"/>
      <c r="G203" s="1226"/>
      <c r="H203" s="1226"/>
      <c r="I203" s="1226"/>
      <c r="J203" s="1499"/>
      <c r="K203" s="912"/>
      <c r="L203" s="519"/>
      <c r="M203" s="519"/>
      <c r="N203" s="519"/>
      <c r="O203" s="519"/>
      <c r="P203" s="519"/>
      <c r="Q203" s="519"/>
      <c r="R203" s="519"/>
      <c r="S203" s="519"/>
      <c r="T203" s="519"/>
      <c r="U203" s="519"/>
      <c r="V203" s="519"/>
      <c r="W203" s="519"/>
      <c r="X203" s="519"/>
      <c r="Y203" s="519"/>
      <c r="Z203" s="519"/>
      <c r="AA203" s="519"/>
      <c r="AB203" s="519"/>
      <c r="AC203" s="519"/>
      <c r="AD203" s="519"/>
      <c r="AE203" s="519"/>
      <c r="AF203" s="519"/>
      <c r="AG203" s="519"/>
      <c r="AH203" s="519"/>
      <c r="AI203" s="519"/>
      <c r="AJ203" s="519"/>
      <c r="AK203" s="519"/>
      <c r="AL203" s="519"/>
      <c r="AM203" s="519"/>
      <c r="AN203" s="519"/>
      <c r="AO203" s="519"/>
      <c r="AP203" s="519"/>
      <c r="AQ203" s="519"/>
      <c r="AR203" s="519"/>
      <c r="AS203" s="519"/>
      <c r="AT203" s="519"/>
      <c r="AU203" s="519"/>
      <c r="AV203" s="519"/>
      <c r="AW203" s="519"/>
      <c r="AX203" s="519"/>
      <c r="AY203" s="519"/>
      <c r="AZ203" s="519"/>
      <c r="BA203" s="519"/>
      <c r="BB203" s="519"/>
      <c r="BC203" s="519"/>
      <c r="BD203" s="519"/>
      <c r="BE203" s="519"/>
      <c r="BF203" s="912"/>
      <c r="BG203" s="519"/>
      <c r="BH203" s="519"/>
    </row>
    <row r="204" spans="1:60" s="201" customFormat="1" ht="16.5" hidden="1" thickBot="1">
      <c r="A204" s="112"/>
      <c r="B204"/>
      <c r="C204" s="1220" t="s">
        <v>117</v>
      </c>
      <c r="D204" s="1221"/>
      <c r="E204" s="1221"/>
      <c r="F204" s="1222"/>
      <c r="G204" s="1223"/>
      <c r="H204" s="1222"/>
      <c r="I204" s="1224"/>
      <c r="J204" s="1499"/>
      <c r="K204" s="912"/>
      <c r="L204" s="519"/>
      <c r="M204" s="519"/>
      <c r="N204" s="519"/>
      <c r="O204" s="519"/>
      <c r="P204" s="519"/>
      <c r="Q204" s="519"/>
      <c r="R204" s="519"/>
      <c r="S204" s="519"/>
      <c r="T204" s="519"/>
      <c r="U204" s="519"/>
      <c r="V204" s="519"/>
      <c r="W204" s="519"/>
      <c r="X204" s="519"/>
      <c r="Y204" s="519"/>
      <c r="Z204" s="519"/>
      <c r="AA204" s="519"/>
      <c r="AB204" s="519"/>
      <c r="AC204" s="519"/>
      <c r="AD204" s="519"/>
      <c r="AE204" s="519"/>
      <c r="AF204" s="519"/>
      <c r="AG204" s="519"/>
      <c r="AH204" s="519"/>
      <c r="AI204" s="519"/>
      <c r="AJ204" s="519"/>
      <c r="AK204" s="519"/>
      <c r="AL204" s="519"/>
      <c r="AM204" s="519"/>
      <c r="AN204" s="519"/>
      <c r="AO204" s="519"/>
      <c r="AP204" s="519"/>
      <c r="AQ204" s="519"/>
      <c r="AR204" s="519"/>
      <c r="AS204" s="519"/>
      <c r="AT204" s="519"/>
      <c r="AU204" s="519"/>
      <c r="AV204" s="519"/>
      <c r="AW204" s="519"/>
      <c r="AX204" s="519"/>
      <c r="AY204" s="519"/>
      <c r="AZ204" s="519"/>
      <c r="BA204" s="519"/>
      <c r="BB204" s="519"/>
      <c r="BC204" s="519"/>
      <c r="BD204" s="519"/>
      <c r="BE204" s="519"/>
      <c r="BF204" s="912"/>
      <c r="BG204" s="519"/>
      <c r="BH204" s="519"/>
    </row>
    <row r="205" spans="1:60" s="201" customFormat="1" ht="7.5" hidden="1" customHeight="1" thickBot="1">
      <c r="A205" s="112"/>
      <c r="B205"/>
      <c r="C205" s="1225"/>
      <c r="D205" s="1225"/>
      <c r="E205" s="1225"/>
      <c r="F205" s="1226"/>
      <c r="G205" s="1226"/>
      <c r="H205" s="1226"/>
      <c r="I205" s="1226"/>
      <c r="J205" s="1499"/>
      <c r="K205" s="912"/>
      <c r="L205" s="519"/>
      <c r="M205" s="519"/>
      <c r="N205" s="519"/>
      <c r="O205" s="519"/>
      <c r="P205" s="519"/>
      <c r="Q205" s="519"/>
      <c r="R205" s="519"/>
      <c r="S205" s="519"/>
      <c r="T205" s="519"/>
      <c r="U205" s="519"/>
      <c r="V205" s="519"/>
      <c r="W205" s="519"/>
      <c r="X205" s="519"/>
      <c r="Y205" s="519"/>
      <c r="Z205" s="519"/>
      <c r="AA205" s="519"/>
      <c r="AB205" s="519"/>
      <c r="AC205" s="519"/>
      <c r="AD205" s="519"/>
      <c r="AE205" s="519"/>
      <c r="AF205" s="519"/>
      <c r="AG205" s="519"/>
      <c r="AH205" s="519"/>
      <c r="AI205" s="519"/>
      <c r="AJ205" s="519"/>
      <c r="AK205" s="519"/>
      <c r="AL205" s="519"/>
      <c r="AM205" s="519"/>
      <c r="AN205" s="519"/>
      <c r="AO205" s="519"/>
      <c r="AP205" s="519"/>
      <c r="AQ205" s="519"/>
      <c r="AR205" s="519"/>
      <c r="AS205" s="519"/>
      <c r="AT205" s="519"/>
      <c r="AU205" s="519"/>
      <c r="AV205" s="519"/>
      <c r="AW205" s="519"/>
      <c r="AX205" s="519"/>
      <c r="AY205" s="519"/>
      <c r="AZ205" s="519"/>
      <c r="BA205" s="519"/>
      <c r="BB205" s="519"/>
      <c r="BC205" s="519"/>
      <c r="BD205" s="519"/>
      <c r="BE205" s="519"/>
      <c r="BF205" s="912"/>
      <c r="BG205" s="519"/>
      <c r="BH205" s="519"/>
    </row>
    <row r="206" spans="1:60" s="201" customFormat="1" ht="13.5" hidden="1" customHeight="1" thickBot="1">
      <c r="A206" s="112"/>
      <c r="B206"/>
      <c r="C206" s="1691" t="s">
        <v>119</v>
      </c>
      <c r="D206" s="1692"/>
      <c r="E206" s="1692"/>
      <c r="F206" s="1692"/>
      <c r="G206" s="1692"/>
      <c r="H206" s="1692"/>
      <c r="I206" s="1693"/>
      <c r="J206" s="1499"/>
      <c r="K206" s="912"/>
      <c r="L206" s="519"/>
      <c r="M206" s="519"/>
      <c r="N206" s="519"/>
      <c r="O206" s="519"/>
      <c r="P206" s="519"/>
      <c r="Q206" s="519"/>
      <c r="R206" s="519"/>
      <c r="S206" s="519"/>
      <c r="T206" s="519"/>
      <c r="U206" s="519"/>
      <c r="V206" s="519"/>
      <c r="W206" s="519"/>
      <c r="X206" s="519"/>
      <c r="Y206" s="519"/>
      <c r="Z206" s="519"/>
      <c r="AA206" s="519"/>
      <c r="AB206" s="519"/>
      <c r="AC206" s="519"/>
      <c r="AD206" s="519"/>
      <c r="AE206" s="519"/>
      <c r="AF206" s="519"/>
      <c r="AG206" s="519"/>
      <c r="AH206" s="519"/>
      <c r="AI206" s="519"/>
      <c r="AJ206" s="519"/>
      <c r="AK206" s="519"/>
      <c r="AL206" s="519"/>
      <c r="AM206" s="519"/>
      <c r="AN206" s="519"/>
      <c r="AO206" s="519"/>
      <c r="AP206" s="519"/>
      <c r="AQ206" s="519"/>
      <c r="AR206" s="519"/>
      <c r="AS206" s="519"/>
      <c r="AT206" s="519"/>
      <c r="AU206" s="519"/>
      <c r="AV206" s="519"/>
      <c r="AW206" s="519"/>
      <c r="AX206" s="519"/>
      <c r="AY206" s="519"/>
      <c r="AZ206" s="519"/>
      <c r="BA206" s="519"/>
      <c r="BB206" s="519"/>
      <c r="BC206" s="519"/>
      <c r="BD206" s="519"/>
      <c r="BE206" s="519"/>
      <c r="BF206" s="912"/>
      <c r="BG206" s="519"/>
      <c r="BH206" s="519"/>
    </row>
    <row r="207" spans="1:60" s="201" customFormat="1" ht="12.75" hidden="1" customHeight="1">
      <c r="A207" s="112"/>
      <c r="B207"/>
      <c r="C207" s="1694" t="s">
        <v>64</v>
      </c>
      <c r="D207" s="1695"/>
      <c r="E207" s="1695"/>
      <c r="F207" s="1695"/>
      <c r="G207" s="1695"/>
      <c r="H207" s="1695"/>
      <c r="I207" s="1696"/>
      <c r="J207" s="1499"/>
      <c r="K207" s="912"/>
      <c r="L207" s="519"/>
      <c r="M207" s="519"/>
      <c r="N207" s="519"/>
      <c r="O207" s="519"/>
      <c r="P207" s="519"/>
      <c r="Q207" s="519"/>
      <c r="R207" s="519"/>
      <c r="S207" s="519"/>
      <c r="T207" s="519"/>
      <c r="U207" s="519"/>
      <c r="V207" s="519"/>
      <c r="W207" s="519"/>
      <c r="X207" s="519"/>
      <c r="Y207" s="519"/>
      <c r="Z207" s="519"/>
      <c r="AA207" s="519"/>
      <c r="AB207" s="519"/>
      <c r="AC207" s="519"/>
      <c r="AD207" s="519"/>
      <c r="AE207" s="519"/>
      <c r="AF207" s="519"/>
      <c r="AG207" s="519"/>
      <c r="AH207" s="519"/>
      <c r="AI207" s="519"/>
      <c r="AJ207" s="519"/>
      <c r="AK207" s="519"/>
      <c r="AL207" s="519"/>
      <c r="AM207" s="519"/>
      <c r="AN207" s="519"/>
      <c r="AO207" s="519"/>
      <c r="AP207" s="519"/>
      <c r="AQ207" s="519"/>
      <c r="AR207" s="519"/>
      <c r="AS207" s="519"/>
      <c r="AT207" s="519"/>
      <c r="AU207" s="519"/>
      <c r="AV207" s="519"/>
      <c r="AW207" s="519"/>
      <c r="AX207" s="519"/>
      <c r="AY207" s="519"/>
      <c r="AZ207" s="519"/>
      <c r="BA207" s="519"/>
      <c r="BB207" s="519"/>
      <c r="BC207" s="519"/>
      <c r="BD207" s="519"/>
      <c r="BE207" s="519"/>
      <c r="BF207" s="912"/>
      <c r="BG207" s="519"/>
      <c r="BH207" s="519"/>
    </row>
    <row r="208" spans="1:60" s="201" customFormat="1" hidden="1">
      <c r="A208" s="112"/>
      <c r="B208"/>
      <c r="C208" s="1694"/>
      <c r="D208" s="1695"/>
      <c r="E208" s="1695"/>
      <c r="F208" s="1695"/>
      <c r="G208" s="1695"/>
      <c r="H208" s="1695"/>
      <c r="I208" s="1696"/>
      <c r="J208" s="1499"/>
      <c r="K208" s="912"/>
      <c r="L208" s="519"/>
      <c r="M208" s="519"/>
      <c r="N208" s="519"/>
      <c r="O208" s="519"/>
      <c r="P208" s="519"/>
      <c r="Q208" s="519"/>
      <c r="R208" s="519"/>
      <c r="S208" s="519"/>
      <c r="T208" s="519"/>
      <c r="U208" s="519"/>
      <c r="V208" s="519"/>
      <c r="W208" s="519"/>
      <c r="X208" s="519"/>
      <c r="Y208" s="519"/>
      <c r="Z208" s="519"/>
      <c r="AA208" s="519"/>
      <c r="AB208" s="519"/>
      <c r="AC208" s="519"/>
      <c r="AD208" s="519"/>
      <c r="AE208" s="519"/>
      <c r="AF208" s="519"/>
      <c r="AG208" s="519"/>
      <c r="AH208" s="519"/>
      <c r="AI208" s="519"/>
      <c r="AJ208" s="519"/>
      <c r="AK208" s="519"/>
      <c r="AL208" s="519"/>
      <c r="AM208" s="519"/>
      <c r="AN208" s="519"/>
      <c r="AO208" s="519"/>
      <c r="AP208" s="519"/>
      <c r="AQ208" s="519"/>
      <c r="AR208" s="519"/>
      <c r="AS208" s="519"/>
      <c r="AT208" s="519"/>
      <c r="AU208" s="519"/>
      <c r="AV208" s="519"/>
      <c r="AW208" s="519"/>
      <c r="AX208" s="519"/>
      <c r="AY208" s="519"/>
      <c r="AZ208" s="519"/>
      <c r="BA208" s="519"/>
      <c r="BB208" s="519"/>
      <c r="BC208" s="519"/>
      <c r="BD208" s="519"/>
      <c r="BE208" s="519"/>
      <c r="BF208" s="912"/>
      <c r="BG208" s="519"/>
      <c r="BH208" s="519"/>
    </row>
    <row r="209" spans="1:60" s="201" customFormat="1" ht="12.75" hidden="1" customHeight="1">
      <c r="A209" s="112"/>
      <c r="B209"/>
      <c r="C209" s="1694"/>
      <c r="D209" s="1695"/>
      <c r="E209" s="1695"/>
      <c r="F209" s="1695"/>
      <c r="G209" s="1695"/>
      <c r="H209" s="1695"/>
      <c r="I209" s="1696"/>
      <c r="J209" s="1499"/>
      <c r="K209" s="912"/>
      <c r="L209" s="519"/>
      <c r="M209" s="519"/>
      <c r="N209" s="519"/>
      <c r="O209" s="519"/>
      <c r="P209" s="519"/>
      <c r="Q209" s="519"/>
      <c r="R209" s="519"/>
      <c r="S209" s="519"/>
      <c r="T209" s="519"/>
      <c r="U209" s="519"/>
      <c r="V209" s="519"/>
      <c r="W209" s="519"/>
      <c r="X209" s="519"/>
      <c r="Y209" s="519"/>
      <c r="Z209" s="519"/>
      <c r="AA209" s="519"/>
      <c r="AB209" s="519"/>
      <c r="AC209" s="519"/>
      <c r="AD209" s="519"/>
      <c r="AE209" s="519"/>
      <c r="AF209" s="519"/>
      <c r="AG209" s="519"/>
      <c r="AH209" s="519"/>
      <c r="AI209" s="519"/>
      <c r="AJ209" s="519"/>
      <c r="AK209" s="519"/>
      <c r="AL209" s="519"/>
      <c r="AM209" s="519"/>
      <c r="AN209" s="519"/>
      <c r="AO209" s="519"/>
      <c r="AP209" s="519"/>
      <c r="AQ209" s="519"/>
      <c r="AR209" s="519"/>
      <c r="AS209" s="519"/>
      <c r="AT209" s="519"/>
      <c r="AU209" s="519"/>
      <c r="AV209" s="519"/>
      <c r="AW209" s="519"/>
      <c r="AX209" s="519"/>
      <c r="AY209" s="519"/>
      <c r="AZ209" s="519"/>
      <c r="BA209" s="519"/>
      <c r="BB209" s="519"/>
      <c r="BC209" s="519"/>
      <c r="BD209" s="519"/>
      <c r="BE209" s="519"/>
      <c r="BF209" s="912"/>
      <c r="BG209" s="519"/>
      <c r="BH209" s="519"/>
    </row>
    <row r="210" spans="1:60" s="201" customFormat="1" hidden="1">
      <c r="A210" s="112"/>
      <c r="B210"/>
      <c r="C210" s="1694"/>
      <c r="D210" s="1695"/>
      <c r="E210" s="1695"/>
      <c r="F210" s="1695"/>
      <c r="G210" s="1695"/>
      <c r="H210" s="1695"/>
      <c r="I210" s="1696"/>
      <c r="J210" s="1499"/>
      <c r="K210" s="912"/>
      <c r="L210" s="519"/>
      <c r="M210" s="519"/>
      <c r="N210" s="519"/>
      <c r="O210" s="519"/>
      <c r="P210" s="519"/>
      <c r="Q210" s="519"/>
      <c r="R210" s="519"/>
      <c r="S210" s="519"/>
      <c r="T210" s="519"/>
      <c r="U210" s="519"/>
      <c r="V210" s="519"/>
      <c r="W210" s="519"/>
      <c r="X210" s="519"/>
      <c r="Y210" s="519"/>
      <c r="Z210" s="519"/>
      <c r="AA210" s="519"/>
      <c r="AB210" s="519"/>
      <c r="AC210" s="519"/>
      <c r="AD210" s="519"/>
      <c r="AE210" s="519"/>
      <c r="AF210" s="519"/>
      <c r="AG210" s="519"/>
      <c r="AH210" s="519"/>
      <c r="AI210" s="519"/>
      <c r="AJ210" s="519"/>
      <c r="AK210" s="519"/>
      <c r="AL210" s="519"/>
      <c r="AM210" s="519"/>
      <c r="AN210" s="519"/>
      <c r="AO210" s="519"/>
      <c r="AP210" s="519"/>
      <c r="AQ210" s="519"/>
      <c r="AR210" s="519"/>
      <c r="AS210" s="519"/>
      <c r="AT210" s="519"/>
      <c r="AU210" s="519"/>
      <c r="AV210" s="519"/>
      <c r="AW210" s="519"/>
      <c r="AX210" s="519"/>
      <c r="AY210" s="519"/>
      <c r="AZ210" s="519"/>
      <c r="BA210" s="519"/>
      <c r="BB210" s="519"/>
      <c r="BC210" s="519"/>
      <c r="BD210" s="519"/>
      <c r="BE210" s="519"/>
      <c r="BF210" s="912"/>
      <c r="BG210" s="519"/>
      <c r="BH210" s="519"/>
    </row>
    <row r="211" spans="1:60" s="201" customFormat="1" hidden="1">
      <c r="A211" s="112"/>
      <c r="B211"/>
      <c r="C211" s="1694"/>
      <c r="D211" s="1695"/>
      <c r="E211" s="1695"/>
      <c r="F211" s="1695"/>
      <c r="G211" s="1695"/>
      <c r="H211" s="1695"/>
      <c r="I211" s="1696"/>
      <c r="J211" s="1499"/>
      <c r="K211" s="912"/>
      <c r="L211" s="519"/>
      <c r="M211" s="519"/>
      <c r="N211" s="519"/>
      <c r="O211" s="519"/>
      <c r="P211" s="519"/>
      <c r="Q211" s="519"/>
      <c r="R211" s="519"/>
      <c r="S211" s="519"/>
      <c r="T211" s="519"/>
      <c r="U211" s="519"/>
      <c r="V211" s="519"/>
      <c r="W211" s="519"/>
      <c r="X211" s="519"/>
      <c r="Y211" s="519"/>
      <c r="Z211" s="519"/>
      <c r="AA211" s="519"/>
      <c r="AB211" s="519"/>
      <c r="AC211" s="519"/>
      <c r="AD211" s="519"/>
      <c r="AE211" s="519"/>
      <c r="AF211" s="519"/>
      <c r="AG211" s="519"/>
      <c r="AH211" s="519"/>
      <c r="AI211" s="519"/>
      <c r="AJ211" s="519"/>
      <c r="AK211" s="519"/>
      <c r="AL211" s="519"/>
      <c r="AM211" s="519"/>
      <c r="AN211" s="519"/>
      <c r="AO211" s="519"/>
      <c r="AP211" s="519"/>
      <c r="AQ211" s="519"/>
      <c r="AR211" s="519"/>
      <c r="AS211" s="519"/>
      <c r="AT211" s="519"/>
      <c r="AU211" s="519"/>
      <c r="AV211" s="519"/>
      <c r="AW211" s="519"/>
      <c r="AX211" s="519"/>
      <c r="AY211" s="519"/>
      <c r="AZ211" s="519"/>
      <c r="BA211" s="519"/>
      <c r="BB211" s="519"/>
      <c r="BC211" s="519"/>
      <c r="BD211" s="519"/>
      <c r="BE211" s="519"/>
      <c r="BF211" s="912"/>
      <c r="BG211" s="519"/>
      <c r="BH211" s="519"/>
    </row>
    <row r="212" spans="1:60" s="201" customFormat="1" ht="13.5" hidden="1" thickBot="1">
      <c r="A212" s="112"/>
      <c r="B212"/>
      <c r="C212" s="1697"/>
      <c r="D212" s="1698"/>
      <c r="E212" s="1698"/>
      <c r="F212" s="1698"/>
      <c r="G212" s="1698"/>
      <c r="H212" s="1698"/>
      <c r="I212" s="1699"/>
      <c r="J212" s="1499"/>
      <c r="K212" s="912"/>
      <c r="L212" s="519"/>
      <c r="M212" s="519"/>
      <c r="N212" s="519"/>
      <c r="O212" s="519"/>
      <c r="P212" s="519"/>
      <c r="Q212" s="519"/>
      <c r="R212" s="519"/>
      <c r="S212" s="519"/>
      <c r="T212" s="519"/>
      <c r="U212" s="519"/>
      <c r="V212" s="519"/>
      <c r="W212" s="519"/>
      <c r="X212" s="519"/>
      <c r="Y212" s="519"/>
      <c r="Z212" s="519"/>
      <c r="AA212" s="519"/>
      <c r="AB212" s="519"/>
      <c r="AC212" s="519"/>
      <c r="AD212" s="519"/>
      <c r="AE212" s="519"/>
      <c r="AF212" s="519"/>
      <c r="AG212" s="519"/>
      <c r="AH212" s="519"/>
      <c r="AI212" s="519"/>
      <c r="AJ212" s="519"/>
      <c r="AK212" s="519"/>
      <c r="AL212" s="519"/>
      <c r="AM212" s="519"/>
      <c r="AN212" s="519"/>
      <c r="AO212" s="519"/>
      <c r="AP212" s="519"/>
      <c r="AQ212" s="519"/>
      <c r="AR212" s="519"/>
      <c r="AS212" s="519"/>
      <c r="AT212" s="519"/>
      <c r="AU212" s="519"/>
      <c r="AV212" s="519"/>
      <c r="AW212" s="519"/>
      <c r="AX212" s="519"/>
      <c r="AY212" s="519"/>
      <c r="AZ212" s="519"/>
      <c r="BA212" s="519"/>
      <c r="BB212" s="519"/>
      <c r="BC212" s="519"/>
      <c r="BD212" s="519"/>
      <c r="BE212" s="519"/>
      <c r="BF212" s="912"/>
      <c r="BG212" s="519"/>
      <c r="BH212" s="519"/>
    </row>
    <row r="213" spans="1:60" s="201" customFormat="1">
      <c r="A213" s="112"/>
      <c r="B213"/>
      <c r="C213" s="1227"/>
      <c r="D213" s="1227"/>
      <c r="E213" s="1227"/>
      <c r="F213" s="1227"/>
      <c r="G213" s="1227"/>
      <c r="H213" s="1227"/>
      <c r="I213" s="1227"/>
      <c r="J213" s="1499"/>
      <c r="K213" s="912"/>
      <c r="L213" s="519"/>
      <c r="M213" s="519"/>
      <c r="N213" s="519"/>
      <c r="O213" s="519"/>
      <c r="P213" s="519"/>
      <c r="Q213" s="519"/>
      <c r="R213" s="519"/>
      <c r="S213" s="519"/>
      <c r="T213" s="519"/>
      <c r="U213" s="519"/>
      <c r="V213" s="519"/>
      <c r="W213" s="519"/>
      <c r="X213" s="519"/>
      <c r="Y213" s="519"/>
      <c r="Z213" s="519"/>
      <c r="AA213" s="519"/>
      <c r="AB213" s="519"/>
      <c r="AC213" s="519"/>
      <c r="AD213" s="519"/>
      <c r="AE213" s="519"/>
      <c r="AF213" s="519"/>
      <c r="AG213" s="519"/>
      <c r="AH213" s="519"/>
      <c r="AI213" s="519"/>
      <c r="AJ213" s="519"/>
      <c r="AK213" s="519"/>
      <c r="AL213" s="519"/>
      <c r="AM213" s="519"/>
      <c r="AN213" s="519"/>
      <c r="AO213" s="519"/>
      <c r="AP213" s="519"/>
      <c r="AQ213" s="519"/>
      <c r="AR213" s="519"/>
      <c r="AS213" s="519"/>
      <c r="AT213" s="519"/>
      <c r="AU213" s="519"/>
      <c r="AV213" s="519"/>
      <c r="AW213" s="519"/>
      <c r="AX213" s="519"/>
      <c r="AY213" s="519"/>
      <c r="AZ213" s="519"/>
      <c r="BA213" s="519"/>
      <c r="BB213" s="519"/>
      <c r="BC213" s="519"/>
      <c r="BD213" s="519"/>
      <c r="BE213" s="519"/>
      <c r="BF213" s="912"/>
      <c r="BG213" s="519"/>
      <c r="BH213" s="519"/>
    </row>
    <row r="214" spans="1:60" s="201" customFormat="1" ht="13.5" thickBot="1">
      <c r="A214" s="112"/>
      <c r="B214"/>
      <c r="C214" s="349" t="s">
        <v>1129</v>
      </c>
      <c r="D214" s="350" t="str">
        <f>IFERROR(((IF(I212="","", IF(E212&gt;0%,"Extra Charged", IF(ABS(E212)&lt;=F7,"Tier 1",IF(ABS(E212)&lt;=F6,"Tier 2","No qualification")))))),"No Price Entered")</f>
        <v/>
      </c>
      <c r="E214" s="1010" t="str">
        <f>IF(D9="","", D9)</f>
        <v/>
      </c>
      <c r="F214" s="222"/>
      <c r="G214" s="120"/>
      <c r="H214" s="120"/>
      <c r="I214" s="120"/>
      <c r="J214" s="1499"/>
      <c r="K214" s="912"/>
      <c r="L214" s="519"/>
      <c r="M214" s="519"/>
      <c r="N214" s="519"/>
      <c r="O214" s="519"/>
      <c r="P214" s="519"/>
      <c r="Q214" s="519"/>
      <c r="R214" s="519"/>
      <c r="S214" s="519"/>
      <c r="T214" s="519"/>
      <c r="U214" s="519"/>
      <c r="V214" s="519"/>
      <c r="W214" s="519"/>
      <c r="X214" s="519"/>
      <c r="Y214" s="519"/>
      <c r="Z214" s="519"/>
      <c r="AA214" s="519"/>
      <c r="AB214" s="519"/>
      <c r="AC214" s="519"/>
      <c r="AD214" s="519"/>
      <c r="AE214" s="519"/>
      <c r="AF214" s="519"/>
      <c r="AG214" s="519"/>
      <c r="AH214" s="519"/>
      <c r="AI214" s="519"/>
      <c r="AJ214" s="519"/>
      <c r="AK214" s="519"/>
      <c r="AL214" s="519"/>
      <c r="AM214" s="519"/>
      <c r="AN214" s="519"/>
      <c r="AO214" s="519"/>
      <c r="AP214" s="519"/>
      <c r="AQ214" s="519"/>
      <c r="AR214" s="519"/>
      <c r="AS214" s="519"/>
      <c r="AT214" s="519"/>
      <c r="AU214" s="519"/>
      <c r="AV214" s="519"/>
      <c r="AW214" s="519"/>
      <c r="AX214" s="519"/>
      <c r="AY214" s="519"/>
      <c r="AZ214" s="519"/>
      <c r="BA214" s="519"/>
      <c r="BB214" s="519"/>
      <c r="BC214" s="519"/>
      <c r="BD214" s="519"/>
      <c r="BE214" s="519"/>
      <c r="BF214" s="912"/>
      <c r="BG214" s="519"/>
      <c r="BH214" s="519"/>
    </row>
    <row r="215" spans="1:60" s="201" customFormat="1" ht="13.5" thickBot="1">
      <c r="A215" s="112"/>
      <c r="B215"/>
      <c r="C215" s="349" t="s">
        <v>144</v>
      </c>
      <c r="D215" s="350" t="str">
        <f>IFERROR(((IF(I213="","", IF(E213&gt;0%,"Extra Charged", IF(ABS(E213)&lt;=F8,"Tier 1",IF(ABS(E213)&lt;=F7,"Tier 2","No qualification")))))),"No Price Entered")</f>
        <v/>
      </c>
      <c r="E215" s="1357">
        <f>IF(I215="","",IF(I215=0,"",ROUND(E194,4)))</f>
        <v>-0.3</v>
      </c>
      <c r="F215" s="267" t="e">
        <f>((I215-SUM(I189,I169,I137,I118,I19,I28,I27,I26,I17,I60,I85,))/(SUM(D202:E202)))-1</f>
        <v>#DIV/0!</v>
      </c>
      <c r="G215" s="343"/>
      <c r="H215" s="223" t="s">
        <v>118</v>
      </c>
      <c r="I215" s="326">
        <v>33526</v>
      </c>
      <c r="J215" s="1499"/>
      <c r="K215" s="912"/>
      <c r="L215" s="519"/>
      <c r="M215" s="519"/>
      <c r="N215" s="519"/>
      <c r="O215" s="519"/>
      <c r="P215" s="519"/>
      <c r="Q215" s="519"/>
      <c r="R215" s="519"/>
      <c r="S215" s="519"/>
      <c r="T215" s="519"/>
      <c r="U215" s="519"/>
      <c r="V215" s="519"/>
      <c r="W215" s="519"/>
      <c r="X215" s="519"/>
      <c r="Y215" s="519"/>
      <c r="Z215" s="519"/>
      <c r="AA215" s="519"/>
      <c r="AB215" s="519"/>
      <c r="AC215" s="519"/>
      <c r="AD215" s="519"/>
      <c r="AE215" s="519"/>
      <c r="AF215" s="519"/>
      <c r="AG215" s="519"/>
      <c r="AH215" s="519"/>
      <c r="AI215" s="519"/>
      <c r="AJ215" s="519"/>
      <c r="AK215" s="519"/>
      <c r="AL215" s="519"/>
      <c r="AM215" s="519"/>
      <c r="AN215" s="519"/>
      <c r="AO215" s="519"/>
      <c r="AP215" s="519"/>
      <c r="AQ215" s="519"/>
      <c r="AR215" s="519"/>
      <c r="AS215" s="519"/>
      <c r="AT215" s="519"/>
      <c r="AU215" s="519"/>
      <c r="AV215" s="519"/>
      <c r="AW215" s="519"/>
      <c r="AX215" s="519"/>
      <c r="AY215" s="519"/>
      <c r="AZ215" s="519"/>
      <c r="BA215" s="519"/>
      <c r="BB215" s="519"/>
      <c r="BC215" s="519"/>
      <c r="BD215" s="519"/>
      <c r="BE215" s="519"/>
      <c r="BF215" s="912"/>
      <c r="BG215" s="519"/>
      <c r="BH215" s="519"/>
    </row>
    <row r="216" spans="1:60" s="201" customFormat="1">
      <c r="A216" s="112"/>
      <c r="B216"/>
      <c r="C216" s="349" t="s">
        <v>74</v>
      </c>
      <c r="D216" s="350" t="str">
        <f>IFERROR(((IF(I214="","", IF(E214&gt;0%,"Extra Charged", IF(ABS(E214)&lt;=F9,"Tier 1",IF(ABS(E214)&lt;=F8,"Tier 2","No qualification")))))),"No Price Entered")</f>
        <v/>
      </c>
      <c r="E216" s="1357">
        <f>IF(I215="","",IF(I215=0,"",ROUND(F216,4)))</f>
        <v>-0.2356</v>
      </c>
      <c r="F216" s="267">
        <f>(I215/I193)-1</f>
        <v>-0.23559588681912491</v>
      </c>
      <c r="G216" s="343"/>
      <c r="H216" s="120"/>
      <c r="I216" s="120"/>
      <c r="J216" s="1499"/>
      <c r="K216" s="912"/>
      <c r="L216" s="519"/>
      <c r="M216" s="519"/>
      <c r="N216" s="519"/>
      <c r="O216" s="519"/>
      <c r="P216" s="519"/>
      <c r="Q216" s="519"/>
      <c r="R216" s="519"/>
      <c r="S216" s="519"/>
      <c r="T216" s="519"/>
      <c r="U216" s="519"/>
      <c r="V216" s="519"/>
      <c r="W216" s="519"/>
      <c r="X216" s="519"/>
      <c r="Y216" s="519"/>
      <c r="Z216" s="519"/>
      <c r="AA216" s="519"/>
      <c r="AB216" s="519"/>
      <c r="AC216" s="519"/>
      <c r="AD216" s="519"/>
      <c r="AE216" s="519"/>
      <c r="AF216" s="519"/>
      <c r="AG216" s="519"/>
      <c r="AH216" s="519"/>
      <c r="AI216" s="519"/>
      <c r="AJ216" s="519"/>
      <c r="AK216" s="519"/>
      <c r="AL216" s="519"/>
      <c r="AM216" s="519"/>
      <c r="AN216" s="519"/>
      <c r="AO216" s="519"/>
      <c r="AP216" s="519"/>
      <c r="AQ216" s="519"/>
      <c r="AR216" s="519"/>
      <c r="AS216" s="519"/>
      <c r="AT216" s="519"/>
      <c r="AU216" s="519"/>
      <c r="AV216" s="519"/>
      <c r="AW216" s="519"/>
      <c r="AX216" s="519"/>
      <c r="AY216" s="519"/>
      <c r="AZ216" s="519"/>
      <c r="BA216" s="519"/>
      <c r="BB216" s="519"/>
      <c r="BC216" s="519"/>
      <c r="BD216" s="519"/>
      <c r="BE216" s="519"/>
      <c r="BF216" s="912"/>
      <c r="BG216" s="519"/>
      <c r="BH216" s="519"/>
    </row>
    <row r="217" spans="1:60" s="201" customFormat="1">
      <c r="A217" s="112"/>
      <c r="B217"/>
      <c r="C217" s="350"/>
      <c r="D217" s="1232" t="str">
        <f>IFERROR(((IF(I215="","", IF(E214="IBTO", "tier 2", IF(E215&gt;0%,"Extra Charged", IF(ABS(E215)&lt;=F10,"Tier 1",IF(ABS(E215)&lt;=F9,"Tier 2","No qualification"))))))),"No Price Entered")</f>
        <v>No qualification</v>
      </c>
      <c r="E217" s="1233" t="str">
        <f>IF(D217="Extra Charged", I215-I193, "")</f>
        <v/>
      </c>
      <c r="F217" s="1228"/>
      <c r="G217" s="206"/>
      <c r="H217" s="206"/>
      <c r="I217" s="206"/>
      <c r="J217" s="1499"/>
      <c r="K217" s="912"/>
      <c r="L217" s="519"/>
      <c r="M217" s="519"/>
      <c r="N217" s="519"/>
      <c r="O217" s="519"/>
      <c r="P217" s="519"/>
      <c r="Q217" s="519"/>
      <c r="R217" s="519"/>
      <c r="S217" s="519"/>
      <c r="T217" s="519"/>
      <c r="U217" s="519"/>
      <c r="V217" s="519"/>
      <c r="W217" s="519"/>
      <c r="X217" s="519"/>
      <c r="Y217" s="519"/>
      <c r="Z217" s="519"/>
      <c r="AA217" s="519"/>
      <c r="AB217" s="519"/>
      <c r="AC217" s="519"/>
      <c r="AD217" s="519"/>
      <c r="AE217" s="519"/>
      <c r="AF217" s="519"/>
      <c r="AG217" s="519"/>
      <c r="AH217" s="519"/>
      <c r="AI217" s="519"/>
      <c r="AJ217" s="519"/>
      <c r="AK217" s="519"/>
      <c r="AL217" s="519"/>
      <c r="AM217" s="519"/>
      <c r="AN217" s="519"/>
      <c r="AO217" s="519"/>
      <c r="AP217" s="519"/>
      <c r="AQ217" s="519"/>
      <c r="AR217" s="519"/>
      <c r="AS217" s="519"/>
      <c r="AT217" s="519"/>
      <c r="AU217" s="519"/>
      <c r="AV217" s="519"/>
      <c r="AW217" s="519"/>
      <c r="AX217" s="519"/>
      <c r="AY217" s="519"/>
      <c r="AZ217" s="519"/>
      <c r="BA217" s="519"/>
      <c r="BB217" s="519"/>
      <c r="BC217" s="519"/>
      <c r="BD217" s="519"/>
      <c r="BE217" s="519"/>
      <c r="BF217" s="912"/>
      <c r="BG217" s="519"/>
      <c r="BH217" s="519"/>
    </row>
    <row r="218" spans="1:60" s="201" customFormat="1">
      <c r="A218" s="112"/>
      <c r="B218"/>
      <c r="C218" s="350"/>
      <c r="D218" s="350"/>
      <c r="E218" s="418"/>
      <c r="F218" s="1228"/>
      <c r="G218" s="206"/>
      <c r="H218" s="206"/>
      <c r="I218" s="206"/>
      <c r="J218" s="1499"/>
      <c r="K218" s="912"/>
      <c r="L218" s="519"/>
      <c r="M218" s="519"/>
      <c r="N218" s="519"/>
      <c r="O218" s="519"/>
      <c r="P218" s="519"/>
      <c r="Q218" s="519"/>
      <c r="R218" s="519"/>
      <c r="S218" s="519"/>
      <c r="T218" s="519"/>
      <c r="U218" s="519"/>
      <c r="V218" s="519"/>
      <c r="W218" s="519"/>
      <c r="X218" s="519"/>
      <c r="Y218" s="519"/>
      <c r="Z218" s="519"/>
      <c r="AA218" s="519"/>
      <c r="AB218" s="519"/>
      <c r="AC218" s="519"/>
      <c r="AD218" s="519"/>
      <c r="AE218" s="519"/>
      <c r="AF218" s="519"/>
      <c r="AG218" s="519"/>
      <c r="AH218" s="519"/>
      <c r="AI218" s="519"/>
      <c r="AJ218" s="519"/>
      <c r="AK218" s="519"/>
      <c r="AL218" s="519"/>
      <c r="AM218" s="519"/>
      <c r="AN218" s="519"/>
      <c r="AO218" s="519"/>
      <c r="AP218" s="519"/>
      <c r="AQ218" s="519"/>
      <c r="AR218" s="519"/>
      <c r="AS218" s="519"/>
      <c r="AT218" s="519"/>
      <c r="AU218" s="519"/>
      <c r="AV218" s="519"/>
      <c r="AW218" s="519"/>
      <c r="AX218" s="519"/>
      <c r="AY218" s="519"/>
      <c r="AZ218" s="519"/>
      <c r="BA218" s="519"/>
      <c r="BB218" s="519"/>
      <c r="BC218" s="519"/>
      <c r="BD218" s="519"/>
      <c r="BE218" s="519"/>
      <c r="BF218" s="912"/>
      <c r="BG218" s="519"/>
      <c r="BH218" s="519"/>
    </row>
    <row r="219" spans="1:60" s="201" customFormat="1">
      <c r="A219" s="112"/>
      <c r="B219"/>
      <c r="C219" s="1231"/>
      <c r="D219" s="350"/>
      <c r="E219" s="418"/>
      <c r="F219" s="1228"/>
      <c r="G219" s="206"/>
      <c r="H219" s="206"/>
      <c r="I219" s="206"/>
      <c r="J219" s="1499"/>
      <c r="K219" s="912"/>
      <c r="L219" s="519"/>
      <c r="M219" s="519"/>
      <c r="N219" s="519"/>
      <c r="O219" s="519"/>
      <c r="P219" s="519"/>
      <c r="Q219" s="519"/>
      <c r="R219" s="519"/>
      <c r="S219" s="519"/>
      <c r="T219" s="519"/>
      <c r="U219" s="519"/>
      <c r="V219" s="519"/>
      <c r="W219" s="519"/>
      <c r="X219" s="519"/>
      <c r="Y219" s="519"/>
      <c r="Z219" s="519"/>
      <c r="AA219" s="519"/>
      <c r="AB219" s="519"/>
      <c r="AC219" s="519"/>
      <c r="AD219" s="519"/>
      <c r="AE219" s="519"/>
      <c r="AF219" s="519"/>
      <c r="AG219" s="519"/>
      <c r="AH219" s="519"/>
      <c r="AI219" s="519"/>
      <c r="AJ219" s="519"/>
      <c r="AK219" s="519"/>
      <c r="AL219" s="519"/>
      <c r="AM219" s="519"/>
      <c r="AN219" s="519"/>
      <c r="AO219" s="519"/>
      <c r="AP219" s="519"/>
      <c r="AQ219" s="519"/>
      <c r="AR219" s="519"/>
      <c r="AS219" s="519"/>
      <c r="AT219" s="519"/>
      <c r="AU219" s="519"/>
      <c r="AV219" s="519"/>
      <c r="AW219" s="519"/>
      <c r="AX219" s="519"/>
      <c r="AY219" s="519"/>
      <c r="AZ219" s="519"/>
      <c r="BA219" s="519"/>
      <c r="BB219" s="519"/>
      <c r="BC219" s="519"/>
      <c r="BD219" s="519"/>
      <c r="BE219" s="519"/>
      <c r="BF219" s="912"/>
      <c r="BG219" s="519"/>
      <c r="BH219" s="519"/>
    </row>
    <row r="220" spans="1:60" s="201" customFormat="1" ht="15.75" thickBot="1">
      <c r="A220" s="112"/>
      <c r="B220"/>
      <c r="C220" s="1234" t="s">
        <v>1368</v>
      </c>
      <c r="D220" s="1235"/>
      <c r="E220" s="1236"/>
      <c r="F220" s="1237"/>
      <c r="G220" s="1238"/>
      <c r="H220" s="1238"/>
      <c r="I220" s="1238"/>
      <c r="J220" s="1499"/>
      <c r="K220" s="912"/>
      <c r="L220" s="519"/>
      <c r="M220" s="519"/>
      <c r="N220" s="519"/>
      <c r="O220" s="519"/>
      <c r="P220" s="519"/>
      <c r="Q220" s="519"/>
      <c r="R220" s="519"/>
      <c r="S220" s="519"/>
      <c r="T220" s="519"/>
      <c r="U220" s="519"/>
      <c r="V220" s="519"/>
      <c r="W220" s="519"/>
      <c r="X220" s="519"/>
      <c r="Y220" s="519"/>
      <c r="Z220" s="519"/>
      <c r="AA220" s="519"/>
      <c r="AB220" s="519"/>
      <c r="AC220" s="519"/>
      <c r="AD220" s="519"/>
      <c r="AE220" s="519"/>
      <c r="AF220" s="519"/>
      <c r="AG220" s="519"/>
      <c r="AH220" s="519"/>
      <c r="AI220" s="519"/>
      <c r="AJ220" s="519"/>
      <c r="AK220" s="519"/>
      <c r="AL220" s="519"/>
      <c r="AM220" s="519"/>
      <c r="AN220" s="519"/>
      <c r="AO220" s="519"/>
      <c r="AP220" s="519"/>
      <c r="AQ220" s="519"/>
      <c r="AR220" s="519"/>
      <c r="AS220" s="519"/>
      <c r="AT220" s="519"/>
      <c r="AU220" s="519"/>
      <c r="AV220" s="519"/>
      <c r="AW220" s="519"/>
      <c r="AX220" s="519"/>
      <c r="AY220" s="519"/>
      <c r="AZ220" s="519"/>
      <c r="BA220" s="519"/>
      <c r="BB220" s="519"/>
      <c r="BC220" s="519"/>
      <c r="BD220" s="519"/>
      <c r="BE220" s="519"/>
      <c r="BF220" s="912"/>
      <c r="BG220" s="519"/>
      <c r="BH220" s="519"/>
    </row>
    <row r="221" spans="1:60" s="201" customFormat="1">
      <c r="A221" s="112"/>
      <c r="B221"/>
      <c r="C221" s="1231"/>
      <c r="D221" s="350"/>
      <c r="E221" s="418"/>
      <c r="F221" s="1228"/>
      <c r="G221" s="206"/>
      <c r="H221" s="206"/>
      <c r="I221" s="206"/>
      <c r="J221" s="1499"/>
      <c r="K221" s="912"/>
      <c r="L221" s="519"/>
      <c r="M221" s="519"/>
      <c r="N221" s="519"/>
      <c r="O221" s="519"/>
      <c r="P221" s="519"/>
      <c r="Q221" s="519"/>
      <c r="R221" s="519"/>
      <c r="S221" s="519"/>
      <c r="T221" s="519"/>
      <c r="U221" s="519"/>
      <c r="V221" s="519"/>
      <c r="W221" s="519"/>
      <c r="X221" s="519"/>
      <c r="Y221" s="519"/>
      <c r="Z221" s="519"/>
      <c r="AA221" s="519"/>
      <c r="AB221" s="519"/>
      <c r="AC221" s="519"/>
      <c r="AD221" s="519"/>
      <c r="AE221" s="519"/>
      <c r="AF221" s="519"/>
      <c r="AG221" s="519"/>
      <c r="AH221" s="519"/>
      <c r="AI221" s="519"/>
      <c r="AJ221" s="519"/>
      <c r="AK221" s="519"/>
      <c r="AL221" s="519"/>
      <c r="AM221" s="519"/>
      <c r="AN221" s="519"/>
      <c r="AO221" s="519"/>
      <c r="AP221" s="519"/>
      <c r="AQ221" s="519"/>
      <c r="AR221" s="519"/>
      <c r="AS221" s="519"/>
      <c r="AT221" s="519"/>
      <c r="AU221" s="519"/>
      <c r="AV221" s="519"/>
      <c r="AW221" s="519"/>
      <c r="AX221" s="519"/>
      <c r="AY221" s="519"/>
      <c r="AZ221" s="519"/>
      <c r="BA221" s="519"/>
      <c r="BB221" s="519"/>
      <c r="BC221" s="519"/>
      <c r="BD221" s="519"/>
      <c r="BE221" s="519"/>
      <c r="BF221" s="912"/>
      <c r="BG221" s="519"/>
      <c r="BH221" s="519"/>
    </row>
    <row r="222" spans="1:60" s="201" customFormat="1">
      <c r="A222" s="112"/>
      <c r="B222"/>
      <c r="C222" s="1239"/>
      <c r="D222" s="1240" t="s">
        <v>1369</v>
      </c>
      <c r="E222" s="1240" t="s">
        <v>1370</v>
      </c>
      <c r="F222" s="1228"/>
      <c r="G222" s="206"/>
      <c r="H222" s="206"/>
      <c r="I222" s="206"/>
      <c r="J222" s="1499"/>
      <c r="K222" s="912"/>
      <c r="L222" s="519"/>
      <c r="M222" s="519"/>
      <c r="N222" s="519"/>
      <c r="O222" s="519"/>
      <c r="P222" s="519"/>
      <c r="Q222" s="519"/>
      <c r="R222" s="519"/>
      <c r="S222" s="519"/>
      <c r="T222" s="519"/>
      <c r="U222" s="519"/>
      <c r="V222" s="519"/>
      <c r="W222" s="519"/>
      <c r="X222" s="519"/>
      <c r="Y222" s="519"/>
      <c r="Z222" s="519"/>
      <c r="AA222" s="519"/>
      <c r="AB222" s="519"/>
      <c r="AC222" s="519"/>
      <c r="AD222" s="519"/>
      <c r="AE222" s="519"/>
      <c r="AF222" s="519"/>
      <c r="AG222" s="519"/>
      <c r="AH222" s="519"/>
      <c r="AI222" s="519"/>
      <c r="AJ222" s="519"/>
      <c r="AK222" s="519"/>
      <c r="AL222" s="519"/>
      <c r="AM222" s="519"/>
      <c r="AN222" s="519"/>
      <c r="AO222" s="519"/>
      <c r="AP222" s="519"/>
      <c r="AQ222" s="519"/>
      <c r="AR222" s="519"/>
      <c r="AS222" s="519"/>
      <c r="AT222" s="519"/>
      <c r="AU222" s="519"/>
      <c r="AV222" s="519"/>
      <c r="AW222" s="519"/>
      <c r="AX222" s="519"/>
      <c r="AY222" s="519"/>
      <c r="AZ222" s="519"/>
      <c r="BA222" s="519"/>
      <c r="BB222" s="519"/>
      <c r="BC222" s="519"/>
      <c r="BD222" s="519"/>
      <c r="BE222" s="519"/>
      <c r="BF222" s="912"/>
      <c r="BG222" s="519"/>
      <c r="BH222" s="519"/>
    </row>
    <row r="223" spans="1:60" s="201" customFormat="1" ht="5.25" customHeight="1">
      <c r="A223" s="112"/>
      <c r="B223"/>
      <c r="C223" s="1241"/>
      <c r="D223" s="1242"/>
      <c r="E223" s="1241"/>
      <c r="F223" s="1229"/>
      <c r="G223" s="206"/>
      <c r="H223" s="206"/>
      <c r="I223" s="1230"/>
      <c r="J223" s="1499"/>
      <c r="K223" s="912"/>
      <c r="L223" s="519"/>
      <c r="M223" s="519"/>
      <c r="N223" s="519"/>
      <c r="O223" s="519"/>
      <c r="P223" s="519"/>
      <c r="Q223" s="519"/>
      <c r="R223" s="519"/>
      <c r="S223" s="519"/>
      <c r="T223" s="519"/>
      <c r="U223" s="519"/>
      <c r="V223" s="519"/>
      <c r="W223" s="519"/>
      <c r="X223" s="519"/>
      <c r="Y223" s="519"/>
      <c r="Z223" s="519"/>
      <c r="AA223" s="519"/>
      <c r="AB223" s="519"/>
      <c r="AC223" s="519"/>
      <c r="AD223" s="519"/>
      <c r="AE223" s="519"/>
      <c r="AF223" s="519"/>
      <c r="AG223" s="519"/>
      <c r="AH223" s="519"/>
      <c r="AI223" s="519"/>
      <c r="AJ223" s="519"/>
      <c r="AK223" s="519"/>
      <c r="AL223" s="519"/>
      <c r="AM223" s="519"/>
      <c r="AN223" s="519"/>
      <c r="AO223" s="519"/>
      <c r="AP223" s="519"/>
      <c r="AQ223" s="519"/>
      <c r="AR223" s="519"/>
      <c r="AS223" s="519"/>
      <c r="AT223" s="519"/>
      <c r="AU223" s="519"/>
      <c r="AV223" s="519"/>
      <c r="AW223" s="519"/>
      <c r="AX223" s="519"/>
      <c r="AY223" s="519"/>
      <c r="AZ223" s="519"/>
      <c r="BA223" s="519"/>
      <c r="BB223" s="519"/>
      <c r="BC223" s="519"/>
      <c r="BD223" s="519"/>
      <c r="BE223" s="519"/>
      <c r="BF223" s="912"/>
      <c r="BG223" s="519"/>
      <c r="BH223" s="519"/>
    </row>
    <row r="224" spans="1:60" s="201" customFormat="1" hidden="1">
      <c r="A224" s="112"/>
      <c r="B224"/>
      <c r="C224" s="1243" t="s">
        <v>1103</v>
      </c>
      <c r="D224" s="1242"/>
      <c r="E224" s="1244"/>
      <c r="F224" s="1229"/>
      <c r="G224" s="206"/>
      <c r="H224" s="206"/>
      <c r="I224" s="1230"/>
      <c r="J224" s="1499"/>
      <c r="K224" s="912"/>
      <c r="L224" s="519"/>
      <c r="M224" s="519"/>
      <c r="N224" s="519"/>
      <c r="O224" s="519"/>
      <c r="P224" s="519"/>
      <c r="Q224" s="519"/>
      <c r="R224" s="519"/>
      <c r="S224" s="519"/>
      <c r="T224" s="519"/>
      <c r="U224" s="519"/>
      <c r="V224" s="519"/>
      <c r="W224" s="519"/>
      <c r="X224" s="519"/>
      <c r="Y224" s="519"/>
      <c r="Z224" s="519"/>
      <c r="AA224" s="519"/>
      <c r="AB224" s="519"/>
      <c r="AC224" s="519"/>
      <c r="AD224" s="519"/>
      <c r="AE224" s="519"/>
      <c r="AF224" s="519"/>
      <c r="AG224" s="519"/>
      <c r="AH224" s="519"/>
      <c r="AI224" s="519"/>
      <c r="AJ224" s="519"/>
      <c r="AK224" s="519"/>
      <c r="AL224" s="519"/>
      <c r="AM224" s="519"/>
      <c r="AN224" s="519"/>
      <c r="AO224" s="519"/>
      <c r="AP224" s="519"/>
      <c r="AQ224" s="519"/>
      <c r="AR224" s="519"/>
      <c r="AS224" s="519"/>
      <c r="AT224" s="519"/>
      <c r="AU224" s="519"/>
      <c r="AV224" s="519"/>
      <c r="AW224" s="519"/>
      <c r="AX224" s="519"/>
      <c r="AY224" s="519"/>
      <c r="AZ224" s="519"/>
      <c r="BA224" s="519"/>
      <c r="BB224" s="519"/>
      <c r="BC224" s="519"/>
      <c r="BD224" s="519"/>
      <c r="BE224" s="519"/>
      <c r="BF224" s="912"/>
      <c r="BG224" s="519"/>
      <c r="BH224" s="519"/>
    </row>
    <row r="225" spans="1:60" s="201" customFormat="1">
      <c r="A225" s="112"/>
      <c r="B225"/>
      <c r="C225" s="1239" t="s">
        <v>144</v>
      </c>
      <c r="D225" s="1245">
        <f>$I$42</f>
        <v>34443</v>
      </c>
      <c r="E225" s="1245">
        <f>E232-SUM(E226:E231)</f>
        <v>24110.2</v>
      </c>
      <c r="F225" s="1229"/>
      <c r="G225" s="206"/>
      <c r="H225" s="206"/>
      <c r="I225" s="1230"/>
      <c r="J225" s="1499"/>
      <c r="K225" s="912"/>
      <c r="L225" s="519"/>
      <c r="M225" s="519"/>
      <c r="N225" s="519"/>
      <c r="O225" s="519"/>
      <c r="P225" s="519"/>
      <c r="Q225" s="519"/>
      <c r="R225" s="519"/>
      <c r="S225" s="519"/>
      <c r="T225" s="519"/>
      <c r="U225" s="519"/>
      <c r="V225" s="519"/>
      <c r="W225" s="519"/>
      <c r="X225" s="519"/>
      <c r="Y225" s="519"/>
      <c r="Z225" s="519"/>
      <c r="AA225" s="519"/>
      <c r="AB225" s="519"/>
      <c r="AC225" s="519"/>
      <c r="AD225" s="519"/>
      <c r="AE225" s="519"/>
      <c r="AF225" s="519"/>
      <c r="AG225" s="519"/>
      <c r="AH225" s="519"/>
      <c r="AI225" s="519"/>
      <c r="AJ225" s="519"/>
      <c r="AK225" s="519"/>
      <c r="AL225" s="519"/>
      <c r="AM225" s="519"/>
      <c r="AN225" s="519"/>
      <c r="AO225" s="519"/>
      <c r="AP225" s="519"/>
      <c r="AQ225" s="519"/>
      <c r="AR225" s="519"/>
      <c r="AS225" s="519"/>
      <c r="AT225" s="519"/>
      <c r="AU225" s="519"/>
      <c r="AV225" s="519"/>
      <c r="AW225" s="519"/>
      <c r="AX225" s="519"/>
      <c r="AY225" s="519"/>
      <c r="AZ225" s="519"/>
      <c r="BA225" s="519"/>
      <c r="BB225" s="519"/>
      <c r="BC225" s="519"/>
      <c r="BD225" s="519"/>
      <c r="BE225" s="519"/>
      <c r="BF225" s="912"/>
      <c r="BG225" s="519"/>
      <c r="BH225" s="519"/>
    </row>
    <row r="226" spans="1:60" s="201" customFormat="1">
      <c r="A226" s="112"/>
      <c r="B226"/>
      <c r="C226" s="1239" t="s">
        <v>109</v>
      </c>
      <c r="D226" s="1245">
        <f>$I$60</f>
        <v>750</v>
      </c>
      <c r="E226" s="1245">
        <f>IF($E$232=0,0, D226)</f>
        <v>750</v>
      </c>
      <c r="F226" s="1229"/>
      <c r="G226" s="206"/>
      <c r="H226" s="206"/>
      <c r="I226" s="1230"/>
      <c r="J226" s="1499"/>
      <c r="K226" s="912"/>
      <c r="L226" s="519"/>
      <c r="M226" s="519"/>
      <c r="N226" s="519"/>
      <c r="O226" s="519"/>
      <c r="P226" s="519"/>
      <c r="Q226" s="519"/>
      <c r="R226" s="519"/>
      <c r="S226" s="519"/>
      <c r="T226" s="519"/>
      <c r="U226" s="519"/>
      <c r="V226" s="519"/>
      <c r="W226" s="519"/>
      <c r="X226" s="519"/>
      <c r="Y226" s="519"/>
      <c r="Z226" s="519"/>
      <c r="AA226" s="519"/>
      <c r="AB226" s="519"/>
      <c r="AC226" s="519"/>
      <c r="AD226" s="519"/>
      <c r="AE226" s="519"/>
      <c r="AF226" s="519"/>
      <c r="AG226" s="519"/>
      <c r="AH226" s="519"/>
      <c r="AI226" s="519"/>
      <c r="AJ226" s="519"/>
      <c r="AK226" s="519"/>
      <c r="AL226" s="519"/>
      <c r="AM226" s="519"/>
      <c r="AN226" s="519"/>
      <c r="AO226" s="519"/>
      <c r="AP226" s="519"/>
      <c r="AQ226" s="519"/>
      <c r="AR226" s="519"/>
      <c r="AS226" s="519"/>
      <c r="AT226" s="519"/>
      <c r="AU226" s="519"/>
      <c r="AV226" s="519"/>
      <c r="AW226" s="519"/>
      <c r="AX226" s="519"/>
      <c r="AY226" s="519"/>
      <c r="AZ226" s="519"/>
      <c r="BA226" s="519"/>
      <c r="BB226" s="519"/>
      <c r="BC226" s="519"/>
      <c r="BD226" s="519"/>
      <c r="BE226" s="519"/>
      <c r="BF226" s="912"/>
      <c r="BG226" s="519"/>
      <c r="BH226" s="519"/>
    </row>
    <row r="227" spans="1:60" s="201" customFormat="1">
      <c r="A227" s="112"/>
      <c r="B227"/>
      <c r="C227" s="1239" t="s">
        <v>315</v>
      </c>
      <c r="D227" s="1245">
        <f>$I$85</f>
        <v>5511</v>
      </c>
      <c r="E227" s="1245">
        <f>IF($E$232=0,0, D227)</f>
        <v>5511</v>
      </c>
      <c r="F227" s="1229"/>
      <c r="G227" s="206"/>
      <c r="H227" s="206"/>
      <c r="I227" s="1230"/>
      <c r="J227" s="1499"/>
      <c r="K227" s="912"/>
      <c r="L227" s="519"/>
      <c r="M227" s="519"/>
      <c r="N227" s="519"/>
      <c r="O227" s="519"/>
      <c r="P227" s="519"/>
      <c r="Q227" s="519"/>
      <c r="R227" s="519"/>
      <c r="S227" s="519"/>
      <c r="T227" s="519"/>
      <c r="U227" s="519"/>
      <c r="V227" s="519"/>
      <c r="W227" s="519"/>
      <c r="X227" s="519"/>
      <c r="Y227" s="519"/>
      <c r="Z227" s="519"/>
      <c r="AA227" s="519"/>
      <c r="AB227" s="519"/>
      <c r="AC227" s="519"/>
      <c r="AD227" s="519"/>
      <c r="AE227" s="519"/>
      <c r="AF227" s="519"/>
      <c r="AG227" s="519"/>
      <c r="AH227" s="519"/>
      <c r="AI227" s="519"/>
      <c r="AJ227" s="519"/>
      <c r="AK227" s="519"/>
      <c r="AL227" s="519"/>
      <c r="AM227" s="519"/>
      <c r="AN227" s="519"/>
      <c r="AO227" s="519"/>
      <c r="AP227" s="519"/>
      <c r="AQ227" s="519"/>
      <c r="AR227" s="519"/>
      <c r="AS227" s="519"/>
      <c r="AT227" s="519"/>
      <c r="AU227" s="519"/>
      <c r="AV227" s="519"/>
      <c r="AW227" s="519"/>
      <c r="AX227" s="519"/>
      <c r="AY227" s="519"/>
      <c r="AZ227" s="519"/>
      <c r="BA227" s="519"/>
      <c r="BB227" s="519"/>
      <c r="BC227" s="519"/>
      <c r="BD227" s="519"/>
      <c r="BE227" s="519"/>
      <c r="BF227" s="912"/>
      <c r="BG227" s="519"/>
      <c r="BH227" s="519"/>
    </row>
    <row r="228" spans="1:60" s="201" customFormat="1">
      <c r="A228" s="112"/>
      <c r="B228"/>
      <c r="C228" s="1239" t="s">
        <v>137</v>
      </c>
      <c r="D228" s="1245">
        <f>$I$118</f>
        <v>2019</v>
      </c>
      <c r="E228" s="1245">
        <f>IF($E$232=0,0, D228)</f>
        <v>2019</v>
      </c>
      <c r="F228" s="1229"/>
      <c r="G228" s="206"/>
      <c r="H228" s="206"/>
      <c r="I228" s="1230"/>
      <c r="J228" s="1499"/>
      <c r="K228" s="912"/>
      <c r="L228" s="519"/>
      <c r="M228" s="519"/>
      <c r="N228" s="519"/>
      <c r="O228" s="519"/>
      <c r="P228" s="519"/>
      <c r="Q228" s="519"/>
      <c r="R228" s="519"/>
      <c r="S228" s="519"/>
      <c r="T228" s="519"/>
      <c r="U228" s="519"/>
      <c r="V228" s="519"/>
      <c r="W228" s="519"/>
      <c r="X228" s="519"/>
      <c r="Y228" s="519"/>
      <c r="Z228" s="519"/>
      <c r="AA228" s="519"/>
      <c r="AB228" s="519"/>
      <c r="AC228" s="519"/>
      <c r="AD228" s="519"/>
      <c r="AE228" s="519"/>
      <c r="AF228" s="519"/>
      <c r="AG228" s="519"/>
      <c r="AH228" s="519"/>
      <c r="AI228" s="519"/>
      <c r="AJ228" s="519"/>
      <c r="AK228" s="519"/>
      <c r="AL228" s="519"/>
      <c r="AM228" s="519"/>
      <c r="AN228" s="519"/>
      <c r="AO228" s="519"/>
      <c r="AP228" s="519"/>
      <c r="AQ228" s="519"/>
      <c r="AR228" s="519"/>
      <c r="AS228" s="519"/>
      <c r="AT228" s="519"/>
      <c r="AU228" s="519"/>
      <c r="AV228" s="519"/>
      <c r="AW228" s="519"/>
      <c r="AX228" s="519"/>
      <c r="AY228" s="519"/>
      <c r="AZ228" s="519"/>
      <c r="BA228" s="519"/>
      <c r="BB228" s="519"/>
      <c r="BC228" s="519"/>
      <c r="BD228" s="519"/>
      <c r="BE228" s="519"/>
      <c r="BF228" s="912"/>
      <c r="BG228" s="519"/>
      <c r="BH228" s="519"/>
    </row>
    <row r="229" spans="1:60" s="201" customFormat="1">
      <c r="A229" s="112"/>
      <c r="B229"/>
      <c r="C229" s="1239" t="s">
        <v>44</v>
      </c>
      <c r="D229" s="1245">
        <f>$I$137</f>
        <v>0</v>
      </c>
      <c r="E229" s="1245">
        <f>IF($E$232=0,0, D229)</f>
        <v>0</v>
      </c>
      <c r="F229" s="1229"/>
      <c r="G229" s="206"/>
      <c r="H229" s="206"/>
      <c r="I229" s="1230"/>
      <c r="J229" s="1499"/>
      <c r="K229" s="912"/>
      <c r="L229" s="519"/>
      <c r="M229" s="519"/>
      <c r="N229" s="519"/>
      <c r="O229" s="519"/>
      <c r="P229" s="519"/>
      <c r="Q229" s="519"/>
      <c r="R229" s="519"/>
      <c r="S229" s="519"/>
      <c r="T229" s="519"/>
      <c r="U229" s="519"/>
      <c r="V229" s="519"/>
      <c r="W229" s="519"/>
      <c r="X229" s="519"/>
      <c r="Y229" s="519"/>
      <c r="Z229" s="519"/>
      <c r="AA229" s="519"/>
      <c r="AB229" s="519"/>
      <c r="AC229" s="519"/>
      <c r="AD229" s="519"/>
      <c r="AE229" s="519"/>
      <c r="AF229" s="519"/>
      <c r="AG229" s="519"/>
      <c r="AH229" s="519"/>
      <c r="AI229" s="519"/>
      <c r="AJ229" s="519"/>
      <c r="AK229" s="519"/>
      <c r="AL229" s="519"/>
      <c r="AM229" s="519"/>
      <c r="AN229" s="519"/>
      <c r="AO229" s="519"/>
      <c r="AP229" s="519"/>
      <c r="AQ229" s="519"/>
      <c r="AR229" s="519"/>
      <c r="AS229" s="519"/>
      <c r="AT229" s="519"/>
      <c r="AU229" s="519"/>
      <c r="AV229" s="519"/>
      <c r="AW229" s="519"/>
      <c r="AX229" s="519"/>
      <c r="AY229" s="519"/>
      <c r="AZ229" s="519"/>
      <c r="BA229" s="519"/>
      <c r="BB229" s="519"/>
      <c r="BC229" s="519"/>
      <c r="BD229" s="519"/>
      <c r="BE229" s="519"/>
      <c r="BF229" s="912"/>
      <c r="BG229" s="519"/>
      <c r="BH229" s="519"/>
    </row>
    <row r="230" spans="1:60" s="201" customFormat="1">
      <c r="A230" s="112"/>
      <c r="B230"/>
      <c r="C230" s="1239" t="s">
        <v>40</v>
      </c>
      <c r="D230" s="1245">
        <f>$I$169</f>
        <v>1135.8</v>
      </c>
      <c r="E230" s="1245">
        <f>IF($E$232=0,0, D230)</f>
        <v>1135.8</v>
      </c>
      <c r="F230" s="1001"/>
      <c r="G230" s="206"/>
      <c r="H230" s="206"/>
      <c r="I230" s="1230"/>
      <c r="J230" s="1499"/>
      <c r="K230" s="912"/>
      <c r="L230" s="519"/>
      <c r="M230" s="519"/>
      <c r="N230" s="519"/>
      <c r="O230" s="519"/>
      <c r="P230" s="519"/>
      <c r="Q230" s="519"/>
      <c r="R230" s="519"/>
      <c r="S230" s="519"/>
      <c r="T230" s="519"/>
      <c r="U230" s="519"/>
      <c r="V230" s="519"/>
      <c r="W230" s="519"/>
      <c r="X230" s="519"/>
      <c r="Y230" s="519"/>
      <c r="Z230" s="519"/>
      <c r="AA230" s="519"/>
      <c r="AB230" s="519"/>
      <c r="AC230" s="519"/>
      <c r="AD230" s="519"/>
      <c r="AE230" s="519"/>
      <c r="AF230" s="519"/>
      <c r="AG230" s="519"/>
      <c r="AH230" s="519"/>
      <c r="AI230" s="519"/>
      <c r="AJ230" s="519"/>
      <c r="AK230" s="519"/>
      <c r="AL230" s="519"/>
      <c r="AM230" s="519"/>
      <c r="AN230" s="519"/>
      <c r="AO230" s="519"/>
      <c r="AP230" s="519"/>
      <c r="AQ230" s="519"/>
      <c r="AR230" s="519"/>
      <c r="AS230" s="519"/>
      <c r="AT230" s="519"/>
      <c r="AU230" s="519"/>
      <c r="AV230" s="519"/>
      <c r="AW230" s="519"/>
      <c r="AX230" s="519"/>
      <c r="AY230" s="519"/>
      <c r="AZ230" s="519"/>
      <c r="BA230" s="519"/>
      <c r="BB230" s="519"/>
      <c r="BC230" s="519"/>
      <c r="BD230" s="519"/>
      <c r="BE230" s="519"/>
      <c r="BF230" s="912"/>
      <c r="BG230" s="519"/>
      <c r="BH230" s="519"/>
    </row>
    <row r="231" spans="1:60" s="201" customFormat="1">
      <c r="A231" s="112"/>
      <c r="B231"/>
      <c r="C231" s="1239" t="s">
        <v>1367</v>
      </c>
      <c r="D231" s="1245">
        <f>$I$189</f>
        <v>0</v>
      </c>
      <c r="E231" s="1245">
        <f>D231</f>
        <v>0</v>
      </c>
      <c r="F231" s="1001"/>
      <c r="G231" s="206"/>
      <c r="H231" s="206"/>
      <c r="I231" s="1230"/>
      <c r="J231" s="1499"/>
      <c r="K231" s="912"/>
      <c r="L231" s="519"/>
      <c r="M231" s="519"/>
      <c r="N231" s="519"/>
      <c r="O231" s="519"/>
      <c r="P231" s="519"/>
      <c r="Q231" s="519"/>
      <c r="R231" s="519"/>
      <c r="S231" s="519"/>
      <c r="T231" s="519"/>
      <c r="U231" s="519"/>
      <c r="V231" s="519"/>
      <c r="W231" s="519"/>
      <c r="X231" s="519"/>
      <c r="Y231" s="519"/>
      <c r="Z231" s="519"/>
      <c r="AA231" s="519"/>
      <c r="AB231" s="519"/>
      <c r="AC231" s="519"/>
      <c r="AD231" s="519"/>
      <c r="AE231" s="519"/>
      <c r="AF231" s="519"/>
      <c r="AG231" s="519"/>
      <c r="AH231" s="519"/>
      <c r="AI231" s="519"/>
      <c r="AJ231" s="519"/>
      <c r="AK231" s="519"/>
      <c r="AL231" s="519"/>
      <c r="AM231" s="519"/>
      <c r="AN231" s="519"/>
      <c r="AO231" s="519"/>
      <c r="AP231" s="519"/>
      <c r="AQ231" s="519"/>
      <c r="AR231" s="519"/>
      <c r="AS231" s="519"/>
      <c r="AT231" s="519"/>
      <c r="AU231" s="519"/>
      <c r="AV231" s="519"/>
      <c r="AW231" s="519"/>
      <c r="AX231" s="519"/>
      <c r="AY231" s="519"/>
      <c r="AZ231" s="519"/>
      <c r="BA231" s="519"/>
      <c r="BB231" s="519"/>
      <c r="BC231" s="519"/>
      <c r="BD231" s="519"/>
      <c r="BE231" s="519"/>
      <c r="BF231" s="912"/>
      <c r="BG231" s="519"/>
      <c r="BH231" s="519"/>
    </row>
    <row r="232" spans="1:60" s="201" customFormat="1" ht="13.5" thickBot="1">
      <c r="A232" s="112"/>
      <c r="B232"/>
      <c r="C232" s="1246" t="s">
        <v>74</v>
      </c>
      <c r="D232" s="1247">
        <f>SUM(D225:D231)</f>
        <v>43858.8</v>
      </c>
      <c r="E232" s="1247">
        <f>IF(I215&lt;0,"",I215)</f>
        <v>33526</v>
      </c>
      <c r="F232" s="1001"/>
      <c r="G232" s="206"/>
      <c r="H232" s="206"/>
      <c r="I232" s="1230"/>
      <c r="J232" s="1499"/>
      <c r="K232" s="912"/>
      <c r="L232" s="519"/>
      <c r="M232" s="519"/>
      <c r="N232" s="519"/>
      <c r="O232" s="519"/>
      <c r="P232" s="519"/>
      <c r="Q232" s="519"/>
      <c r="R232" s="519"/>
      <c r="S232" s="519"/>
      <c r="T232" s="519"/>
      <c r="U232" s="519"/>
      <c r="V232" s="519"/>
      <c r="W232" s="519"/>
      <c r="X232" s="519"/>
      <c r="Y232" s="519"/>
      <c r="Z232" s="519"/>
      <c r="AA232" s="519"/>
      <c r="AB232" s="519"/>
      <c r="AC232" s="519"/>
      <c r="AD232" s="519"/>
      <c r="AE232" s="519"/>
      <c r="AF232" s="519"/>
      <c r="AG232" s="519"/>
      <c r="AH232" s="519"/>
      <c r="AI232" s="519"/>
      <c r="AJ232" s="519"/>
      <c r="AK232" s="519"/>
      <c r="AL232" s="519"/>
      <c r="AM232" s="519"/>
      <c r="AN232" s="519"/>
      <c r="AO232" s="519"/>
      <c r="AP232" s="519"/>
      <c r="AQ232" s="519"/>
      <c r="AR232" s="519"/>
      <c r="AS232" s="519"/>
      <c r="AT232" s="519"/>
      <c r="AU232" s="519"/>
      <c r="AV232" s="519"/>
      <c r="AW232" s="519"/>
      <c r="AX232" s="519"/>
      <c r="AY232" s="519"/>
      <c r="AZ232" s="519"/>
      <c r="BA232" s="519"/>
      <c r="BB232" s="519"/>
      <c r="BC232" s="519"/>
      <c r="BD232" s="519"/>
      <c r="BE232" s="519"/>
      <c r="BF232" s="912"/>
      <c r="BG232" s="519"/>
      <c r="BH232" s="519"/>
    </row>
    <row r="233" spans="1:60" s="201" customFormat="1" ht="13.5" thickTop="1">
      <c r="A233" s="112"/>
      <c r="B233"/>
      <c r="C233" s="967"/>
      <c r="D233" s="445"/>
      <c r="E233" s="1004"/>
      <c r="F233" s="1001"/>
      <c r="G233" s="120"/>
      <c r="H233" s="120"/>
      <c r="I233" s="121"/>
      <c r="J233" s="1499"/>
      <c r="K233" s="912"/>
      <c r="L233" s="519"/>
      <c r="M233" s="519"/>
      <c r="N233" s="519"/>
      <c r="O233" s="519"/>
      <c r="P233" s="519"/>
      <c r="Q233" s="519"/>
      <c r="R233" s="519"/>
      <c r="S233" s="519"/>
      <c r="T233" s="519"/>
      <c r="U233" s="519"/>
      <c r="V233" s="519"/>
      <c r="W233" s="519"/>
      <c r="X233" s="519"/>
      <c r="Y233" s="519"/>
      <c r="Z233" s="519"/>
      <c r="AA233" s="519"/>
      <c r="AB233" s="519"/>
      <c r="AC233" s="519"/>
      <c r="AD233" s="519"/>
      <c r="AE233" s="519"/>
      <c r="AF233" s="519"/>
      <c r="AG233" s="519"/>
      <c r="AH233" s="519"/>
      <c r="AI233" s="519"/>
      <c r="AJ233" s="519"/>
      <c r="AK233" s="519"/>
      <c r="AL233" s="519"/>
      <c r="AM233" s="519"/>
      <c r="AN233" s="519"/>
      <c r="AO233" s="519"/>
      <c r="AP233" s="519"/>
      <c r="AQ233" s="519"/>
      <c r="AR233" s="519"/>
      <c r="AS233" s="519"/>
      <c r="AT233" s="519"/>
      <c r="AU233" s="519"/>
      <c r="AV233" s="519"/>
      <c r="AW233" s="519"/>
      <c r="AX233" s="519"/>
      <c r="AY233" s="519"/>
      <c r="AZ233" s="519"/>
      <c r="BA233" s="519"/>
      <c r="BB233" s="519"/>
      <c r="BC233" s="519"/>
      <c r="BD233" s="519"/>
      <c r="BE233" s="519"/>
      <c r="BF233" s="912"/>
      <c r="BG233" s="519"/>
      <c r="BH233" s="519"/>
    </row>
    <row r="234" spans="1:60" s="201" customFormat="1">
      <c r="A234" s="112"/>
      <c r="B234"/>
      <c r="C234" s="967"/>
      <c r="D234" s="445"/>
      <c r="E234" s="1004"/>
      <c r="F234" s="1001"/>
      <c r="G234" s="120"/>
      <c r="H234" s="120"/>
      <c r="I234" s="121"/>
      <c r="J234" s="1499"/>
      <c r="K234" s="912"/>
      <c r="L234" s="519"/>
      <c r="M234" s="519"/>
      <c r="N234" s="519"/>
      <c r="O234" s="519"/>
      <c r="P234" s="519"/>
      <c r="Q234" s="519"/>
      <c r="R234" s="519"/>
      <c r="S234" s="519"/>
      <c r="T234" s="519"/>
      <c r="U234" s="519"/>
      <c r="V234" s="519"/>
      <c r="W234" s="519"/>
      <c r="X234" s="519"/>
      <c r="Y234" s="519"/>
      <c r="Z234" s="519"/>
      <c r="AA234" s="519"/>
      <c r="AB234" s="519"/>
      <c r="AC234" s="519"/>
      <c r="AD234" s="519"/>
      <c r="AE234" s="519"/>
      <c r="AF234" s="519"/>
      <c r="AG234" s="519"/>
      <c r="AH234" s="519"/>
      <c r="AI234" s="519"/>
      <c r="AJ234" s="519"/>
      <c r="AK234" s="519"/>
      <c r="AL234" s="519"/>
      <c r="AM234" s="519"/>
      <c r="AN234" s="519"/>
      <c r="AO234" s="519"/>
      <c r="AP234" s="519"/>
      <c r="AQ234" s="519"/>
      <c r="AR234" s="519"/>
      <c r="AS234" s="519"/>
      <c r="AT234" s="519"/>
      <c r="AU234" s="519"/>
      <c r="AV234" s="519"/>
      <c r="AW234" s="519"/>
      <c r="AX234" s="519"/>
      <c r="AY234" s="519"/>
      <c r="AZ234" s="519"/>
      <c r="BA234" s="519"/>
      <c r="BB234" s="519"/>
      <c r="BC234" s="519"/>
      <c r="BD234" s="519"/>
      <c r="BE234" s="519"/>
      <c r="BF234" s="912"/>
      <c r="BG234" s="519"/>
      <c r="BH234" s="519"/>
    </row>
    <row r="235" spans="1:60" s="201" customFormat="1">
      <c r="A235" s="112"/>
      <c r="B235"/>
      <c r="C235" s="967"/>
      <c r="D235" s="445"/>
      <c r="E235" s="1004"/>
      <c r="F235" s="1001"/>
      <c r="G235" s="120"/>
      <c r="H235" s="120"/>
      <c r="I235" s="121"/>
      <c r="J235" s="1499"/>
      <c r="K235" s="912"/>
      <c r="L235" s="519"/>
      <c r="M235" s="519"/>
      <c r="N235" s="519"/>
      <c r="O235" s="519"/>
      <c r="P235" s="519"/>
      <c r="Q235" s="519"/>
      <c r="R235" s="519"/>
      <c r="S235" s="519"/>
      <c r="T235" s="519"/>
      <c r="U235" s="519"/>
      <c r="V235" s="519"/>
      <c r="W235" s="519"/>
      <c r="X235" s="519"/>
      <c r="Y235" s="519"/>
      <c r="Z235" s="519"/>
      <c r="AA235" s="519"/>
      <c r="AB235" s="519"/>
      <c r="AC235" s="519"/>
      <c r="AD235" s="519"/>
      <c r="AE235" s="519"/>
      <c r="AF235" s="519"/>
      <c r="AG235" s="519"/>
      <c r="AH235" s="519"/>
      <c r="AI235" s="519"/>
      <c r="AJ235" s="519"/>
      <c r="AK235" s="519"/>
      <c r="AL235" s="519"/>
      <c r="AM235" s="519"/>
      <c r="AN235" s="519"/>
      <c r="AO235" s="519"/>
      <c r="AP235" s="519"/>
      <c r="AQ235" s="519"/>
      <c r="AR235" s="519"/>
      <c r="AS235" s="519"/>
      <c r="AT235" s="519"/>
      <c r="AU235" s="519"/>
      <c r="AV235" s="519"/>
      <c r="AW235" s="519"/>
      <c r="AX235" s="519"/>
      <c r="AY235" s="519"/>
      <c r="AZ235" s="519"/>
      <c r="BA235" s="519"/>
      <c r="BB235" s="519"/>
      <c r="BC235" s="519"/>
      <c r="BD235" s="519"/>
      <c r="BE235" s="519"/>
      <c r="BF235" s="912"/>
      <c r="BG235" s="519"/>
      <c r="BH235" s="519"/>
    </row>
    <row r="236" spans="1:60" s="201" customFormat="1">
      <c r="A236" s="112"/>
      <c r="B236"/>
      <c r="C236" s="967"/>
      <c r="D236" s="445"/>
      <c r="E236" s="1004"/>
      <c r="F236" s="1001"/>
      <c r="G236" s="120"/>
      <c r="H236" s="120"/>
      <c r="I236" s="121"/>
      <c r="J236" s="1499"/>
      <c r="K236" s="912"/>
      <c r="L236" s="519"/>
      <c r="M236" s="519"/>
      <c r="N236" s="519"/>
      <c r="O236" s="519"/>
      <c r="P236" s="519"/>
      <c r="Q236" s="519"/>
      <c r="R236" s="519"/>
      <c r="S236" s="519"/>
      <c r="T236" s="519"/>
      <c r="U236" s="519"/>
      <c r="V236" s="519"/>
      <c r="W236" s="519"/>
      <c r="X236" s="519"/>
      <c r="Y236" s="519"/>
      <c r="Z236" s="519"/>
      <c r="AA236" s="519"/>
      <c r="AB236" s="519"/>
      <c r="AC236" s="519"/>
      <c r="AD236" s="519"/>
      <c r="AE236" s="519"/>
      <c r="AF236" s="519"/>
      <c r="AG236" s="519"/>
      <c r="AH236" s="519"/>
      <c r="AI236" s="519"/>
      <c r="AJ236" s="519"/>
      <c r="AK236" s="519"/>
      <c r="AL236" s="519"/>
      <c r="AM236" s="519"/>
      <c r="AN236" s="519"/>
      <c r="AO236" s="519"/>
      <c r="AP236" s="519"/>
      <c r="AQ236" s="519"/>
      <c r="AR236" s="519"/>
      <c r="AS236" s="519"/>
      <c r="AT236" s="519"/>
      <c r="AU236" s="519"/>
      <c r="AV236" s="519"/>
      <c r="AW236" s="519"/>
      <c r="AX236" s="519"/>
      <c r="AY236" s="519"/>
      <c r="AZ236" s="519"/>
      <c r="BA236" s="519"/>
      <c r="BB236" s="519"/>
      <c r="BC236" s="519"/>
      <c r="BD236" s="519"/>
      <c r="BE236" s="519"/>
      <c r="BF236" s="912"/>
      <c r="BG236" s="519"/>
      <c r="BH236" s="519"/>
    </row>
    <row r="237" spans="1:60" s="201" customFormat="1" hidden="1">
      <c r="A237" s="112"/>
      <c r="B237"/>
      <c r="C237" s="967"/>
      <c r="D237" s="445"/>
      <c r="E237" s="1004"/>
      <c r="F237" s="1001"/>
      <c r="G237" s="120"/>
      <c r="H237" s="120"/>
      <c r="I237" s="121"/>
      <c r="J237" s="1499"/>
      <c r="K237" s="912"/>
      <c r="L237" s="519"/>
      <c r="M237" s="519"/>
      <c r="N237" s="519"/>
      <c r="O237" s="519"/>
      <c r="P237" s="519"/>
      <c r="Q237" s="519"/>
      <c r="R237" s="519"/>
      <c r="S237" s="519"/>
      <c r="T237" s="519"/>
      <c r="U237" s="519"/>
      <c r="V237" s="519"/>
      <c r="W237" s="519"/>
      <c r="X237" s="519"/>
      <c r="Y237" s="519"/>
      <c r="Z237" s="519"/>
      <c r="AA237" s="519"/>
      <c r="AB237" s="519"/>
      <c r="AC237" s="519"/>
      <c r="AD237" s="519"/>
      <c r="AE237" s="519"/>
      <c r="AF237" s="519"/>
      <c r="AG237" s="519"/>
      <c r="AH237" s="519"/>
      <c r="AI237" s="519"/>
      <c r="AJ237" s="519"/>
      <c r="AK237" s="519"/>
      <c r="AL237" s="519"/>
      <c r="AM237" s="519"/>
      <c r="AN237" s="519"/>
      <c r="AO237" s="519"/>
      <c r="AP237" s="519"/>
      <c r="AQ237" s="519"/>
      <c r="AR237" s="519"/>
      <c r="AS237" s="519"/>
      <c r="AT237" s="519"/>
      <c r="AU237" s="519"/>
      <c r="AV237" s="519"/>
      <c r="AW237" s="519"/>
      <c r="AX237" s="519"/>
      <c r="AY237" s="519"/>
      <c r="AZ237" s="519"/>
      <c r="BA237" s="519"/>
      <c r="BB237" s="519"/>
      <c r="BC237" s="519"/>
      <c r="BD237" s="519"/>
      <c r="BE237" s="519"/>
      <c r="BF237" s="912"/>
      <c r="BG237" s="519"/>
      <c r="BH237" s="519"/>
    </row>
    <row r="238" spans="1:60" s="201" customFormat="1" hidden="1">
      <c r="A238" s="112"/>
      <c r="B238"/>
      <c r="C238" s="967"/>
      <c r="D238" s="445"/>
      <c r="E238" s="1004"/>
      <c r="F238" s="1001"/>
      <c r="G238" s="120"/>
      <c r="H238" s="120"/>
      <c r="I238" s="121"/>
      <c r="J238" s="1499"/>
      <c r="K238" s="912"/>
      <c r="L238" s="519"/>
      <c r="M238" s="519"/>
      <c r="N238" s="519"/>
      <c r="O238" s="519"/>
      <c r="P238" s="519"/>
      <c r="Q238" s="519"/>
      <c r="R238" s="519"/>
      <c r="S238" s="519"/>
      <c r="T238" s="519"/>
      <c r="U238" s="519"/>
      <c r="V238" s="519"/>
      <c r="W238" s="519"/>
      <c r="X238" s="519"/>
      <c r="Y238" s="519"/>
      <c r="Z238" s="519"/>
      <c r="AA238" s="519"/>
      <c r="AB238" s="519"/>
      <c r="AC238" s="519"/>
      <c r="AD238" s="519"/>
      <c r="AE238" s="519"/>
      <c r="AF238" s="519"/>
      <c r="AG238" s="519"/>
      <c r="AH238" s="519"/>
      <c r="AI238" s="519"/>
      <c r="AJ238" s="519"/>
      <c r="AK238" s="519"/>
      <c r="AL238" s="519"/>
      <c r="AM238" s="519"/>
      <c r="AN238" s="519"/>
      <c r="AO238" s="519"/>
      <c r="AP238" s="519"/>
      <c r="AQ238" s="519"/>
      <c r="AR238" s="519"/>
      <c r="AS238" s="519"/>
      <c r="AT238" s="519"/>
      <c r="AU238" s="519"/>
      <c r="AV238" s="519"/>
      <c r="AW238" s="519"/>
      <c r="AX238" s="519"/>
      <c r="AY238" s="519"/>
      <c r="AZ238" s="519"/>
      <c r="BA238" s="519"/>
      <c r="BB238" s="519"/>
      <c r="BC238" s="519"/>
      <c r="BD238" s="519"/>
      <c r="BE238" s="519"/>
      <c r="BF238" s="912"/>
      <c r="BG238" s="519"/>
      <c r="BH238" s="519"/>
    </row>
    <row r="239" spans="1:60" s="201" customFormat="1" hidden="1">
      <c r="A239" s="112"/>
      <c r="B239"/>
      <c r="C239" s="967"/>
      <c r="D239" s="445"/>
      <c r="E239" s="1344" t="s">
        <v>1446</v>
      </c>
      <c r="F239" s="1001" t="s">
        <v>1390</v>
      </c>
      <c r="G239" s="120"/>
      <c r="H239" s="120"/>
      <c r="I239" s="121"/>
      <c r="J239" s="1499"/>
      <c r="K239" s="912"/>
      <c r="L239" s="519"/>
      <c r="M239" s="519"/>
      <c r="N239" s="519"/>
      <c r="O239" s="519"/>
      <c r="P239" s="519"/>
      <c r="Q239" s="519"/>
      <c r="R239" s="519"/>
      <c r="S239" s="519"/>
      <c r="T239" s="519"/>
      <c r="U239" s="519"/>
      <c r="V239" s="519"/>
      <c r="W239" s="519"/>
      <c r="X239" s="519"/>
      <c r="Y239" s="519"/>
      <c r="Z239" s="519"/>
      <c r="AA239" s="519"/>
      <c r="AB239" s="519"/>
      <c r="AC239" s="519"/>
      <c r="AD239" s="519"/>
      <c r="AE239" s="519"/>
      <c r="AF239" s="519"/>
      <c r="AG239" s="519"/>
      <c r="AH239" s="519"/>
      <c r="AI239" s="519"/>
      <c r="AJ239" s="519"/>
      <c r="AK239" s="519"/>
      <c r="AL239" s="519"/>
      <c r="AM239" s="519"/>
      <c r="AN239" s="519"/>
      <c r="AO239" s="519"/>
      <c r="AP239" s="519"/>
      <c r="AQ239" s="519"/>
      <c r="AR239" s="519"/>
      <c r="AS239" s="519"/>
      <c r="AT239" s="519"/>
      <c r="AU239" s="519"/>
      <c r="AV239" s="519"/>
      <c r="AW239" s="519"/>
      <c r="AX239" s="519"/>
      <c r="AY239" s="519"/>
      <c r="AZ239" s="519"/>
      <c r="BA239" s="519"/>
      <c r="BB239" s="519"/>
      <c r="BC239" s="519"/>
      <c r="BD239" s="519"/>
      <c r="BE239" s="519"/>
      <c r="BF239" s="912"/>
      <c r="BG239" s="519"/>
      <c r="BH239" s="519"/>
    </row>
    <row r="240" spans="1:60" s="201" customFormat="1" hidden="1">
      <c r="A240" s="112"/>
      <c r="B240"/>
      <c r="C240" s="967" t="s">
        <v>310</v>
      </c>
      <c r="D240" s="445"/>
      <c r="E240" s="1004">
        <f t="shared" ref="E240:E248" si="108">SUMIF($U$17:$U$188,C240,$AB$17:$AB$188)</f>
        <v>0</v>
      </c>
      <c r="F240" s="1001">
        <f t="shared" ref="F240:F247" si="109">SUMIF($U$17:$U$188,C240,$Z$17:$Z$188)</f>
        <v>0</v>
      </c>
      <c r="G240" s="120"/>
      <c r="H240" s="120"/>
      <c r="I240" s="121"/>
      <c r="J240" s="1499"/>
      <c r="K240" s="912"/>
      <c r="L240" s="519"/>
      <c r="M240" s="519"/>
      <c r="N240" s="519"/>
      <c r="O240" s="519"/>
      <c r="P240" s="519"/>
      <c r="Q240" s="519"/>
      <c r="R240" s="519"/>
      <c r="S240" s="519"/>
      <c r="T240" s="519"/>
      <c r="U240" s="519"/>
      <c r="V240" s="519"/>
      <c r="W240" s="519"/>
      <c r="X240" s="519"/>
      <c r="Y240" s="519"/>
      <c r="Z240" s="519"/>
      <c r="AA240" s="519"/>
      <c r="AB240" s="519"/>
      <c r="AC240" s="519"/>
      <c r="AD240" s="519"/>
      <c r="AE240" s="519"/>
      <c r="AF240" s="519"/>
      <c r="AG240" s="519"/>
      <c r="AH240" s="519"/>
      <c r="AI240" s="519"/>
      <c r="AJ240" s="519"/>
      <c r="AK240" s="519"/>
      <c r="AL240" s="519"/>
      <c r="AM240" s="519"/>
      <c r="AN240" s="519"/>
      <c r="AO240" s="519"/>
      <c r="AP240" s="519"/>
      <c r="AQ240" s="519"/>
      <c r="AR240" s="519"/>
      <c r="AS240" s="519"/>
      <c r="AT240" s="519"/>
      <c r="AU240" s="519"/>
      <c r="AV240" s="519"/>
      <c r="AW240" s="519"/>
      <c r="AX240" s="519"/>
      <c r="AY240" s="519"/>
      <c r="AZ240" s="519"/>
      <c r="BA240" s="519"/>
      <c r="BB240" s="519"/>
      <c r="BC240" s="519"/>
      <c r="BD240" s="519"/>
      <c r="BE240" s="519"/>
      <c r="BF240" s="912"/>
      <c r="BG240" s="519"/>
      <c r="BH240" s="519"/>
    </row>
    <row r="241" spans="1:60" s="201" customFormat="1" hidden="1">
      <c r="A241" s="112"/>
      <c r="B241"/>
      <c r="C241" s="967" t="s">
        <v>769</v>
      </c>
      <c r="D241" s="445"/>
      <c r="E241" s="1004">
        <f t="shared" si="108"/>
        <v>540</v>
      </c>
      <c r="F241" s="1001">
        <f t="shared" si="109"/>
        <v>3</v>
      </c>
      <c r="G241" s="120"/>
      <c r="H241" s="120"/>
      <c r="I241" s="121"/>
      <c r="J241" s="1499"/>
      <c r="K241" s="912"/>
      <c r="L241" s="519"/>
      <c r="M241" s="519"/>
      <c r="N241" s="519"/>
      <c r="O241" s="519"/>
      <c r="P241" s="519"/>
      <c r="Q241" s="519"/>
      <c r="R241" s="519"/>
      <c r="S241" s="519"/>
      <c r="T241" s="519"/>
      <c r="U241" s="519"/>
      <c r="V241" s="519"/>
      <c r="W241" s="519"/>
      <c r="X241" s="519"/>
      <c r="Y241" s="519"/>
      <c r="Z241" s="519"/>
      <c r="AA241" s="519"/>
      <c r="AB241" s="519"/>
      <c r="AC241" s="519"/>
      <c r="AD241" s="519"/>
      <c r="AE241" s="519"/>
      <c r="AF241" s="519"/>
      <c r="AG241" s="519"/>
      <c r="AH241" s="519"/>
      <c r="AI241" s="519"/>
      <c r="AJ241" s="519"/>
      <c r="AK241" s="519"/>
      <c r="AL241" s="519"/>
      <c r="AM241" s="519"/>
      <c r="AN241" s="519"/>
      <c r="AO241" s="519"/>
      <c r="AP241" s="519"/>
      <c r="AQ241" s="519"/>
      <c r="AR241" s="519"/>
      <c r="AS241" s="519"/>
      <c r="AT241" s="519"/>
      <c r="AU241" s="519"/>
      <c r="AV241" s="519"/>
      <c r="AW241" s="519"/>
      <c r="AX241" s="519"/>
      <c r="AY241" s="519"/>
      <c r="AZ241" s="519"/>
      <c r="BA241" s="519"/>
      <c r="BB241" s="519"/>
      <c r="BC241" s="519"/>
      <c r="BD241" s="519"/>
      <c r="BE241" s="519"/>
      <c r="BF241" s="912"/>
      <c r="BG241" s="519"/>
      <c r="BH241" s="519"/>
    </row>
    <row r="242" spans="1:60" s="201" customFormat="1" hidden="1">
      <c r="A242" s="112"/>
      <c r="B242"/>
      <c r="C242" s="967" t="s">
        <v>1355</v>
      </c>
      <c r="D242" s="445"/>
      <c r="E242" s="1004">
        <f t="shared" si="108"/>
        <v>0</v>
      </c>
      <c r="F242" s="1001">
        <f t="shared" si="109"/>
        <v>0</v>
      </c>
      <c r="G242" s="120"/>
      <c r="H242" s="120"/>
      <c r="I242" s="121"/>
      <c r="J242" s="1499"/>
      <c r="K242" s="912"/>
      <c r="L242" s="519"/>
      <c r="M242" s="519"/>
      <c r="N242" s="519"/>
      <c r="O242" s="519"/>
      <c r="P242" s="519"/>
      <c r="Q242" s="519"/>
      <c r="R242" s="519"/>
      <c r="S242" s="519"/>
      <c r="T242" s="519"/>
      <c r="U242" s="519"/>
      <c r="V242" s="519"/>
      <c r="W242" s="519"/>
      <c r="X242" s="519"/>
      <c r="Y242" s="519"/>
      <c r="Z242" s="519"/>
      <c r="AA242" s="519"/>
      <c r="AB242" s="519"/>
      <c r="AC242" s="519"/>
      <c r="AD242" s="519"/>
      <c r="AE242" s="519"/>
      <c r="AF242" s="519"/>
      <c r="AG242" s="519"/>
      <c r="AH242" s="519"/>
      <c r="AI242" s="519"/>
      <c r="AJ242" s="519"/>
      <c r="AK242" s="519"/>
      <c r="AL242" s="519"/>
      <c r="AM242" s="519"/>
      <c r="AN242" s="519"/>
      <c r="AO242" s="519"/>
      <c r="AP242" s="519"/>
      <c r="AQ242" s="519"/>
      <c r="AR242" s="519"/>
      <c r="AS242" s="519"/>
      <c r="AT242" s="519"/>
      <c r="AU242" s="519"/>
      <c r="AV242" s="519"/>
      <c r="AW242" s="519"/>
      <c r="AX242" s="519"/>
      <c r="AY242" s="519"/>
      <c r="AZ242" s="519"/>
      <c r="BA242" s="519"/>
      <c r="BB242" s="519"/>
      <c r="BC242" s="519"/>
      <c r="BD242" s="519"/>
      <c r="BE242" s="519"/>
      <c r="BF242" s="912"/>
      <c r="BG242" s="519"/>
      <c r="BH242" s="519"/>
    </row>
    <row r="243" spans="1:60" s="201" customFormat="1" hidden="1">
      <c r="A243" s="112"/>
      <c r="B243"/>
      <c r="C243" s="967" t="s">
        <v>1431</v>
      </c>
      <c r="D243" s="445"/>
      <c r="E243" s="1004">
        <f t="shared" si="108"/>
        <v>0</v>
      </c>
      <c r="F243" s="1001">
        <f t="shared" si="109"/>
        <v>0</v>
      </c>
      <c r="G243" s="120"/>
      <c r="H243" s="120"/>
      <c r="I243" s="121"/>
      <c r="J243" s="1499"/>
      <c r="K243" s="912"/>
      <c r="L243" s="519"/>
      <c r="M243" s="519"/>
      <c r="N243" s="519"/>
      <c r="O243" s="519"/>
      <c r="P243" s="519"/>
      <c r="Q243" s="519"/>
      <c r="R243" s="519"/>
      <c r="S243" s="519"/>
      <c r="T243" s="519"/>
      <c r="U243" s="519"/>
      <c r="V243" s="519"/>
      <c r="W243" s="519"/>
      <c r="X243" s="519"/>
      <c r="Y243" s="519"/>
      <c r="Z243" s="519"/>
      <c r="AA243" s="519"/>
      <c r="AB243" s="519"/>
      <c r="AC243" s="519"/>
      <c r="AD243" s="519"/>
      <c r="AE243" s="519"/>
      <c r="AF243" s="519"/>
      <c r="AG243" s="519"/>
      <c r="AH243" s="519"/>
      <c r="AI243" s="519"/>
      <c r="AJ243" s="519"/>
      <c r="AK243" s="519"/>
      <c r="AL243" s="519"/>
      <c r="AM243" s="519"/>
      <c r="AN243" s="519"/>
      <c r="AO243" s="519"/>
      <c r="AP243" s="519"/>
      <c r="AQ243" s="519"/>
      <c r="AR243" s="519"/>
      <c r="AS243" s="519"/>
      <c r="AT243" s="519"/>
      <c r="AU243" s="519"/>
      <c r="AV243" s="519"/>
      <c r="AW243" s="519"/>
      <c r="AX243" s="519"/>
      <c r="AY243" s="519"/>
      <c r="AZ243" s="519"/>
      <c r="BA243" s="519"/>
      <c r="BB243" s="519"/>
      <c r="BC243" s="519"/>
      <c r="BD243" s="519"/>
      <c r="BE243" s="519"/>
      <c r="BF243" s="912"/>
      <c r="BG243" s="519"/>
      <c r="BH243" s="519"/>
    </row>
    <row r="244" spans="1:60" s="201" customFormat="1" hidden="1">
      <c r="A244" s="112"/>
      <c r="B244"/>
      <c r="C244" s="967" t="s">
        <v>1443</v>
      </c>
      <c r="D244" s="445"/>
      <c r="E244" s="1004">
        <f t="shared" si="108"/>
        <v>0</v>
      </c>
      <c r="F244" s="1001">
        <f t="shared" si="109"/>
        <v>0</v>
      </c>
      <c r="G244" s="120"/>
      <c r="H244" s="120"/>
      <c r="I244" s="121"/>
      <c r="J244" s="1499"/>
      <c r="K244" s="912"/>
      <c r="L244" s="519"/>
      <c r="M244" s="519"/>
      <c r="N244" s="519"/>
      <c r="O244" s="519"/>
      <c r="P244" s="519"/>
      <c r="Q244" s="519"/>
      <c r="R244" s="519"/>
      <c r="S244" s="519"/>
      <c r="T244" s="519"/>
      <c r="U244" s="519"/>
      <c r="V244" s="519"/>
      <c r="W244" s="519"/>
      <c r="X244" s="519"/>
      <c r="Y244" s="519"/>
      <c r="Z244" s="519"/>
      <c r="AA244" s="519"/>
      <c r="AB244" s="519"/>
      <c r="AC244" s="519"/>
      <c r="AD244" s="519"/>
      <c r="AE244" s="519"/>
      <c r="AF244" s="519"/>
      <c r="AG244" s="519"/>
      <c r="AH244" s="519"/>
      <c r="AI244" s="519"/>
      <c r="AJ244" s="519"/>
      <c r="AK244" s="519"/>
      <c r="AL244" s="519"/>
      <c r="AM244" s="519"/>
      <c r="AN244" s="519"/>
      <c r="AO244" s="519"/>
      <c r="AP244" s="519"/>
      <c r="AQ244" s="519"/>
      <c r="AR244" s="519"/>
      <c r="AS244" s="519"/>
      <c r="AT244" s="519"/>
      <c r="AU244" s="519"/>
      <c r="AV244" s="519"/>
      <c r="AW244" s="519"/>
      <c r="AX244" s="519"/>
      <c r="AY244" s="519"/>
      <c r="AZ244" s="519"/>
      <c r="BA244" s="519"/>
      <c r="BB244" s="519"/>
      <c r="BC244" s="519"/>
      <c r="BD244" s="519"/>
      <c r="BE244" s="519"/>
      <c r="BF244" s="912"/>
      <c r="BG244" s="519"/>
      <c r="BH244" s="519"/>
    </row>
    <row r="245" spans="1:60" s="201" customFormat="1" hidden="1">
      <c r="A245" s="112"/>
      <c r="B245"/>
      <c r="C245" s="967" t="s">
        <v>1440</v>
      </c>
      <c r="D245" s="445"/>
      <c r="E245" s="1004">
        <f t="shared" si="108"/>
        <v>0</v>
      </c>
      <c r="F245" s="1001">
        <f t="shared" si="109"/>
        <v>0</v>
      </c>
      <c r="G245" s="120"/>
      <c r="H245" s="120"/>
      <c r="I245" s="121"/>
      <c r="J245" s="1499"/>
      <c r="K245" s="912"/>
      <c r="L245" s="519"/>
      <c r="M245" s="519"/>
      <c r="N245" s="519"/>
      <c r="O245" s="519"/>
      <c r="P245" s="519"/>
      <c r="Q245" s="519"/>
      <c r="R245" s="519"/>
      <c r="S245" s="519"/>
      <c r="T245" s="519"/>
      <c r="U245" s="519"/>
      <c r="V245" s="519"/>
      <c r="W245" s="519"/>
      <c r="X245" s="519"/>
      <c r="Y245" s="519"/>
      <c r="Z245" s="519"/>
      <c r="AA245" s="519"/>
      <c r="AB245" s="519"/>
      <c r="AC245" s="519"/>
      <c r="AD245" s="519"/>
      <c r="AE245" s="519"/>
      <c r="AF245" s="519"/>
      <c r="AG245" s="519"/>
      <c r="AH245" s="519"/>
      <c r="AI245" s="519"/>
      <c r="AJ245" s="519"/>
      <c r="AK245" s="519"/>
      <c r="AL245" s="519"/>
      <c r="AM245" s="519"/>
      <c r="AN245" s="519"/>
      <c r="AO245" s="519"/>
      <c r="AP245" s="519"/>
      <c r="AQ245" s="519"/>
      <c r="AR245" s="519"/>
      <c r="AS245" s="519"/>
      <c r="AT245" s="519"/>
      <c r="AU245" s="519"/>
      <c r="AV245" s="519"/>
      <c r="AW245" s="519"/>
      <c r="AX245" s="519"/>
      <c r="AY245" s="519"/>
      <c r="AZ245" s="519"/>
      <c r="BA245" s="519"/>
      <c r="BB245" s="519"/>
      <c r="BC245" s="519"/>
      <c r="BD245" s="519"/>
      <c r="BE245" s="519"/>
      <c r="BF245" s="912"/>
      <c r="BG245" s="519"/>
      <c r="BH245" s="519"/>
    </row>
    <row r="246" spans="1:60" s="201" customFormat="1" hidden="1">
      <c r="A246" s="112"/>
      <c r="B246"/>
      <c r="C246" s="967" t="s">
        <v>1441</v>
      </c>
      <c r="D246" s="445"/>
      <c r="E246" s="1004">
        <f t="shared" si="108"/>
        <v>0</v>
      </c>
      <c r="F246" s="1001">
        <f t="shared" si="109"/>
        <v>0</v>
      </c>
      <c r="G246" s="120"/>
      <c r="H246" s="120"/>
      <c r="I246" s="121"/>
      <c r="J246" s="1499"/>
      <c r="K246" s="912"/>
      <c r="L246" s="519"/>
      <c r="M246" s="519"/>
      <c r="N246" s="519"/>
      <c r="O246" s="519"/>
      <c r="P246" s="519"/>
      <c r="Q246" s="519"/>
      <c r="R246" s="519"/>
      <c r="S246" s="519"/>
      <c r="T246" s="519"/>
      <c r="U246" s="519"/>
      <c r="V246" s="519"/>
      <c r="W246" s="519"/>
      <c r="X246" s="519"/>
      <c r="Y246" s="519"/>
      <c r="Z246" s="519"/>
      <c r="AA246" s="519"/>
      <c r="AB246" s="519"/>
      <c r="AC246" s="519"/>
      <c r="AD246" s="519"/>
      <c r="AE246" s="519"/>
      <c r="AF246" s="519"/>
      <c r="AG246" s="519"/>
      <c r="AH246" s="519"/>
      <c r="AI246" s="519"/>
      <c r="AJ246" s="519"/>
      <c r="AK246" s="519"/>
      <c r="AL246" s="519"/>
      <c r="AM246" s="519"/>
      <c r="AN246" s="519"/>
      <c r="AO246" s="519"/>
      <c r="AP246" s="519"/>
      <c r="AQ246" s="519"/>
      <c r="AR246" s="519"/>
      <c r="AS246" s="519"/>
      <c r="AT246" s="519"/>
      <c r="AU246" s="519"/>
      <c r="AV246" s="519"/>
      <c r="AW246" s="519"/>
      <c r="AX246" s="519"/>
      <c r="AY246" s="519"/>
      <c r="AZ246" s="519"/>
      <c r="BA246" s="519"/>
      <c r="BB246" s="519"/>
      <c r="BC246" s="519"/>
      <c r="BD246" s="519"/>
      <c r="BE246" s="519"/>
      <c r="BF246" s="912"/>
      <c r="BG246" s="519"/>
      <c r="BH246" s="519"/>
    </row>
    <row r="247" spans="1:60" s="201" customFormat="1" hidden="1">
      <c r="A247" s="112"/>
      <c r="B247"/>
      <c r="C247" s="967" t="s">
        <v>1442</v>
      </c>
      <c r="D247" s="445"/>
      <c r="E247" s="1004">
        <f t="shared" si="108"/>
        <v>0</v>
      </c>
      <c r="F247" s="1001">
        <f t="shared" si="109"/>
        <v>0</v>
      </c>
      <c r="G247" s="120"/>
      <c r="H247" s="120"/>
      <c r="I247" s="121"/>
      <c r="J247" s="1499"/>
      <c r="K247" s="912"/>
      <c r="L247" s="519"/>
      <c r="M247" s="519"/>
      <c r="N247" s="519"/>
      <c r="O247" s="519"/>
      <c r="P247" s="519"/>
      <c r="Q247" s="519"/>
      <c r="R247" s="519"/>
      <c r="S247" s="519"/>
      <c r="T247" s="519"/>
      <c r="U247" s="519"/>
      <c r="V247" s="519"/>
      <c r="W247" s="519"/>
      <c r="X247" s="519"/>
      <c r="Y247" s="519"/>
      <c r="Z247" s="519"/>
      <c r="AA247" s="519"/>
      <c r="AB247" s="519"/>
      <c r="AC247" s="519"/>
      <c r="AD247" s="519"/>
      <c r="AE247" s="519"/>
      <c r="AF247" s="519"/>
      <c r="AG247" s="519"/>
      <c r="AH247" s="519"/>
      <c r="AI247" s="519"/>
      <c r="AJ247" s="519"/>
      <c r="AK247" s="519"/>
      <c r="AL247" s="519"/>
      <c r="AM247" s="519"/>
      <c r="AN247" s="519"/>
      <c r="AO247" s="519"/>
      <c r="AP247" s="519"/>
      <c r="AQ247" s="519"/>
      <c r="AR247" s="519"/>
      <c r="AS247" s="519"/>
      <c r="AT247" s="519"/>
      <c r="AU247" s="519"/>
      <c r="AV247" s="519"/>
      <c r="AW247" s="519"/>
      <c r="AX247" s="519"/>
      <c r="AY247" s="519"/>
      <c r="AZ247" s="519"/>
      <c r="BA247" s="519"/>
      <c r="BB247" s="519"/>
      <c r="BC247" s="519"/>
      <c r="BD247" s="519"/>
      <c r="BE247" s="519"/>
      <c r="BF247" s="912"/>
      <c r="BG247" s="519"/>
      <c r="BH247" s="519"/>
    </row>
    <row r="248" spans="1:60" s="201" customFormat="1" hidden="1">
      <c r="A248" s="112"/>
      <c r="B248"/>
      <c r="C248" s="967" t="s">
        <v>1439</v>
      </c>
      <c r="D248" s="1228" t="s">
        <v>1444</v>
      </c>
      <c r="E248" s="1004">
        <f t="shared" si="108"/>
        <v>33525.9</v>
      </c>
      <c r="F248" s="1001">
        <f>SUM(G17,G19,G34)</f>
        <v>3</v>
      </c>
      <c r="G248" s="120"/>
      <c r="H248" s="120"/>
      <c r="I248" s="121"/>
      <c r="J248" s="1499"/>
      <c r="K248" s="912"/>
      <c r="L248" s="519"/>
      <c r="M248" s="519"/>
      <c r="N248" s="519"/>
      <c r="O248" s="519"/>
      <c r="P248" s="519"/>
      <c r="Q248" s="519"/>
      <c r="R248" s="519"/>
      <c r="S248" s="519"/>
      <c r="T248" s="519"/>
      <c r="U248" s="519"/>
      <c r="V248" s="519"/>
      <c r="W248" s="519"/>
      <c r="X248" s="519"/>
      <c r="Y248" s="519"/>
      <c r="Z248" s="519"/>
      <c r="AA248" s="519"/>
      <c r="AB248" s="519"/>
      <c r="AC248" s="519"/>
      <c r="AD248" s="519"/>
      <c r="AE248" s="519"/>
      <c r="AF248" s="519"/>
      <c r="AG248" s="519"/>
      <c r="AH248" s="519"/>
      <c r="AI248" s="519"/>
      <c r="AJ248" s="519"/>
      <c r="AK248" s="519"/>
      <c r="AL248" s="519"/>
      <c r="AM248" s="519"/>
      <c r="AN248" s="519"/>
      <c r="AO248" s="519"/>
      <c r="AP248" s="519"/>
      <c r="AQ248" s="519"/>
      <c r="AR248" s="519"/>
      <c r="AS248" s="519"/>
      <c r="AT248" s="519"/>
      <c r="AU248" s="519"/>
      <c r="AV248" s="519"/>
      <c r="AW248" s="519"/>
      <c r="AX248" s="519"/>
      <c r="AY248" s="519"/>
      <c r="AZ248" s="519"/>
      <c r="BA248" s="519"/>
      <c r="BB248" s="519"/>
      <c r="BC248" s="519"/>
      <c r="BD248" s="519"/>
      <c r="BE248" s="519"/>
      <c r="BF248" s="912"/>
      <c r="BG248" s="519"/>
      <c r="BH248" s="519"/>
    </row>
    <row r="249" spans="1:60" s="201" customFormat="1" hidden="1">
      <c r="A249" s="112"/>
      <c r="B249"/>
      <c r="C249" s="967"/>
      <c r="D249" s="445"/>
      <c r="E249" s="1004"/>
      <c r="F249" s="1001"/>
      <c r="G249" s="120"/>
      <c r="H249" s="120"/>
      <c r="I249" s="121"/>
      <c r="J249" s="1499"/>
      <c r="K249" s="912"/>
      <c r="L249" s="519"/>
      <c r="M249" s="519"/>
      <c r="N249" s="519"/>
      <c r="O249" s="519"/>
      <c r="P249" s="519"/>
      <c r="Q249" s="519"/>
      <c r="R249" s="519"/>
      <c r="S249" s="519"/>
      <c r="T249" s="519"/>
      <c r="U249" s="519"/>
      <c r="V249" s="519"/>
      <c r="W249" s="519"/>
      <c r="X249" s="519"/>
      <c r="Y249" s="519"/>
      <c r="Z249" s="519"/>
      <c r="AA249" s="519"/>
      <c r="AB249" s="519"/>
      <c r="AC249" s="519"/>
      <c r="AD249" s="519"/>
      <c r="AE249" s="519"/>
      <c r="AF249" s="519"/>
      <c r="AG249" s="519"/>
      <c r="AH249" s="519"/>
      <c r="AI249" s="519"/>
      <c r="AJ249" s="519"/>
      <c r="AK249" s="519"/>
      <c r="AL249" s="519"/>
      <c r="AM249" s="519"/>
      <c r="AN249" s="519"/>
      <c r="AO249" s="519"/>
      <c r="AP249" s="519"/>
      <c r="AQ249" s="519"/>
      <c r="AR249" s="519"/>
      <c r="AS249" s="519"/>
      <c r="AT249" s="519"/>
      <c r="AU249" s="519"/>
      <c r="AV249" s="519"/>
      <c r="AW249" s="519"/>
      <c r="AX249" s="519"/>
      <c r="AY249" s="519"/>
      <c r="AZ249" s="519"/>
      <c r="BA249" s="519"/>
      <c r="BB249" s="519"/>
      <c r="BC249" s="519"/>
      <c r="BD249" s="519"/>
      <c r="BE249" s="519"/>
      <c r="BF249" s="912"/>
      <c r="BG249" s="519"/>
      <c r="BH249" s="519"/>
    </row>
    <row r="250" spans="1:60" s="201" customFormat="1" hidden="1">
      <c r="A250" s="112"/>
      <c r="B250"/>
      <c r="C250" s="967" t="s">
        <v>1432</v>
      </c>
      <c r="D250" s="445"/>
      <c r="E250" s="1004">
        <f>E248*0.075</f>
        <v>2514.4425000000001</v>
      </c>
      <c r="F250" s="1001">
        <f>IF(E250&gt;0,1,0)</f>
        <v>1</v>
      </c>
      <c r="G250" s="120"/>
      <c r="H250" s="120"/>
      <c r="I250" s="121"/>
      <c r="J250" s="1499"/>
      <c r="K250" s="912"/>
      <c r="L250" s="519"/>
      <c r="M250" s="519"/>
      <c r="N250" s="519"/>
      <c r="O250" s="519"/>
      <c r="P250" s="519"/>
      <c r="Q250" s="519"/>
      <c r="R250" s="519"/>
      <c r="S250" s="519"/>
      <c r="T250" s="519"/>
      <c r="U250" s="519"/>
      <c r="V250" s="519"/>
      <c r="W250" s="519"/>
      <c r="X250" s="519"/>
      <c r="Y250" s="519"/>
      <c r="Z250" s="519"/>
      <c r="AA250" s="519"/>
      <c r="AB250" s="519"/>
      <c r="AC250" s="519"/>
      <c r="AD250" s="519"/>
      <c r="AE250" s="519"/>
      <c r="AF250" s="519"/>
      <c r="AG250" s="519"/>
      <c r="AH250" s="519"/>
      <c r="AI250" s="519"/>
      <c r="AJ250" s="519"/>
      <c r="AK250" s="519"/>
      <c r="AL250" s="519"/>
      <c r="AM250" s="519"/>
      <c r="AN250" s="519"/>
      <c r="AO250" s="519"/>
      <c r="AP250" s="519"/>
      <c r="AQ250" s="519"/>
      <c r="AR250" s="519"/>
      <c r="AS250" s="519"/>
      <c r="AT250" s="519"/>
      <c r="AU250" s="519"/>
      <c r="AV250" s="519"/>
      <c r="AW250" s="519"/>
      <c r="AX250" s="519"/>
      <c r="AY250" s="519"/>
      <c r="AZ250" s="519"/>
      <c r="BA250" s="519"/>
      <c r="BB250" s="519"/>
      <c r="BC250" s="519"/>
      <c r="BD250" s="519"/>
      <c r="BE250" s="519"/>
      <c r="BF250" s="912"/>
      <c r="BG250" s="519"/>
      <c r="BH250" s="519"/>
    </row>
    <row r="251" spans="1:60" s="201" customFormat="1" hidden="1">
      <c r="A251" s="112"/>
      <c r="B251"/>
      <c r="C251" s="967" t="s">
        <v>1445</v>
      </c>
      <c r="D251" s="445"/>
      <c r="E251" s="1004">
        <f>E248-E250-E241</f>
        <v>30471.4575</v>
      </c>
      <c r="F251" s="1359">
        <f>I215-E250-E247-E246-E245-E244-E243-E242-E241-E240</f>
        <v>30471.557499999999</v>
      </c>
      <c r="G251" s="120"/>
      <c r="H251" s="120"/>
      <c r="I251" s="121"/>
      <c r="J251" s="1499"/>
      <c r="K251" s="912"/>
      <c r="L251" s="519"/>
      <c r="M251" s="519"/>
      <c r="N251" s="519"/>
      <c r="O251" s="519"/>
      <c r="P251" s="519"/>
      <c r="Q251" s="519"/>
      <c r="R251" s="519"/>
      <c r="S251" s="519"/>
      <c r="T251" s="519"/>
      <c r="U251" s="519"/>
      <c r="V251" s="519"/>
      <c r="W251" s="519"/>
      <c r="X251" s="519"/>
      <c r="Y251" s="519"/>
      <c r="Z251" s="519"/>
      <c r="AA251" s="519"/>
      <c r="AB251" s="519"/>
      <c r="AC251" s="519"/>
      <c r="AD251" s="519"/>
      <c r="AE251" s="519"/>
      <c r="AF251" s="519"/>
      <c r="AG251" s="519"/>
      <c r="AH251" s="519"/>
      <c r="AI251" s="519"/>
      <c r="AJ251" s="519"/>
      <c r="AK251" s="519"/>
      <c r="AL251" s="519"/>
      <c r="AM251" s="519"/>
      <c r="AN251" s="519"/>
      <c r="AO251" s="519"/>
      <c r="AP251" s="519"/>
      <c r="AQ251" s="519"/>
      <c r="AR251" s="519"/>
      <c r="AS251" s="519"/>
      <c r="AT251" s="519"/>
      <c r="AU251" s="519"/>
      <c r="AV251" s="519"/>
      <c r="AW251" s="519"/>
      <c r="AX251" s="519"/>
      <c r="AY251" s="519"/>
      <c r="AZ251" s="519"/>
      <c r="BA251" s="519"/>
      <c r="BB251" s="519"/>
      <c r="BC251" s="519"/>
      <c r="BD251" s="519"/>
      <c r="BE251" s="519"/>
      <c r="BF251" s="912"/>
      <c r="BG251" s="519"/>
      <c r="BH251" s="519"/>
    </row>
    <row r="252" spans="1:60" s="201" customFormat="1" hidden="1">
      <c r="A252" s="112"/>
      <c r="B252"/>
      <c r="C252" s="967"/>
      <c r="D252" s="445"/>
      <c r="E252" s="1004">
        <f>E248-E250-E247-E246-E245-E244-E243-E242-E241-E240</f>
        <v>30471.4575</v>
      </c>
      <c r="F252" s="1001"/>
      <c r="G252" s="120"/>
      <c r="H252" s="120"/>
      <c r="I252" s="121"/>
      <c r="J252" s="1499"/>
      <c r="K252" s="912"/>
      <c r="L252" s="519"/>
      <c r="M252" s="519"/>
      <c r="N252" s="519"/>
      <c r="O252" s="519"/>
      <c r="P252" s="519"/>
      <c r="Q252" s="519"/>
      <c r="R252" s="519"/>
      <c r="S252" s="519"/>
      <c r="T252" s="519"/>
      <c r="U252" s="519"/>
      <c r="V252" s="519"/>
      <c r="W252" s="519"/>
      <c r="X252" s="519"/>
      <c r="Y252" s="519"/>
      <c r="Z252" s="519"/>
      <c r="AA252" s="519"/>
      <c r="AB252" s="519"/>
      <c r="AC252" s="519"/>
      <c r="AD252" s="519"/>
      <c r="AE252" s="519"/>
      <c r="AF252" s="519"/>
      <c r="AG252" s="519"/>
      <c r="AH252" s="519"/>
      <c r="AI252" s="519"/>
      <c r="AJ252" s="519"/>
      <c r="AK252" s="519"/>
      <c r="AL252" s="519"/>
      <c r="AM252" s="519"/>
      <c r="AN252" s="519"/>
      <c r="AO252" s="519"/>
      <c r="AP252" s="519"/>
      <c r="AQ252" s="519"/>
      <c r="AR252" s="519"/>
      <c r="AS252" s="519"/>
      <c r="AT252" s="519"/>
      <c r="AU252" s="519"/>
      <c r="AV252" s="519"/>
      <c r="AW252" s="519"/>
      <c r="AX252" s="519"/>
      <c r="AY252" s="519"/>
      <c r="AZ252" s="519"/>
      <c r="BA252" s="519"/>
      <c r="BB252" s="519"/>
      <c r="BC252" s="519"/>
      <c r="BD252" s="519"/>
      <c r="BE252" s="519"/>
      <c r="BF252" s="912"/>
      <c r="BG252" s="519"/>
      <c r="BH252" s="519"/>
    </row>
    <row r="253" spans="1:60" s="201" customFormat="1" hidden="1">
      <c r="A253" s="112"/>
      <c r="B253"/>
      <c r="C253" s="967"/>
      <c r="D253" s="445"/>
      <c r="E253" s="1004"/>
      <c r="F253" s="1001"/>
      <c r="G253" s="120"/>
      <c r="H253" s="120"/>
      <c r="I253" s="121"/>
      <c r="J253" s="1499"/>
      <c r="K253" s="912"/>
      <c r="L253" s="519"/>
      <c r="M253" s="519"/>
      <c r="N253" s="519"/>
      <c r="O253" s="519"/>
      <c r="P253" s="519"/>
      <c r="Q253" s="519"/>
      <c r="R253" s="519"/>
      <c r="S253" s="519"/>
      <c r="T253" s="519"/>
      <c r="U253" s="519"/>
      <c r="V253" s="519"/>
      <c r="W253" s="519"/>
      <c r="X253" s="519"/>
      <c r="Y253" s="519"/>
      <c r="Z253" s="519"/>
      <c r="AA253" s="519"/>
      <c r="AB253" s="519"/>
      <c r="AC253" s="519"/>
      <c r="AD253" s="519"/>
      <c r="AE253" s="519"/>
      <c r="AF253" s="519"/>
      <c r="AG253" s="519"/>
      <c r="AH253" s="519"/>
      <c r="AI253" s="519"/>
      <c r="AJ253" s="519"/>
      <c r="AK253" s="519"/>
      <c r="AL253" s="519"/>
      <c r="AM253" s="519"/>
      <c r="AN253" s="519"/>
      <c r="AO253" s="519"/>
      <c r="AP253" s="519"/>
      <c r="AQ253" s="519"/>
      <c r="AR253" s="519"/>
      <c r="AS253" s="519"/>
      <c r="AT253" s="519"/>
      <c r="AU253" s="519"/>
      <c r="AV253" s="519"/>
      <c r="AW253" s="519"/>
      <c r="AX253" s="519"/>
      <c r="AY253" s="519"/>
      <c r="AZ253" s="519"/>
      <c r="BA253" s="519"/>
      <c r="BB253" s="519"/>
      <c r="BC253" s="519"/>
      <c r="BD253" s="519"/>
      <c r="BE253" s="519"/>
      <c r="BF253" s="912"/>
      <c r="BG253" s="519"/>
      <c r="BH253" s="519"/>
    </row>
    <row r="254" spans="1:60" s="201" customFormat="1">
      <c r="A254" s="112"/>
      <c r="B254"/>
      <c r="C254" s="967"/>
      <c r="D254" s="445"/>
      <c r="E254" s="1004"/>
      <c r="F254" s="1001"/>
      <c r="G254" s="120"/>
      <c r="H254" s="120"/>
      <c r="I254" s="121"/>
      <c r="J254" s="1499"/>
      <c r="K254" s="912"/>
      <c r="L254" s="519"/>
      <c r="M254" s="519"/>
      <c r="N254" s="519"/>
      <c r="O254" s="519"/>
      <c r="P254" s="519"/>
      <c r="Q254" s="519"/>
      <c r="R254" s="519"/>
      <c r="S254" s="519"/>
      <c r="T254" s="519"/>
      <c r="U254" s="519"/>
      <c r="V254" s="519"/>
      <c r="W254" s="519"/>
      <c r="X254" s="519"/>
      <c r="Y254" s="519"/>
      <c r="Z254" s="519"/>
      <c r="AA254" s="519"/>
      <c r="AB254" s="519"/>
      <c r="AC254" s="519"/>
      <c r="AD254" s="519"/>
      <c r="AE254" s="519"/>
      <c r="AF254" s="519"/>
      <c r="AG254" s="519"/>
      <c r="AH254" s="519"/>
      <c r="AI254" s="519"/>
      <c r="AJ254" s="519"/>
      <c r="AK254" s="519"/>
      <c r="AL254" s="519"/>
      <c r="AM254" s="519"/>
      <c r="AN254" s="519"/>
      <c r="AO254" s="519"/>
      <c r="AP254" s="519"/>
      <c r="AQ254" s="519"/>
      <c r="AR254" s="519"/>
      <c r="AS254" s="519"/>
      <c r="AT254" s="519"/>
      <c r="AU254" s="519"/>
      <c r="AV254" s="519"/>
      <c r="AW254" s="519"/>
      <c r="AX254" s="519"/>
      <c r="AY254" s="519"/>
      <c r="AZ254" s="519"/>
      <c r="BA254" s="519"/>
      <c r="BB254" s="519"/>
      <c r="BC254" s="519"/>
      <c r="BD254" s="519"/>
      <c r="BE254" s="519"/>
      <c r="BF254" s="912"/>
      <c r="BG254" s="519"/>
      <c r="BH254" s="519"/>
    </row>
    <row r="255" spans="1:60" s="201" customFormat="1">
      <c r="A255" s="112"/>
      <c r="B255"/>
      <c r="C255" s="967"/>
      <c r="D255" s="445"/>
      <c r="E255" s="1004"/>
      <c r="F255" s="1001"/>
      <c r="G255" s="120"/>
      <c r="H255" s="120"/>
      <c r="I255" s="121"/>
      <c r="J255" s="1499"/>
      <c r="K255" s="912"/>
      <c r="L255" s="519"/>
      <c r="M255" s="519"/>
      <c r="N255" s="519"/>
      <c r="O255" s="519"/>
      <c r="P255" s="519"/>
      <c r="Q255" s="519"/>
      <c r="R255" s="519"/>
      <c r="S255" s="519"/>
      <c r="T255" s="519"/>
      <c r="U255" s="519"/>
      <c r="V255" s="519"/>
      <c r="W255" s="519"/>
      <c r="X255" s="519"/>
      <c r="Y255" s="519"/>
      <c r="Z255" s="519"/>
      <c r="AA255" s="519"/>
      <c r="AB255" s="519"/>
      <c r="AC255" s="519"/>
      <c r="AD255" s="519"/>
      <c r="AE255" s="519"/>
      <c r="AF255" s="519"/>
      <c r="AG255" s="519"/>
      <c r="AH255" s="519"/>
      <c r="AI255" s="519"/>
      <c r="AJ255" s="519"/>
      <c r="AK255" s="519"/>
      <c r="AL255" s="519"/>
      <c r="AM255" s="519"/>
      <c r="AN255" s="519"/>
      <c r="AO255" s="519"/>
      <c r="AP255" s="519"/>
      <c r="AQ255" s="519"/>
      <c r="AR255" s="519"/>
      <c r="AS255" s="519"/>
      <c r="AT255" s="519"/>
      <c r="AU255" s="519"/>
      <c r="AV255" s="519"/>
      <c r="AW255" s="519"/>
      <c r="AX255" s="519"/>
      <c r="AY255" s="519"/>
      <c r="AZ255" s="519"/>
      <c r="BA255" s="519"/>
      <c r="BB255" s="519"/>
      <c r="BC255" s="519"/>
      <c r="BD255" s="519"/>
      <c r="BE255" s="519"/>
      <c r="BF255" s="912"/>
      <c r="BG255" s="519"/>
      <c r="BH255" s="519"/>
    </row>
    <row r="256" spans="1:60" s="201" customFormat="1">
      <c r="A256" s="112"/>
      <c r="B256"/>
      <c r="C256" s="1"/>
      <c r="D256" s="1"/>
      <c r="E256" s="1"/>
      <c r="F256"/>
      <c r="G256" s="2"/>
      <c r="H256"/>
      <c r="I256"/>
      <c r="J256" s="1499"/>
      <c r="K256" s="912"/>
      <c r="L256" s="519"/>
      <c r="M256" s="519"/>
      <c r="N256" s="519"/>
      <c r="O256" s="519"/>
      <c r="P256" s="519"/>
      <c r="Q256" s="519"/>
      <c r="R256" s="519"/>
      <c r="S256" s="519"/>
      <c r="T256" s="519"/>
      <c r="U256" s="519"/>
      <c r="V256" s="519"/>
      <c r="W256" s="519"/>
      <c r="X256" s="519"/>
      <c r="Y256" s="519"/>
      <c r="Z256" s="519"/>
      <c r="AA256" s="519"/>
      <c r="AB256" s="519"/>
      <c r="AC256" s="519"/>
      <c r="AD256" s="519"/>
      <c r="AE256" s="519"/>
      <c r="AF256" s="519"/>
      <c r="AG256" s="519"/>
      <c r="AH256" s="519"/>
      <c r="AI256" s="519"/>
      <c r="AJ256" s="519"/>
      <c r="AK256" s="519"/>
      <c r="AL256" s="519"/>
      <c r="AM256" s="519"/>
      <c r="AN256" s="519"/>
      <c r="AO256" s="519"/>
      <c r="AP256" s="519"/>
      <c r="AQ256" s="519"/>
      <c r="AR256" s="519"/>
      <c r="AS256" s="519"/>
      <c r="AT256" s="519"/>
      <c r="AU256" s="519"/>
      <c r="AV256" s="519"/>
      <c r="AW256" s="519"/>
      <c r="AX256" s="519"/>
      <c r="AY256" s="519"/>
      <c r="AZ256" s="519"/>
      <c r="BA256" s="519"/>
      <c r="BB256" s="519"/>
      <c r="BC256" s="519"/>
      <c r="BD256" s="519"/>
      <c r="BE256" s="519"/>
      <c r="BF256" s="912"/>
      <c r="BG256" s="519"/>
      <c r="BH256" s="519"/>
    </row>
    <row r="257" spans="1:60" s="201" customFormat="1">
      <c r="A257" s="112"/>
      <c r="B257" s="112"/>
      <c r="C257" s="112"/>
      <c r="D257" s="112"/>
      <c r="E257" s="112"/>
      <c r="F257" s="112"/>
      <c r="G257" s="112"/>
      <c r="H257" s="112"/>
      <c r="I257" s="112"/>
      <c r="J257" s="912"/>
      <c r="K257" s="912"/>
      <c r="L257" s="519"/>
      <c r="M257" s="519"/>
      <c r="N257" s="519"/>
      <c r="O257" s="519"/>
      <c r="P257" s="519"/>
      <c r="Q257" s="519"/>
      <c r="R257" s="519"/>
      <c r="S257" s="519"/>
      <c r="T257" s="519"/>
      <c r="U257" s="519"/>
      <c r="V257" s="519"/>
      <c r="W257" s="519"/>
      <c r="X257" s="519"/>
      <c r="Y257" s="519"/>
      <c r="Z257" s="519"/>
      <c r="AA257" s="519"/>
      <c r="AB257" s="519"/>
      <c r="AC257" s="519"/>
      <c r="AD257" s="519"/>
      <c r="AE257" s="519"/>
      <c r="AF257" s="519"/>
      <c r="AG257" s="519"/>
      <c r="AH257" s="519"/>
      <c r="AI257" s="519"/>
      <c r="AJ257" s="519"/>
      <c r="AK257" s="519"/>
      <c r="AL257" s="519"/>
      <c r="AM257" s="519"/>
      <c r="AN257" s="519"/>
      <c r="AO257" s="519"/>
      <c r="AP257" s="519"/>
      <c r="AQ257" s="519"/>
      <c r="AR257" s="519"/>
      <c r="AS257" s="519"/>
      <c r="AT257" s="519"/>
      <c r="AU257" s="519"/>
      <c r="AV257" s="519"/>
      <c r="AW257" s="519"/>
      <c r="AX257" s="519"/>
      <c r="AY257" s="519"/>
      <c r="AZ257" s="519"/>
      <c r="BA257" s="519"/>
      <c r="BB257" s="519"/>
      <c r="BC257" s="519"/>
      <c r="BD257" s="519"/>
      <c r="BE257" s="519"/>
      <c r="BF257" s="912"/>
      <c r="BG257" s="519"/>
      <c r="BH257" s="519"/>
    </row>
    <row r="258" spans="1:60" s="201" customFormat="1">
      <c r="A258" s="112"/>
      <c r="B258" s="112"/>
      <c r="C258" s="112"/>
      <c r="D258" s="112"/>
      <c r="E258" s="112"/>
      <c r="F258" s="112"/>
      <c r="G258" s="112"/>
      <c r="H258" s="112"/>
      <c r="I258" s="112"/>
      <c r="J258" s="912"/>
      <c r="K258" s="912"/>
      <c r="L258" s="519"/>
      <c r="M258" s="519"/>
      <c r="N258" s="519"/>
      <c r="O258" s="519"/>
      <c r="P258" s="519"/>
      <c r="Q258" s="519"/>
      <c r="R258" s="519"/>
      <c r="S258" s="519"/>
      <c r="T258" s="519"/>
      <c r="U258" s="519"/>
      <c r="V258" s="519"/>
      <c r="W258" s="519"/>
      <c r="X258" s="519"/>
      <c r="Y258" s="519"/>
      <c r="Z258" s="519"/>
      <c r="AA258" s="519"/>
      <c r="AB258" s="519"/>
      <c r="AC258" s="519"/>
      <c r="AD258" s="519"/>
      <c r="AE258" s="519"/>
      <c r="AF258" s="519"/>
      <c r="AG258" s="519"/>
      <c r="AH258" s="519"/>
      <c r="AI258" s="519"/>
      <c r="AJ258" s="519"/>
      <c r="AK258" s="519"/>
      <c r="AL258" s="519"/>
      <c r="AM258" s="519"/>
      <c r="AN258" s="519"/>
      <c r="AO258" s="519"/>
      <c r="AP258" s="519"/>
      <c r="AQ258" s="519"/>
      <c r="AR258" s="519"/>
      <c r="AS258" s="519"/>
      <c r="AT258" s="519"/>
      <c r="AU258" s="519"/>
      <c r="AV258" s="519"/>
      <c r="AW258" s="519"/>
      <c r="AX258" s="519"/>
      <c r="AY258" s="519"/>
      <c r="AZ258" s="519"/>
      <c r="BA258" s="519"/>
      <c r="BB258" s="519"/>
      <c r="BC258" s="519"/>
      <c r="BD258" s="519"/>
      <c r="BE258" s="519"/>
      <c r="BF258" s="912"/>
      <c r="BG258" s="519"/>
      <c r="BH258" s="519"/>
    </row>
    <row r="259" spans="1:60" s="201" customFormat="1">
      <c r="A259" s="112"/>
      <c r="B259" s="112"/>
      <c r="C259" s="112"/>
      <c r="D259" s="112"/>
      <c r="E259" s="112"/>
      <c r="F259" s="112"/>
      <c r="G259" s="112"/>
      <c r="H259" s="112"/>
      <c r="I259" s="112"/>
      <c r="J259" s="912"/>
      <c r="K259" s="912"/>
      <c r="L259" s="519"/>
      <c r="M259" s="519"/>
      <c r="N259" s="519"/>
      <c r="O259" s="519"/>
      <c r="P259" s="519"/>
      <c r="Q259" s="519"/>
      <c r="R259" s="519"/>
      <c r="S259" s="519"/>
      <c r="T259" s="519"/>
      <c r="U259" s="519"/>
      <c r="V259" s="519"/>
      <c r="W259" s="519"/>
      <c r="X259" s="519"/>
      <c r="Y259" s="519"/>
      <c r="Z259" s="519"/>
      <c r="AA259" s="519"/>
      <c r="AB259" s="519"/>
      <c r="AC259" s="519"/>
      <c r="AD259" s="519"/>
      <c r="AE259" s="519"/>
      <c r="AF259" s="519"/>
      <c r="AG259" s="519"/>
      <c r="AH259" s="519"/>
      <c r="AI259" s="519"/>
      <c r="AJ259" s="519"/>
      <c r="AK259" s="519"/>
      <c r="AL259" s="519"/>
      <c r="AM259" s="519"/>
      <c r="AN259" s="519"/>
      <c r="AO259" s="519"/>
      <c r="AP259" s="519"/>
      <c r="AQ259" s="519"/>
      <c r="AR259" s="519"/>
      <c r="AS259" s="519"/>
      <c r="AT259" s="519"/>
      <c r="AU259" s="519"/>
      <c r="AV259" s="519"/>
      <c r="AW259" s="519"/>
      <c r="AX259" s="519"/>
      <c r="AY259" s="519"/>
      <c r="AZ259" s="519"/>
      <c r="BA259" s="519"/>
      <c r="BB259" s="519"/>
      <c r="BC259" s="519"/>
      <c r="BD259" s="519"/>
      <c r="BE259" s="519"/>
      <c r="BF259" s="912"/>
      <c r="BG259" s="519"/>
      <c r="BH259" s="519"/>
    </row>
    <row r="260" spans="1:60" s="201" customFormat="1">
      <c r="A260" s="112"/>
      <c r="B260" s="112"/>
      <c r="C260" s="112"/>
      <c r="D260" s="112"/>
      <c r="E260" s="112"/>
      <c r="F260" s="112"/>
      <c r="G260" s="112"/>
      <c r="H260" s="112"/>
      <c r="I260" s="112"/>
      <c r="J260" s="912"/>
      <c r="K260" s="912"/>
      <c r="L260" s="519"/>
      <c r="M260" s="519"/>
      <c r="N260" s="519"/>
      <c r="O260" s="519"/>
      <c r="P260" s="519"/>
      <c r="Q260" s="519"/>
      <c r="R260" s="519"/>
      <c r="S260" s="519"/>
      <c r="T260" s="519"/>
      <c r="U260" s="519"/>
      <c r="V260" s="519"/>
      <c r="W260" s="519"/>
      <c r="X260" s="519"/>
      <c r="Y260" s="519"/>
      <c r="Z260" s="519"/>
      <c r="AA260" s="519"/>
      <c r="AB260" s="519"/>
      <c r="AC260" s="519"/>
      <c r="AD260" s="519"/>
      <c r="AE260" s="519"/>
      <c r="AF260" s="519"/>
      <c r="AG260" s="519"/>
      <c r="AH260" s="519"/>
      <c r="AI260" s="519"/>
      <c r="AJ260" s="519"/>
      <c r="AK260" s="519"/>
      <c r="AL260" s="519"/>
      <c r="AM260" s="519"/>
      <c r="AN260" s="519"/>
      <c r="AO260" s="519"/>
      <c r="AP260" s="519"/>
      <c r="AQ260" s="519"/>
      <c r="AR260" s="519"/>
      <c r="AS260" s="519"/>
      <c r="AT260" s="519"/>
      <c r="AU260" s="519"/>
      <c r="AV260" s="519"/>
      <c r="AW260" s="519"/>
      <c r="AX260" s="519"/>
      <c r="AY260" s="519"/>
      <c r="AZ260" s="519"/>
      <c r="BA260" s="519"/>
      <c r="BB260" s="519"/>
      <c r="BC260" s="519"/>
      <c r="BD260" s="519"/>
      <c r="BE260" s="519"/>
      <c r="BF260" s="912"/>
      <c r="BG260" s="519"/>
      <c r="BH260" s="519"/>
    </row>
    <row r="261" spans="1:60" s="201" customFormat="1" hidden="1">
      <c r="A261" s="112"/>
      <c r="B261" s="112"/>
      <c r="C261" s="112"/>
      <c r="D261" s="112"/>
      <c r="E261" s="112"/>
      <c r="F261" s="112"/>
      <c r="G261" s="112"/>
      <c r="H261" s="112"/>
      <c r="I261" s="112"/>
      <c r="J261" s="912"/>
      <c r="K261" s="912"/>
      <c r="L261" s="519"/>
      <c r="M261" s="519"/>
      <c r="N261" s="519"/>
      <c r="O261" s="519"/>
      <c r="P261" s="519"/>
      <c r="Q261" s="519"/>
      <c r="R261" s="519"/>
      <c r="S261" s="519"/>
      <c r="T261" s="519"/>
      <c r="U261" s="519"/>
      <c r="V261" s="519"/>
      <c r="W261" s="519"/>
      <c r="X261" s="519"/>
      <c r="Y261" s="519"/>
      <c r="Z261" s="519"/>
      <c r="AA261" s="519"/>
      <c r="AB261" s="519"/>
      <c r="AC261" s="519"/>
      <c r="AD261" s="519"/>
      <c r="AE261" s="519"/>
      <c r="AF261" s="519"/>
      <c r="AG261" s="519"/>
      <c r="AH261" s="519"/>
      <c r="AI261" s="519"/>
      <c r="AJ261" s="519"/>
      <c r="AK261" s="519"/>
      <c r="AL261" s="519"/>
      <c r="AM261" s="519"/>
      <c r="AN261" s="519"/>
      <c r="AO261" s="519"/>
      <c r="AP261" s="519"/>
      <c r="AQ261" s="519"/>
      <c r="AR261" s="519"/>
      <c r="AS261" s="519"/>
      <c r="AT261" s="519"/>
      <c r="AU261" s="519"/>
      <c r="AV261" s="519"/>
      <c r="AW261" s="519"/>
      <c r="AX261" s="519"/>
      <c r="AY261" s="519"/>
      <c r="AZ261" s="519"/>
      <c r="BA261" s="519"/>
      <c r="BB261" s="519"/>
      <c r="BC261" s="519"/>
      <c r="BD261" s="519"/>
      <c r="BE261" s="519"/>
      <c r="BF261" s="912"/>
      <c r="BG261" s="519"/>
      <c r="BH261" s="519"/>
    </row>
    <row r="262" spans="1:60" s="201" customFormat="1" hidden="1">
      <c r="A262" s="112"/>
      <c r="B262" s="112"/>
      <c r="C262" s="112"/>
      <c r="D262" s="112"/>
      <c r="E262" s="112"/>
      <c r="F262" s="112"/>
      <c r="G262" s="112"/>
      <c r="H262" s="112"/>
      <c r="I262" s="112"/>
      <c r="J262" s="912"/>
      <c r="K262" s="912"/>
      <c r="L262" s="519"/>
      <c r="M262" s="519"/>
      <c r="N262" s="519"/>
      <c r="O262" s="519"/>
      <c r="P262" s="519"/>
      <c r="Q262" s="519"/>
      <c r="R262" s="519"/>
      <c r="S262" s="519"/>
      <c r="T262" s="519"/>
      <c r="U262" s="519"/>
      <c r="V262" s="519"/>
      <c r="W262" s="519"/>
      <c r="X262" s="519"/>
      <c r="Y262" s="519"/>
      <c r="Z262" s="519"/>
      <c r="AA262" s="519"/>
      <c r="AB262" s="519"/>
      <c r="AC262" s="519"/>
      <c r="AD262" s="519"/>
      <c r="AE262" s="519"/>
      <c r="AF262" s="519"/>
      <c r="AG262" s="519"/>
      <c r="AH262" s="519"/>
      <c r="AI262" s="519"/>
      <c r="AJ262" s="519"/>
      <c r="AK262" s="519"/>
      <c r="AL262" s="519"/>
      <c r="AM262" s="519"/>
      <c r="AN262" s="519"/>
      <c r="AO262" s="519"/>
      <c r="AP262" s="519"/>
      <c r="AQ262" s="519"/>
      <c r="AR262" s="519"/>
      <c r="AS262" s="519"/>
      <c r="AT262" s="519"/>
      <c r="AU262" s="519"/>
      <c r="AV262" s="519"/>
      <c r="AW262" s="519"/>
      <c r="AX262" s="519"/>
      <c r="AY262" s="519"/>
      <c r="AZ262" s="519"/>
      <c r="BA262" s="519"/>
      <c r="BB262" s="519"/>
      <c r="BC262" s="519"/>
      <c r="BD262" s="519"/>
      <c r="BE262" s="519"/>
      <c r="BF262" s="912"/>
      <c r="BG262" s="519"/>
      <c r="BH262" s="519"/>
    </row>
    <row r="263" spans="1:60" s="201" customFormat="1" hidden="1">
      <c r="A263" s="112"/>
      <c r="B263" s="112"/>
      <c r="C263" s="112"/>
      <c r="D263" s="112"/>
      <c r="E263" s="112"/>
      <c r="F263" s="112"/>
      <c r="G263" s="112"/>
      <c r="H263" s="112"/>
      <c r="I263" s="112"/>
      <c r="J263" s="912"/>
      <c r="K263" s="912"/>
      <c r="L263" s="519"/>
      <c r="M263" s="519"/>
      <c r="N263" s="519"/>
      <c r="O263" s="519"/>
      <c r="P263" s="519"/>
      <c r="Q263" s="519"/>
      <c r="R263" s="519"/>
      <c r="S263" s="519"/>
      <c r="T263" s="519"/>
      <c r="U263" s="519"/>
      <c r="V263" s="519"/>
      <c r="W263" s="519"/>
      <c r="X263" s="519"/>
      <c r="Y263" s="519"/>
      <c r="Z263" s="519"/>
      <c r="AA263" s="519"/>
      <c r="AB263" s="519"/>
      <c r="AC263" s="519"/>
      <c r="AD263" s="519"/>
      <c r="AE263" s="519"/>
      <c r="AF263" s="519"/>
      <c r="AG263" s="519"/>
      <c r="AH263" s="519"/>
      <c r="AI263" s="519"/>
      <c r="AJ263" s="519"/>
      <c r="AK263" s="519"/>
      <c r="AL263" s="519"/>
      <c r="AM263" s="519"/>
      <c r="AN263" s="519"/>
      <c r="AO263" s="519"/>
      <c r="AP263" s="519"/>
      <c r="AQ263" s="519"/>
      <c r="AR263" s="519"/>
      <c r="AS263" s="519"/>
      <c r="AT263" s="519"/>
      <c r="AU263" s="519"/>
      <c r="AV263" s="519"/>
      <c r="AW263" s="519"/>
      <c r="AX263" s="519"/>
      <c r="AY263" s="519"/>
      <c r="AZ263" s="519"/>
      <c r="BA263" s="519"/>
      <c r="BB263" s="519"/>
      <c r="BC263" s="519"/>
      <c r="BD263" s="519"/>
      <c r="BE263" s="519"/>
      <c r="BF263" s="912"/>
      <c r="BG263" s="519"/>
      <c r="BH263" s="519"/>
    </row>
    <row r="264" spans="1:60" s="201" customFormat="1" hidden="1">
      <c r="A264" s="112"/>
      <c r="B264" s="112"/>
      <c r="C264" s="112"/>
      <c r="D264" s="112"/>
      <c r="E264" s="112"/>
      <c r="F264" s="112"/>
      <c r="G264" s="112"/>
      <c r="H264" s="112"/>
      <c r="I264" s="112"/>
      <c r="J264" s="912"/>
      <c r="K264" s="912"/>
      <c r="L264" s="519"/>
      <c r="M264" s="519"/>
      <c r="N264" s="519"/>
      <c r="O264" s="519"/>
      <c r="P264" s="519"/>
      <c r="Q264" s="519"/>
      <c r="R264" s="519"/>
      <c r="S264" s="519"/>
      <c r="T264" s="519"/>
      <c r="U264" s="519"/>
      <c r="V264" s="519"/>
      <c r="W264" s="519"/>
      <c r="X264" s="519"/>
      <c r="Y264" s="519"/>
      <c r="Z264" s="519"/>
      <c r="AA264" s="519"/>
      <c r="AB264" s="519"/>
      <c r="AC264" s="519"/>
      <c r="AD264" s="519"/>
      <c r="AE264" s="519"/>
      <c r="AF264" s="519"/>
      <c r="AG264" s="519"/>
      <c r="AH264" s="519"/>
      <c r="AI264" s="519"/>
      <c r="AJ264" s="519"/>
      <c r="AK264" s="519"/>
      <c r="AL264" s="519"/>
      <c r="AM264" s="519"/>
      <c r="AN264" s="519"/>
      <c r="AO264" s="519"/>
      <c r="AP264" s="519"/>
      <c r="AQ264" s="519"/>
      <c r="AR264" s="519"/>
      <c r="AS264" s="519"/>
      <c r="AT264" s="519"/>
      <c r="AU264" s="519"/>
      <c r="AV264" s="519"/>
      <c r="AW264" s="519"/>
      <c r="AX264" s="519"/>
      <c r="AY264" s="519"/>
      <c r="AZ264" s="519"/>
      <c r="BA264" s="519"/>
      <c r="BB264" s="519"/>
      <c r="BC264" s="519"/>
      <c r="BD264" s="519"/>
      <c r="BE264" s="519"/>
      <c r="BF264" s="912"/>
      <c r="BG264" s="519"/>
      <c r="BH264" s="519"/>
    </row>
    <row r="265" spans="1:60" s="201" customFormat="1" hidden="1">
      <c r="A265" s="112"/>
      <c r="B265" s="112"/>
      <c r="C265" s="112"/>
      <c r="D265" s="112"/>
      <c r="E265" s="112"/>
      <c r="F265" s="112"/>
      <c r="G265" s="112"/>
      <c r="H265" s="112"/>
      <c r="I265" s="112"/>
      <c r="J265" s="912"/>
      <c r="K265" s="912"/>
      <c r="L265" s="519"/>
      <c r="M265" s="519"/>
      <c r="N265" s="519"/>
      <c r="O265" s="519"/>
      <c r="P265" s="519"/>
      <c r="Q265" s="519"/>
      <c r="R265" s="519"/>
      <c r="S265" s="519"/>
      <c r="T265" s="519"/>
      <c r="U265" s="519"/>
      <c r="V265" s="519"/>
      <c r="W265" s="519"/>
      <c r="X265" s="519"/>
      <c r="Y265" s="519"/>
      <c r="Z265" s="519"/>
      <c r="AA265" s="519"/>
      <c r="AB265" s="519"/>
      <c r="AC265" s="519"/>
      <c r="AD265" s="519"/>
      <c r="AE265" s="519"/>
      <c r="AF265" s="519"/>
      <c r="AG265" s="519"/>
      <c r="AH265" s="519"/>
      <c r="AI265" s="519"/>
      <c r="AJ265" s="519"/>
      <c r="AK265" s="519"/>
      <c r="AL265" s="519"/>
      <c r="AM265" s="519"/>
      <c r="AN265" s="519"/>
      <c r="AO265" s="519"/>
      <c r="AP265" s="519"/>
      <c r="AQ265" s="519"/>
      <c r="AR265" s="519"/>
      <c r="AS265" s="519"/>
      <c r="AT265" s="519"/>
      <c r="AU265" s="519"/>
      <c r="AV265" s="519"/>
      <c r="AW265" s="519"/>
      <c r="AX265" s="519"/>
      <c r="AY265" s="519"/>
      <c r="AZ265" s="519"/>
      <c r="BA265" s="519"/>
      <c r="BB265" s="519"/>
      <c r="BC265" s="519"/>
      <c r="BD265" s="519"/>
      <c r="BE265" s="519"/>
      <c r="BF265" s="912"/>
      <c r="BG265" s="519"/>
      <c r="BH265" s="519"/>
    </row>
    <row r="266" spans="1:60" s="201" customFormat="1" hidden="1">
      <c r="A266" s="112"/>
      <c r="B266" s="112"/>
      <c r="C266" s="112"/>
      <c r="D266" s="112"/>
      <c r="E266" s="112"/>
      <c r="F266" s="112"/>
      <c r="G266" s="112"/>
      <c r="H266" s="112"/>
      <c r="I266" s="112"/>
      <c r="J266" s="912"/>
      <c r="K266" s="912"/>
      <c r="L266" s="519"/>
      <c r="M266" s="519"/>
      <c r="N266" s="519"/>
      <c r="O266" s="519"/>
      <c r="P266" s="519"/>
      <c r="Q266" s="519"/>
      <c r="R266" s="519"/>
      <c r="S266" s="519"/>
      <c r="T266" s="519"/>
      <c r="U266" s="519"/>
      <c r="V266" s="519"/>
      <c r="W266" s="519"/>
      <c r="X266" s="519"/>
      <c r="Y266" s="519"/>
      <c r="Z266" s="519"/>
      <c r="AA266" s="519"/>
      <c r="AB266" s="519"/>
      <c r="AC266" s="519"/>
      <c r="AD266" s="519"/>
      <c r="AE266" s="519"/>
      <c r="AF266" s="519"/>
      <c r="AG266" s="519"/>
      <c r="AH266" s="519"/>
      <c r="AI266" s="519"/>
      <c r="AJ266" s="519"/>
      <c r="AK266" s="519"/>
      <c r="AL266" s="519"/>
      <c r="AM266" s="519"/>
      <c r="AN266" s="519"/>
      <c r="AO266" s="519"/>
      <c r="AP266" s="519"/>
      <c r="AQ266" s="519"/>
      <c r="AR266" s="519"/>
      <c r="AS266" s="519"/>
      <c r="AT266" s="519"/>
      <c r="AU266" s="519"/>
      <c r="AV266" s="519"/>
      <c r="AW266" s="519"/>
      <c r="AX266" s="519"/>
      <c r="AY266" s="519"/>
      <c r="AZ266" s="519"/>
      <c r="BA266" s="519"/>
      <c r="BB266" s="519"/>
      <c r="BC266" s="519"/>
      <c r="BD266" s="519"/>
      <c r="BE266" s="519"/>
      <c r="BF266" s="912"/>
      <c r="BG266" s="519"/>
      <c r="BH266" s="519"/>
    </row>
    <row r="267" spans="1:60" s="201" customFormat="1" hidden="1">
      <c r="A267" s="112"/>
      <c r="B267" s="112"/>
      <c r="C267" s="112"/>
      <c r="D267" s="112"/>
      <c r="E267" s="112"/>
      <c r="F267" s="112"/>
      <c r="G267" s="112"/>
      <c r="H267" s="112"/>
      <c r="I267" s="112"/>
      <c r="J267" s="912"/>
      <c r="K267" s="912"/>
      <c r="L267" s="519"/>
      <c r="M267" s="519"/>
      <c r="N267" s="519"/>
      <c r="O267" s="519"/>
      <c r="P267" s="519"/>
      <c r="Q267" s="519"/>
      <c r="R267" s="519"/>
      <c r="S267" s="519"/>
      <c r="T267" s="519"/>
      <c r="U267" s="519"/>
      <c r="V267" s="519"/>
      <c r="W267" s="519"/>
      <c r="X267" s="519"/>
      <c r="Y267" s="519"/>
      <c r="Z267" s="519"/>
      <c r="AA267" s="519"/>
      <c r="AB267" s="519"/>
      <c r="AC267" s="519"/>
      <c r="AD267" s="519"/>
      <c r="AE267" s="519"/>
      <c r="AF267" s="519"/>
      <c r="AG267" s="519"/>
      <c r="AH267" s="519"/>
      <c r="AI267" s="519"/>
      <c r="AJ267" s="519"/>
      <c r="AK267" s="519"/>
      <c r="AL267" s="519"/>
      <c r="AM267" s="519"/>
      <c r="AN267" s="519"/>
      <c r="AO267" s="519"/>
      <c r="AP267" s="519"/>
      <c r="AQ267" s="519"/>
      <c r="AR267" s="519"/>
      <c r="AS267" s="519"/>
      <c r="AT267" s="519"/>
      <c r="AU267" s="519"/>
      <c r="AV267" s="519"/>
      <c r="AW267" s="519"/>
      <c r="AX267" s="519"/>
      <c r="AY267" s="519"/>
      <c r="AZ267" s="519"/>
      <c r="BA267" s="519"/>
      <c r="BB267" s="519"/>
      <c r="BC267" s="519"/>
      <c r="BD267" s="519"/>
      <c r="BE267" s="519"/>
      <c r="BF267" s="912"/>
      <c r="BG267" s="519"/>
      <c r="BH267" s="519"/>
    </row>
    <row r="268" spans="1:60" hidden="1">
      <c r="C268" s="112"/>
      <c r="D268" s="112"/>
      <c r="E268" s="112"/>
      <c r="G268" s="112"/>
    </row>
    <row r="269" spans="1:60" hidden="1">
      <c r="C269" s="112"/>
      <c r="D269" s="112"/>
      <c r="E269" s="112"/>
      <c r="G269" s="112"/>
    </row>
    <row r="270" spans="1:60" hidden="1">
      <c r="C270" s="112"/>
      <c r="D270" s="112"/>
      <c r="E270" s="112"/>
      <c r="G270" s="112"/>
    </row>
    <row r="271" spans="1:60" hidden="1">
      <c r="C271" s="112"/>
      <c r="D271" s="112"/>
      <c r="E271" s="112"/>
      <c r="G271" s="112"/>
    </row>
    <row r="272" spans="1:60" hidden="1">
      <c r="C272" s="112"/>
      <c r="D272" s="112"/>
      <c r="E272" s="112"/>
      <c r="G272" s="112"/>
    </row>
    <row r="273" spans="2:11" hidden="1">
      <c r="C273" s="112"/>
      <c r="D273" s="112"/>
      <c r="E273" s="112"/>
      <c r="G273" s="112"/>
    </row>
    <row r="274" spans="2:11" hidden="1">
      <c r="C274" s="112"/>
      <c r="D274" s="112"/>
      <c r="E274" s="112"/>
      <c r="G274" s="112"/>
    </row>
    <row r="275" spans="2:11" hidden="1">
      <c r="C275" s="112"/>
      <c r="D275" s="112"/>
      <c r="E275" s="112"/>
      <c r="G275" s="112"/>
    </row>
    <row r="276" spans="2:11" hidden="1">
      <c r="C276" s="112"/>
      <c r="D276" s="112"/>
      <c r="E276" s="112"/>
      <c r="G276" s="112"/>
    </row>
    <row r="277" spans="2:11" hidden="1">
      <c r="C277" s="112"/>
      <c r="D277" s="112"/>
      <c r="E277" s="112"/>
      <c r="G277" s="112"/>
    </row>
    <row r="278" spans="2:11" hidden="1">
      <c r="C278" s="112"/>
      <c r="D278" s="112"/>
      <c r="E278" s="112"/>
      <c r="G278" s="112"/>
    </row>
    <row r="279" spans="2:11" hidden="1">
      <c r="C279" s="112"/>
      <c r="D279" s="112"/>
      <c r="E279" s="112"/>
      <c r="G279" s="112"/>
    </row>
    <row r="280" spans="2:11" hidden="1">
      <c r="B280" s="118"/>
      <c r="C280" s="118"/>
      <c r="D280" s="118"/>
      <c r="E280" s="118"/>
      <c r="F280" s="118"/>
      <c r="G280" s="118"/>
      <c r="H280" s="118"/>
      <c r="I280" s="118"/>
      <c r="J280" s="1499"/>
      <c r="K280" s="1499"/>
    </row>
    <row r="281" spans="2:11" hidden="1">
      <c r="B281" s="118"/>
      <c r="C281" s="118"/>
      <c r="D281" s="118"/>
      <c r="E281" s="118"/>
      <c r="F281" s="118"/>
      <c r="G281" s="118"/>
      <c r="H281" s="118"/>
      <c r="I281" s="118"/>
      <c r="J281" s="1499"/>
      <c r="K281" s="1499"/>
    </row>
    <row r="282" spans="2:11" hidden="1">
      <c r="B282" s="118"/>
      <c r="C282" s="1177">
        <v>8900</v>
      </c>
      <c r="D282" s="1176" t="str">
        <f>IF(G17&gt;=1,F17, "")</f>
        <v/>
      </c>
      <c r="E282" s="118"/>
      <c r="F282" s="1176" t="str">
        <f>IFERROR(VLOOKUP(D282,C288:D308,2,FALSE),"")</f>
        <v/>
      </c>
      <c r="G282" s="1179" t="str">
        <f>IF(G17=0,"", G17)</f>
        <v/>
      </c>
      <c r="H282" s="118" t="str">
        <f>IF(G282="","", G282&amp; " x "&amp;F282)</f>
        <v/>
      </c>
      <c r="I282" s="118"/>
      <c r="J282" s="1499"/>
      <c r="K282" s="1499"/>
    </row>
    <row r="283" spans="2:11" hidden="1">
      <c r="B283" s="118"/>
      <c r="C283" s="1178" t="s">
        <v>1380</v>
      </c>
      <c r="D283" s="1176" t="str">
        <f>IF(G34&gt;=1,F34,IF(G36&gt;-1,F36,""))</f>
        <v>8920c IP55 MIDI PLUS 2M+ (High Speed) - Yellow</v>
      </c>
      <c r="E283" s="118"/>
      <c r="F283" s="1176" t="str">
        <f>IFERROR(VLOOKUP(D283,C288:D308,2,FALSE),"")</f>
        <v>02010111</v>
      </c>
      <c r="G283" s="1179" t="str">
        <f>IF(G34=0,"", G34)</f>
        <v/>
      </c>
      <c r="H283" s="118" t="str">
        <f>IF(G283="","", G283&amp; " x "&amp;F283)</f>
        <v/>
      </c>
      <c r="I283" s="118"/>
      <c r="J283" s="1499"/>
      <c r="K283" s="1499"/>
    </row>
    <row r="284" spans="2:11" hidden="1">
      <c r="B284" s="118"/>
      <c r="C284" s="1178" t="s">
        <v>1336</v>
      </c>
      <c r="D284" s="1176" t="str">
        <f>IF(G19&gt;=1,F19,"")</f>
        <v>8910 IP55 MIDI 2M (High Speed) </v>
      </c>
      <c r="E284" s="118"/>
      <c r="F284" s="1176" t="str">
        <f>IFERROR(VLOOKUP(D284,C288:D308,2,FALSE),"")</f>
        <v>02030016</v>
      </c>
      <c r="G284" s="1179">
        <f>IF(G19=0,"", G19)</f>
        <v>3</v>
      </c>
      <c r="H284" s="118" t="str">
        <f>IF(G284="","", G284&amp; " x "&amp;F284)</f>
        <v>3 x 02030016</v>
      </c>
      <c r="I284" s="118"/>
      <c r="J284" s="1499"/>
      <c r="K284" s="1499"/>
    </row>
    <row r="285" spans="2:11" hidden="1">
      <c r="B285" s="118"/>
      <c r="C285" s="118"/>
      <c r="D285" s="118"/>
      <c r="E285" s="118"/>
      <c r="F285" s="118"/>
      <c r="G285" s="118"/>
      <c r="H285" s="1185" t="str">
        <f>IF(AND(H282="",H284="", H283=""),"",H282&amp;" &amp;"&amp;H284&amp;" &amp;"&amp;H283)</f>
        <v xml:space="preserve"> &amp;3 x 02030016 &amp;</v>
      </c>
      <c r="I285" s="118"/>
      <c r="J285" s="1499"/>
      <c r="K285" s="1499"/>
    </row>
    <row r="286" spans="2:11" hidden="1">
      <c r="B286" s="118"/>
      <c r="C286" s="118"/>
      <c r="D286" s="118"/>
      <c r="E286" s="118"/>
      <c r="F286" s="118"/>
      <c r="G286" s="118"/>
      <c r="H286" s="118"/>
      <c r="I286" s="118"/>
      <c r="J286" s="1499"/>
      <c r="K286" s="1499"/>
    </row>
    <row r="287" spans="2:11" hidden="1">
      <c r="B287" s="118"/>
      <c r="C287" s="169" t="s">
        <v>1326</v>
      </c>
      <c r="D287" s="1181" t="s">
        <v>1335</v>
      </c>
      <c r="E287" s="169" t="s">
        <v>1327</v>
      </c>
      <c r="F287" s="118" t="s">
        <v>1390</v>
      </c>
      <c r="G287" s="118" t="s">
        <v>1393</v>
      </c>
      <c r="H287" s="118"/>
      <c r="I287" s="118"/>
      <c r="J287" s="1499"/>
      <c r="K287" s="1499"/>
    </row>
    <row r="288" spans="2:11" hidden="1">
      <c r="B288" s="118"/>
      <c r="C288" s="1297" t="s">
        <v>587</v>
      </c>
      <c r="D288" s="1250" t="s">
        <v>568</v>
      </c>
      <c r="E288" s="1514" t="s">
        <v>569</v>
      </c>
      <c r="F288" s="1249"/>
      <c r="G288" s="118"/>
      <c r="H288" s="118"/>
      <c r="I288" s="118"/>
      <c r="J288" s="1499"/>
      <c r="K288" s="1499"/>
    </row>
    <row r="289" spans="2:11" hidden="1">
      <c r="B289" s="118"/>
      <c r="C289" s="1297" t="s">
        <v>316</v>
      </c>
      <c r="D289" s="1250" t="s">
        <v>568</v>
      </c>
      <c r="E289" s="1514" t="s">
        <v>569</v>
      </c>
      <c r="F289" s="1249"/>
      <c r="G289" s="118"/>
      <c r="H289" s="118"/>
      <c r="I289" s="118"/>
      <c r="J289" s="1499"/>
      <c r="K289" s="1499"/>
    </row>
    <row r="290" spans="2:11" hidden="1">
      <c r="B290" s="118"/>
      <c r="C290" s="1297" t="s">
        <v>1208</v>
      </c>
      <c r="D290" s="1250" t="s">
        <v>1328</v>
      </c>
      <c r="E290" s="1515" t="s">
        <v>1329</v>
      </c>
      <c r="F290" s="1250">
        <f t="shared" ref="F290:F308" si="110">IFERROR(VLOOKUP(C290,$F$17:$G$40,2,FALSE),0)</f>
        <v>0</v>
      </c>
      <c r="G290" s="1249">
        <f>IF(F290&gt;=1,I17,0)</f>
        <v>0</v>
      </c>
      <c r="H290" s="1342">
        <f t="shared" ref="H290:H308" si="111">G290/$G$309</f>
        <v>0</v>
      </c>
      <c r="I290" s="1343">
        <f>$F$251*H290</f>
        <v>0</v>
      </c>
      <c r="J290" s="1499"/>
      <c r="K290" s="1499"/>
    </row>
    <row r="291" spans="2:11" hidden="1">
      <c r="B291" s="118"/>
      <c r="C291" s="1297" t="s">
        <v>1251</v>
      </c>
      <c r="D291" s="1250" t="s">
        <v>1330</v>
      </c>
      <c r="E291" s="1514" t="s">
        <v>1331</v>
      </c>
      <c r="F291" s="1250">
        <f t="shared" si="110"/>
        <v>3</v>
      </c>
      <c r="G291" s="1249">
        <f>IF(F291&gt;=1,$I$19,0)</f>
        <v>34443</v>
      </c>
      <c r="H291" s="1342">
        <f t="shared" si="111"/>
        <v>1</v>
      </c>
      <c r="I291" s="1343">
        <f t="shared" ref="I291:I308" si="112">$F$251*H291</f>
        <v>30471.557499999999</v>
      </c>
      <c r="J291" s="1499"/>
      <c r="K291" s="1499"/>
    </row>
    <row r="292" spans="2:11" hidden="1">
      <c r="B292" s="118"/>
      <c r="C292" s="1297" t="s">
        <v>1252</v>
      </c>
      <c r="D292" s="1250" t="s">
        <v>1330</v>
      </c>
      <c r="E292" s="1514" t="s">
        <v>1331</v>
      </c>
      <c r="F292" s="1250">
        <f t="shared" si="110"/>
        <v>0</v>
      </c>
      <c r="G292" s="1249">
        <f>IF(F292&gt;=1,$I$19,0)</f>
        <v>0</v>
      </c>
      <c r="H292" s="1342">
        <f t="shared" si="111"/>
        <v>0</v>
      </c>
      <c r="I292" s="1343">
        <f t="shared" si="112"/>
        <v>0</v>
      </c>
      <c r="J292" s="1499"/>
      <c r="K292" s="1499"/>
    </row>
    <row r="293" spans="2:11" hidden="1">
      <c r="B293" s="118"/>
      <c r="C293" s="1297" t="s">
        <v>1253</v>
      </c>
      <c r="D293" s="1250" t="s">
        <v>1330</v>
      </c>
      <c r="E293" s="1514" t="s">
        <v>1331</v>
      </c>
      <c r="F293" s="1250">
        <f t="shared" si="110"/>
        <v>0</v>
      </c>
      <c r="G293" s="1249">
        <f t="shared" ref="G293:G296" si="113">IF(F293&gt;=1,$I$19,0)</f>
        <v>0</v>
      </c>
      <c r="H293" s="1342">
        <f t="shared" si="111"/>
        <v>0</v>
      </c>
      <c r="I293" s="1343">
        <f t="shared" si="112"/>
        <v>0</v>
      </c>
      <c r="J293" s="1499"/>
      <c r="K293" s="1499"/>
    </row>
    <row r="294" spans="2:11" hidden="1">
      <c r="B294" s="118"/>
      <c r="C294" s="1297" t="s">
        <v>1254</v>
      </c>
      <c r="D294" s="1250" t="s">
        <v>1332</v>
      </c>
      <c r="E294" s="1514" t="s">
        <v>1333</v>
      </c>
      <c r="F294" s="1250">
        <f t="shared" si="110"/>
        <v>0</v>
      </c>
      <c r="G294" s="1249">
        <f t="shared" si="113"/>
        <v>0</v>
      </c>
      <c r="H294" s="1342">
        <f t="shared" si="111"/>
        <v>0</v>
      </c>
      <c r="I294" s="1343">
        <f t="shared" si="112"/>
        <v>0</v>
      </c>
      <c r="J294" s="1499"/>
      <c r="K294" s="1499"/>
    </row>
    <row r="295" spans="2:11" hidden="1">
      <c r="B295" s="118"/>
      <c r="C295" s="1297" t="s">
        <v>1255</v>
      </c>
      <c r="D295" s="1250" t="s">
        <v>1332</v>
      </c>
      <c r="E295" s="1514" t="s">
        <v>1333</v>
      </c>
      <c r="F295" s="1250">
        <f t="shared" si="110"/>
        <v>0</v>
      </c>
      <c r="G295" s="1249">
        <f t="shared" si="113"/>
        <v>0</v>
      </c>
      <c r="H295" s="1342">
        <f t="shared" si="111"/>
        <v>0</v>
      </c>
      <c r="I295" s="1343">
        <f t="shared" si="112"/>
        <v>0</v>
      </c>
      <c r="J295" s="1499"/>
      <c r="K295" s="1499"/>
    </row>
    <row r="296" spans="2:11" hidden="1">
      <c r="B296" s="118"/>
      <c r="C296" s="1297" t="s">
        <v>1256</v>
      </c>
      <c r="D296" s="1250" t="s">
        <v>1332</v>
      </c>
      <c r="E296" s="1514" t="s">
        <v>1333</v>
      </c>
      <c r="F296" s="1250">
        <f t="shared" si="110"/>
        <v>0</v>
      </c>
      <c r="G296" s="1249">
        <f t="shared" si="113"/>
        <v>0</v>
      </c>
      <c r="H296" s="1342">
        <f t="shared" si="111"/>
        <v>0</v>
      </c>
      <c r="I296" s="1343">
        <f t="shared" si="112"/>
        <v>0</v>
      </c>
      <c r="J296" s="1499"/>
      <c r="K296" s="1499"/>
    </row>
    <row r="297" spans="2:11" hidden="1">
      <c r="B297" s="118"/>
      <c r="C297" s="1297" t="s">
        <v>1371</v>
      </c>
      <c r="D297" s="1250" t="s">
        <v>1372</v>
      </c>
      <c r="E297" s="1514" t="s">
        <v>1333</v>
      </c>
      <c r="F297" s="1250">
        <f t="shared" si="110"/>
        <v>0</v>
      </c>
      <c r="G297" s="1298">
        <f>IF(F297&gt;=1,$I$34,0)</f>
        <v>0</v>
      </c>
      <c r="H297" s="1342">
        <f t="shared" si="111"/>
        <v>0</v>
      </c>
      <c r="I297" s="1343">
        <f t="shared" si="112"/>
        <v>0</v>
      </c>
      <c r="J297" s="1499"/>
      <c r="K297" s="1499"/>
    </row>
    <row r="298" spans="2:11" hidden="1">
      <c r="B298" s="118"/>
      <c r="C298" s="1297" t="s">
        <v>1373</v>
      </c>
      <c r="D298" s="1250" t="s">
        <v>1372</v>
      </c>
      <c r="E298" s="1514" t="s">
        <v>1379</v>
      </c>
      <c r="F298" s="1250">
        <f t="shared" si="110"/>
        <v>0</v>
      </c>
      <c r="G298" s="1298">
        <f t="shared" ref="G298:G305" si="114">IF(F298&gt;=1,$I$34,0)</f>
        <v>0</v>
      </c>
      <c r="H298" s="1342">
        <f t="shared" si="111"/>
        <v>0</v>
      </c>
      <c r="I298" s="1343">
        <f t="shared" si="112"/>
        <v>0</v>
      </c>
      <c r="J298" s="1499"/>
      <c r="K298" s="1499"/>
    </row>
    <row r="299" spans="2:11" hidden="1">
      <c r="B299" s="118"/>
      <c r="C299" s="1297" t="s">
        <v>1375</v>
      </c>
      <c r="D299" s="1250" t="s">
        <v>1372</v>
      </c>
      <c r="E299" s="1514" t="s">
        <v>1379</v>
      </c>
      <c r="F299" s="1250">
        <f t="shared" si="110"/>
        <v>0</v>
      </c>
      <c r="G299" s="1298">
        <f t="shared" si="114"/>
        <v>0</v>
      </c>
      <c r="H299" s="1342">
        <f t="shared" si="111"/>
        <v>0</v>
      </c>
      <c r="I299" s="1343">
        <f t="shared" si="112"/>
        <v>0</v>
      </c>
      <c r="J299" s="1499"/>
      <c r="K299" s="1499"/>
    </row>
    <row r="300" spans="2:11" hidden="1">
      <c r="B300" s="118"/>
      <c r="C300" s="1297" t="s">
        <v>1377</v>
      </c>
      <c r="D300" s="1250" t="s">
        <v>1372</v>
      </c>
      <c r="E300" s="1514" t="s">
        <v>1379</v>
      </c>
      <c r="F300" s="1250">
        <f t="shared" si="110"/>
        <v>0</v>
      </c>
      <c r="G300" s="1298">
        <f t="shared" si="114"/>
        <v>0</v>
      </c>
      <c r="H300" s="1342">
        <f t="shared" si="111"/>
        <v>0</v>
      </c>
      <c r="I300" s="1343">
        <f t="shared" si="112"/>
        <v>0</v>
      </c>
      <c r="J300" s="1499"/>
      <c r="K300" s="1499"/>
    </row>
    <row r="301" spans="2:11" hidden="1">
      <c r="B301" s="118"/>
      <c r="C301" s="1297" t="s">
        <v>1374</v>
      </c>
      <c r="D301" s="1250" t="s">
        <v>1372</v>
      </c>
      <c r="E301" s="1514" t="s">
        <v>1379</v>
      </c>
      <c r="F301" s="1250">
        <f t="shared" si="110"/>
        <v>0</v>
      </c>
      <c r="G301" s="1298">
        <f t="shared" si="114"/>
        <v>0</v>
      </c>
      <c r="H301" s="1342">
        <f t="shared" si="111"/>
        <v>0</v>
      </c>
      <c r="I301" s="1343">
        <f t="shared" si="112"/>
        <v>0</v>
      </c>
      <c r="J301" s="1499"/>
      <c r="K301" s="1499"/>
    </row>
    <row r="302" spans="2:11" hidden="1">
      <c r="B302" s="118"/>
      <c r="C302" s="1297" t="s">
        <v>1376</v>
      </c>
      <c r="D302" s="1250" t="s">
        <v>1372</v>
      </c>
      <c r="E302" s="1514" t="s">
        <v>1379</v>
      </c>
      <c r="F302" s="1250">
        <f t="shared" si="110"/>
        <v>0</v>
      </c>
      <c r="G302" s="1298">
        <f t="shared" si="114"/>
        <v>0</v>
      </c>
      <c r="H302" s="1342">
        <f t="shared" si="111"/>
        <v>0</v>
      </c>
      <c r="I302" s="1343">
        <f t="shared" si="112"/>
        <v>0</v>
      </c>
      <c r="J302" s="1499"/>
      <c r="K302" s="1499"/>
    </row>
    <row r="303" spans="2:11" hidden="1">
      <c r="B303" s="118"/>
      <c r="C303" s="1297" t="s">
        <v>1378</v>
      </c>
      <c r="D303" s="1250" t="s">
        <v>1372</v>
      </c>
      <c r="E303" s="1514" t="s">
        <v>1379</v>
      </c>
      <c r="F303" s="1250">
        <f t="shared" si="110"/>
        <v>0</v>
      </c>
      <c r="G303" s="1298">
        <f t="shared" si="114"/>
        <v>0</v>
      </c>
      <c r="H303" s="1342">
        <f t="shared" si="111"/>
        <v>0</v>
      </c>
      <c r="I303" s="1343">
        <f t="shared" si="112"/>
        <v>0</v>
      </c>
      <c r="J303" s="1499"/>
      <c r="K303" s="1499"/>
    </row>
    <row r="304" spans="2:11" hidden="1">
      <c r="B304" s="118"/>
      <c r="C304" s="1297" t="s">
        <v>1465</v>
      </c>
      <c r="D304" s="1516" t="s">
        <v>1330</v>
      </c>
      <c r="E304" s="1514" t="s">
        <v>1331</v>
      </c>
      <c r="F304" s="1250">
        <f t="shared" si="110"/>
        <v>0</v>
      </c>
      <c r="G304" s="1298">
        <f t="shared" si="114"/>
        <v>0</v>
      </c>
      <c r="H304" s="1342">
        <f t="shared" si="111"/>
        <v>0</v>
      </c>
      <c r="I304" s="1343">
        <f t="shared" si="112"/>
        <v>0</v>
      </c>
      <c r="J304" s="1499"/>
      <c r="K304" s="1499"/>
    </row>
    <row r="305" spans="2:11" hidden="1">
      <c r="B305" s="118"/>
      <c r="C305" s="1297" t="s">
        <v>1466</v>
      </c>
      <c r="D305" s="1516" t="s">
        <v>1332</v>
      </c>
      <c r="E305" s="1514" t="s">
        <v>1333</v>
      </c>
      <c r="F305" s="1250">
        <f t="shared" si="110"/>
        <v>0</v>
      </c>
      <c r="G305" s="1298">
        <f t="shared" si="114"/>
        <v>0</v>
      </c>
      <c r="H305" s="1342">
        <f t="shared" si="111"/>
        <v>0</v>
      </c>
      <c r="I305" s="1343">
        <f t="shared" si="112"/>
        <v>0</v>
      </c>
      <c r="J305" s="1499"/>
      <c r="K305" s="1499"/>
    </row>
    <row r="306" spans="2:11" hidden="1">
      <c r="B306" s="118"/>
      <c r="C306" s="1297" t="s">
        <v>1317</v>
      </c>
      <c r="D306" s="1250" t="s">
        <v>1348</v>
      </c>
      <c r="E306" s="1514" t="s">
        <v>1334</v>
      </c>
      <c r="F306" s="1250">
        <f t="shared" si="110"/>
        <v>0</v>
      </c>
      <c r="G306" s="1249">
        <f>IF(F306&gt;=1,$I$19,0)</f>
        <v>0</v>
      </c>
      <c r="H306" s="1342">
        <f t="shared" si="111"/>
        <v>0</v>
      </c>
      <c r="I306" s="1343">
        <f t="shared" si="112"/>
        <v>0</v>
      </c>
      <c r="J306" s="1499"/>
      <c r="K306" s="1499"/>
    </row>
    <row r="307" spans="2:11" hidden="1">
      <c r="B307" s="118"/>
      <c r="C307" s="1297" t="s">
        <v>1318</v>
      </c>
      <c r="D307" s="1250" t="s">
        <v>1348</v>
      </c>
      <c r="E307" s="1514" t="s">
        <v>1334</v>
      </c>
      <c r="F307" s="1250">
        <f t="shared" si="110"/>
        <v>0</v>
      </c>
      <c r="G307" s="1249">
        <f t="shared" ref="G307:G308" si="115">IF(F307&gt;=1,$I$19,0)</f>
        <v>0</v>
      </c>
      <c r="H307" s="1342">
        <f t="shared" si="111"/>
        <v>0</v>
      </c>
      <c r="I307" s="1343">
        <f t="shared" si="112"/>
        <v>0</v>
      </c>
      <c r="J307" s="1499"/>
      <c r="K307" s="1499"/>
    </row>
    <row r="308" spans="2:11" hidden="1">
      <c r="B308" s="118"/>
      <c r="C308" s="1297" t="s">
        <v>1319</v>
      </c>
      <c r="D308" s="1250" t="s">
        <v>1348</v>
      </c>
      <c r="E308" s="1514" t="s">
        <v>1334</v>
      </c>
      <c r="F308" s="1250">
        <f t="shared" si="110"/>
        <v>0</v>
      </c>
      <c r="G308" s="1249">
        <f t="shared" si="115"/>
        <v>0</v>
      </c>
      <c r="H308" s="118">
        <f t="shared" si="111"/>
        <v>0</v>
      </c>
      <c r="I308" s="1343">
        <f t="shared" si="112"/>
        <v>0</v>
      </c>
      <c r="J308" s="1499"/>
      <c r="K308" s="1499"/>
    </row>
    <row r="309" spans="2:11" hidden="1">
      <c r="B309" s="118"/>
      <c r="C309" s="118"/>
      <c r="D309" s="118"/>
      <c r="E309" s="118"/>
      <c r="F309" s="118"/>
      <c r="G309" s="118">
        <f>SUM(G290:G308)</f>
        <v>34443</v>
      </c>
      <c r="H309" s="118"/>
      <c r="I309" s="1343">
        <f>SUM(I290:I308)</f>
        <v>30471.557499999999</v>
      </c>
      <c r="J309" s="1499"/>
      <c r="K309" s="1499"/>
    </row>
    <row r="310" spans="2:11" hidden="1">
      <c r="B310" s="118"/>
      <c r="C310" s="118"/>
      <c r="D310" s="118"/>
      <c r="E310" s="118"/>
      <c r="F310" s="118"/>
      <c r="G310" s="118"/>
      <c r="H310" s="118"/>
      <c r="I310" s="1343"/>
      <c r="J310" s="1499"/>
      <c r="K310" s="1499"/>
    </row>
    <row r="311" spans="2:11" hidden="1">
      <c r="B311" s="118"/>
      <c r="C311" s="118"/>
      <c r="D311" s="118"/>
      <c r="E311" s="118"/>
      <c r="F311" s="118"/>
      <c r="G311" s="118"/>
      <c r="H311" s="118"/>
      <c r="I311" s="1343"/>
      <c r="J311" s="1499"/>
      <c r="K311" s="1499"/>
    </row>
    <row r="312" spans="2:11" hidden="1">
      <c r="B312" s="118"/>
      <c r="C312" s="1517" t="s">
        <v>1639</v>
      </c>
      <c r="D312" s="1518" t="s">
        <v>1638</v>
      </c>
      <c r="E312" s="1519" t="s">
        <v>1287</v>
      </c>
      <c r="F312" s="1518" t="s">
        <v>1390</v>
      </c>
      <c r="G312" s="1520"/>
      <c r="H312" s="168"/>
      <c r="I312" s="1521"/>
      <c r="J312" s="1499"/>
      <c r="K312" s="1499"/>
    </row>
    <row r="313" spans="2:11" hidden="1">
      <c r="B313" s="118"/>
      <c r="C313" s="1297" t="str">
        <f>'8900'!F17</f>
        <v>8900 2m Midi Mk11 (Standard Speed)</v>
      </c>
      <c r="D313" s="1250" t="str">
        <f>'8900'!E17</f>
        <v>02010093</v>
      </c>
      <c r="E313" s="1250" t="str">
        <f>VLOOKUP(C313,$C$288:$D$308,2,FALSE)</f>
        <v>02030013</v>
      </c>
      <c r="F313" s="119">
        <f>'8900'!G17</f>
        <v>0</v>
      </c>
      <c r="G313" s="118">
        <f t="shared" ref="G313:G336" si="116">IF(F313&gt;0,I17,0)</f>
        <v>0</v>
      </c>
      <c r="H313" s="1342">
        <f t="shared" ref="H313:H336" si="117">G313/$G$337</f>
        <v>0</v>
      </c>
      <c r="I313" s="1343">
        <f>$F$251*H313</f>
        <v>0</v>
      </c>
      <c r="J313" s="1522">
        <f>G313-I313</f>
        <v>0</v>
      </c>
      <c r="K313" s="1499"/>
    </row>
    <row r="314" spans="2:11" hidden="1">
      <c r="B314" s="118"/>
      <c r="C314" s="1297">
        <f>'8900'!F18</f>
        <v>0</v>
      </c>
      <c r="D314" s="1250">
        <f>'8900'!E18</f>
        <v>0</v>
      </c>
      <c r="E314" s="1250" t="e">
        <f t="shared" ref="E314:E336" si="118">VLOOKUP(C314,$C$288:$D$308,2,FALSE)</f>
        <v>#N/A</v>
      </c>
      <c r="F314" s="119">
        <f>'8900'!G18</f>
        <v>0</v>
      </c>
      <c r="G314" s="118">
        <f t="shared" si="116"/>
        <v>0</v>
      </c>
      <c r="H314" s="1342">
        <f t="shared" si="117"/>
        <v>0</v>
      </c>
      <c r="I314" s="1343">
        <f t="shared" ref="I314:I336" si="119">$F$251*H314</f>
        <v>0</v>
      </c>
      <c r="J314" s="1522">
        <f t="shared" ref="J314:J336" si="120">G314-I314</f>
        <v>0</v>
      </c>
      <c r="K314" s="1499"/>
    </row>
    <row r="315" spans="2:11" hidden="1">
      <c r="B315" s="118"/>
      <c r="C315" s="1297" t="str">
        <f>'8900'!F19</f>
        <v>8910 IP55 MIDI 2M (High Speed) </v>
      </c>
      <c r="D315" s="1250" t="str">
        <f>'8900'!E19</f>
        <v>02010102</v>
      </c>
      <c r="E315" s="1250" t="str">
        <f t="shared" si="118"/>
        <v>02030016</v>
      </c>
      <c r="F315" s="119">
        <f>'8900'!G19</f>
        <v>3</v>
      </c>
      <c r="G315" s="118">
        <f t="shared" si="116"/>
        <v>34443</v>
      </c>
      <c r="H315" s="1342">
        <f t="shared" si="117"/>
        <v>1</v>
      </c>
      <c r="I315" s="1343">
        <f t="shared" si="119"/>
        <v>30471.557499999999</v>
      </c>
      <c r="J315" s="1522">
        <f t="shared" si="120"/>
        <v>3971.442500000001</v>
      </c>
      <c r="K315" s="1499"/>
    </row>
    <row r="316" spans="2:11" hidden="1">
      <c r="B316" s="118"/>
      <c r="C316" s="1297" t="str">
        <f>'8900'!F20</f>
        <v>8910 IP55 MIDI 2M (High Speed) </v>
      </c>
      <c r="D316" s="1250" t="str">
        <f>'8900'!E20</f>
        <v>02010102</v>
      </c>
      <c r="E316" s="1250" t="str">
        <f t="shared" si="118"/>
        <v>02030016</v>
      </c>
      <c r="F316" s="119">
        <f>'8900'!G20</f>
        <v>0</v>
      </c>
      <c r="G316" s="118">
        <f t="shared" si="116"/>
        <v>0</v>
      </c>
      <c r="H316" s="1342">
        <f t="shared" si="117"/>
        <v>0</v>
      </c>
      <c r="I316" s="1343">
        <f t="shared" si="119"/>
        <v>0</v>
      </c>
      <c r="J316" s="1522">
        <f t="shared" si="120"/>
        <v>0</v>
      </c>
      <c r="K316" s="1499"/>
    </row>
    <row r="317" spans="2:11" hidden="1">
      <c r="B317" s="118"/>
      <c r="C317" s="1297" t="str">
        <f>'8900'!F21</f>
        <v>8920 IP55 MIDI 2M (High Speed)</v>
      </c>
      <c r="D317" s="1250" t="str">
        <f>'8900'!E21</f>
        <v>02010105</v>
      </c>
      <c r="E317" s="1250" t="str">
        <f t="shared" si="118"/>
        <v>02030014</v>
      </c>
      <c r="F317" s="119">
        <f>'8900'!G21</f>
        <v>0</v>
      </c>
      <c r="G317" s="118">
        <f t="shared" si="116"/>
        <v>0</v>
      </c>
      <c r="H317" s="1342">
        <f t="shared" si="117"/>
        <v>0</v>
      </c>
      <c r="I317" s="1343">
        <f t="shared" si="119"/>
        <v>0</v>
      </c>
      <c r="J317" s="1522">
        <f t="shared" si="120"/>
        <v>0</v>
      </c>
      <c r="K317" s="1499"/>
    </row>
    <row r="318" spans="2:11" hidden="1">
      <c r="B318" s="118"/>
      <c r="C318" s="1297" t="str">
        <f>'8900'!F22</f>
        <v>8920 IP55 MIDI 2M (High Speed)</v>
      </c>
      <c r="D318" s="1250" t="str">
        <f>'8900'!E22</f>
        <v>02010105</v>
      </c>
      <c r="E318" s="1250" t="str">
        <f t="shared" si="118"/>
        <v>02030014</v>
      </c>
      <c r="F318" s="119">
        <f>'8900'!G22</f>
        <v>0</v>
      </c>
      <c r="G318" s="118">
        <f t="shared" si="116"/>
        <v>0</v>
      </c>
      <c r="H318" s="1342">
        <f t="shared" si="117"/>
        <v>0</v>
      </c>
      <c r="I318" s="1343">
        <f t="shared" si="119"/>
        <v>0</v>
      </c>
      <c r="J318" s="1522">
        <f t="shared" si="120"/>
        <v>0</v>
      </c>
      <c r="K318" s="1499"/>
    </row>
    <row r="319" spans="2:11" hidden="1">
      <c r="B319" s="118"/>
      <c r="C319" s="1297" t="str">
        <f>'8900'!F23</f>
        <v>8940 IP65 MIDI 2M (High Speed)</v>
      </c>
      <c r="D319" s="1250" t="str">
        <f>'8900'!E23</f>
        <v>02010108</v>
      </c>
      <c r="E319" s="1250" t="str">
        <f t="shared" si="118"/>
        <v>02030015</v>
      </c>
      <c r="F319" s="119">
        <f>'8900'!G23</f>
        <v>0</v>
      </c>
      <c r="G319" s="118">
        <f t="shared" si="116"/>
        <v>0</v>
      </c>
      <c r="H319" s="1342">
        <f t="shared" si="117"/>
        <v>0</v>
      </c>
      <c r="I319" s="1343">
        <f t="shared" si="119"/>
        <v>0</v>
      </c>
      <c r="J319" s="1522">
        <f t="shared" si="120"/>
        <v>0</v>
      </c>
      <c r="K319" s="1499"/>
    </row>
    <row r="320" spans="2:11" hidden="1">
      <c r="B320" s="118"/>
      <c r="C320" s="1297">
        <f>'8900'!F24</f>
        <v>0</v>
      </c>
      <c r="D320" s="1250">
        <f>'8900'!E24</f>
        <v>0</v>
      </c>
      <c r="E320" s="1250" t="e">
        <f t="shared" si="118"/>
        <v>#N/A</v>
      </c>
      <c r="F320" s="119">
        <f>'8900'!G24</f>
        <v>0</v>
      </c>
      <c r="G320" s="118">
        <f t="shared" si="116"/>
        <v>0</v>
      </c>
      <c r="H320" s="1342">
        <f t="shared" si="117"/>
        <v>0</v>
      </c>
      <c r="I320" s="1343">
        <f t="shared" si="119"/>
        <v>0</v>
      </c>
      <c r="J320" s="1522">
        <f t="shared" si="120"/>
        <v>0</v>
      </c>
      <c r="K320" s="1499"/>
    </row>
    <row r="321" spans="2:11" hidden="1">
      <c r="B321" s="118"/>
      <c r="C321" s="1297">
        <f>'8900'!F25</f>
        <v>0</v>
      </c>
      <c r="D321" s="1250">
        <f>'8900'!E25</f>
        <v>0</v>
      </c>
      <c r="E321" s="1250" t="e">
        <f t="shared" si="118"/>
        <v>#N/A</v>
      </c>
      <c r="F321" s="119">
        <f>'8900'!G25</f>
        <v>0</v>
      </c>
      <c r="G321" s="118">
        <f t="shared" si="116"/>
        <v>0</v>
      </c>
      <c r="H321" s="1342">
        <f t="shared" si="117"/>
        <v>0</v>
      </c>
      <c r="I321" s="1343">
        <f t="shared" si="119"/>
        <v>0</v>
      </c>
      <c r="J321" s="1522">
        <f t="shared" si="120"/>
        <v>0</v>
      </c>
      <c r="K321" s="1499"/>
    </row>
    <row r="322" spans="2:11" hidden="1">
      <c r="B322" s="118"/>
      <c r="C322" s="1297" t="str">
        <f>'8900'!F26</f>
        <v>5900e</v>
      </c>
      <c r="D322" s="1250" t="e">
        <f>'8900'!E26</f>
        <v>#N/A</v>
      </c>
      <c r="E322" s="1250" t="e">
        <f t="shared" si="118"/>
        <v>#N/A</v>
      </c>
      <c r="F322" s="119">
        <f>'8900'!G26</f>
        <v>0</v>
      </c>
      <c r="G322" s="118">
        <f t="shared" si="116"/>
        <v>0</v>
      </c>
      <c r="H322" s="1342">
        <f t="shared" si="117"/>
        <v>0</v>
      </c>
      <c r="I322" s="1343">
        <f t="shared" si="119"/>
        <v>0</v>
      </c>
      <c r="J322" s="1522">
        <f t="shared" si="120"/>
        <v>0</v>
      </c>
      <c r="K322" s="1499"/>
    </row>
    <row r="323" spans="2:11" hidden="1">
      <c r="B323" s="118"/>
      <c r="C323" s="1297" t="str">
        <f>'8900'!F27</f>
        <v>Ultima Mk7 2M</v>
      </c>
      <c r="D323" s="1250">
        <f>'8900'!E27</f>
        <v>0</v>
      </c>
      <c r="E323" s="1250" t="e">
        <f t="shared" si="118"/>
        <v>#N/A</v>
      </c>
      <c r="F323" s="119">
        <f>'8900'!G27</f>
        <v>0</v>
      </c>
      <c r="G323" s="118">
        <f t="shared" si="116"/>
        <v>0</v>
      </c>
      <c r="H323" s="1342">
        <f t="shared" si="117"/>
        <v>0</v>
      </c>
      <c r="I323" s="1343">
        <f t="shared" si="119"/>
        <v>0</v>
      </c>
      <c r="J323" s="1522">
        <f t="shared" si="120"/>
        <v>0</v>
      </c>
      <c r="K323" s="1499"/>
    </row>
    <row r="324" spans="2:11" hidden="1">
      <c r="B324" s="118"/>
      <c r="C324" s="1297" t="str">
        <f>'8900'!F28</f>
        <v>Standard Speed (SS)</v>
      </c>
      <c r="D324" s="1250">
        <f>'8900'!E28</f>
        <v>0</v>
      </c>
      <c r="E324" s="1250" t="e">
        <f t="shared" si="118"/>
        <v>#N/A</v>
      </c>
      <c r="F324" s="119">
        <f>'8900'!G28</f>
        <v>0</v>
      </c>
      <c r="G324" s="118">
        <f t="shared" si="116"/>
        <v>0</v>
      </c>
      <c r="H324" s="1342">
        <f t="shared" si="117"/>
        <v>0</v>
      </c>
      <c r="I324" s="1343">
        <f t="shared" si="119"/>
        <v>0</v>
      </c>
      <c r="J324" s="1522">
        <f t="shared" si="120"/>
        <v>0</v>
      </c>
      <c r="K324" s="1499"/>
    </row>
    <row r="325" spans="2:11" hidden="1">
      <c r="B325" s="118"/>
      <c r="C325" s="1297" t="str">
        <f>'8900'!F29</f>
        <v>3 Line Upgrade</v>
      </c>
      <c r="D325" s="1250">
        <f>'8900'!E29</f>
        <v>0</v>
      </c>
      <c r="E325" s="1250" t="e">
        <f t="shared" si="118"/>
        <v>#N/A</v>
      </c>
      <c r="F325" s="119">
        <f>'8900'!G29</f>
        <v>0</v>
      </c>
      <c r="G325" s="118">
        <f t="shared" si="116"/>
        <v>0</v>
      </c>
      <c r="H325" s="1342">
        <f t="shared" si="117"/>
        <v>0</v>
      </c>
      <c r="I325" s="1343">
        <f t="shared" si="119"/>
        <v>0</v>
      </c>
      <c r="J325" s="1522">
        <f t="shared" si="120"/>
        <v>0</v>
      </c>
      <c r="K325" s="1499"/>
    </row>
    <row r="326" spans="2:11" hidden="1">
      <c r="B326" s="118"/>
      <c r="C326" s="1297">
        <f>'8900'!F30</f>
        <v>0</v>
      </c>
      <c r="D326" s="1250">
        <f>'8900'!E30</f>
        <v>0</v>
      </c>
      <c r="E326" s="1250" t="e">
        <f t="shared" si="118"/>
        <v>#N/A</v>
      </c>
      <c r="F326" s="119">
        <f>'8900'!G30</f>
        <v>0</v>
      </c>
      <c r="G326" s="118">
        <f t="shared" si="116"/>
        <v>0</v>
      </c>
      <c r="H326" s="1342">
        <f t="shared" si="117"/>
        <v>0</v>
      </c>
      <c r="I326" s="1343">
        <f t="shared" si="119"/>
        <v>0</v>
      </c>
      <c r="J326" s="1522">
        <f t="shared" si="120"/>
        <v>0</v>
      </c>
      <c r="K326" s="1499"/>
    </row>
    <row r="327" spans="2:11" hidden="1">
      <c r="B327" s="118"/>
      <c r="C327" s="1297" t="str">
        <f>'8900'!F31</f>
        <v>7900 FG</v>
      </c>
      <c r="D327" s="1250" t="e">
        <f>'8900'!E31</f>
        <v>#N/A</v>
      </c>
      <c r="E327" s="1250" t="e">
        <f t="shared" si="118"/>
        <v>#N/A</v>
      </c>
      <c r="F327" s="119">
        <f>'8900'!G31</f>
        <v>0</v>
      </c>
      <c r="G327" s="118">
        <f t="shared" si="116"/>
        <v>0</v>
      </c>
      <c r="H327" s="1342">
        <f t="shared" si="117"/>
        <v>0</v>
      </c>
      <c r="I327" s="1343">
        <f t="shared" si="119"/>
        <v>0</v>
      </c>
      <c r="J327" s="1522">
        <f t="shared" si="120"/>
        <v>0</v>
      </c>
      <c r="K327" s="1499"/>
    </row>
    <row r="328" spans="2:11" hidden="1">
      <c r="B328" s="118"/>
      <c r="C328" s="1297" t="str">
        <f>'8900'!F32</f>
        <v>Midi Ec Mk7 2M</v>
      </c>
      <c r="D328" s="1250" t="e">
        <f>'8900'!E32</f>
        <v>#N/A</v>
      </c>
      <c r="E328" s="1250" t="e">
        <f t="shared" si="118"/>
        <v>#N/A</v>
      </c>
      <c r="F328" s="119">
        <f>'8900'!G32</f>
        <v>0</v>
      </c>
      <c r="G328" s="118">
        <f t="shared" si="116"/>
        <v>0</v>
      </c>
      <c r="H328" s="1342">
        <f t="shared" si="117"/>
        <v>0</v>
      </c>
      <c r="I328" s="1343">
        <f t="shared" si="119"/>
        <v>0</v>
      </c>
      <c r="J328" s="1522">
        <f t="shared" si="120"/>
        <v>0</v>
      </c>
      <c r="K328" s="1499"/>
    </row>
    <row r="329" spans="2:11" hidden="1">
      <c r="B329" s="118"/>
      <c r="C329" s="1297">
        <f>'8900'!F33</f>
        <v>0</v>
      </c>
      <c r="D329" s="1250">
        <f>'8900'!E33</f>
        <v>0</v>
      </c>
      <c r="E329" s="1250" t="e">
        <f t="shared" si="118"/>
        <v>#N/A</v>
      </c>
      <c r="F329" s="119">
        <f>'8900'!G33</f>
        <v>0</v>
      </c>
      <c r="G329" s="118">
        <f t="shared" si="116"/>
        <v>0</v>
      </c>
      <c r="H329" s="1342">
        <f t="shared" si="117"/>
        <v>0</v>
      </c>
      <c r="I329" s="1343">
        <f t="shared" si="119"/>
        <v>0</v>
      </c>
      <c r="J329" s="1522">
        <f t="shared" si="120"/>
        <v>0</v>
      </c>
      <c r="K329" s="1499"/>
    </row>
    <row r="330" spans="2:11" hidden="1">
      <c r="B330" s="118"/>
      <c r="C330" s="1297" t="str">
        <f>'8900'!F34</f>
        <v>8910c IP55 MIDI PLUS 2M+ (High Speed) - Yellow</v>
      </c>
      <c r="D330" s="1250" t="str">
        <f>'8900'!E34</f>
        <v>02010112</v>
      </c>
      <c r="E330" s="1250" t="str">
        <f t="shared" si="118"/>
        <v>02010111</v>
      </c>
      <c r="F330" s="119">
        <f>'8900'!G34</f>
        <v>0</v>
      </c>
      <c r="G330" s="118">
        <f t="shared" si="116"/>
        <v>0</v>
      </c>
      <c r="H330" s="1342">
        <f t="shared" si="117"/>
        <v>0</v>
      </c>
      <c r="I330" s="1343">
        <f t="shared" si="119"/>
        <v>0</v>
      </c>
      <c r="J330" s="1522">
        <f t="shared" si="120"/>
        <v>0</v>
      </c>
      <c r="K330" s="1499"/>
    </row>
    <row r="331" spans="2:11" hidden="1">
      <c r="B331" s="118"/>
      <c r="C331" s="1297" t="str">
        <f>'8900'!F35</f>
        <v>8910c IP55 MIDI PLUS 2M+ (High Speed) - Yellow</v>
      </c>
      <c r="D331" s="1250" t="str">
        <f>'8900'!E35</f>
        <v>02010112</v>
      </c>
      <c r="E331" s="1250" t="str">
        <f t="shared" si="118"/>
        <v>02010111</v>
      </c>
      <c r="F331" s="119">
        <f>'8900'!G35</f>
        <v>0</v>
      </c>
      <c r="G331" s="118">
        <f t="shared" si="116"/>
        <v>0</v>
      </c>
      <c r="H331" s="1342">
        <f t="shared" si="117"/>
        <v>0</v>
      </c>
      <c r="I331" s="1343">
        <f t="shared" si="119"/>
        <v>0</v>
      </c>
      <c r="J331" s="1522">
        <f t="shared" si="120"/>
        <v>0</v>
      </c>
      <c r="K331" s="1499"/>
    </row>
    <row r="332" spans="2:11" hidden="1">
      <c r="B332" s="118"/>
      <c r="C332" s="1297" t="str">
        <f>'8900'!F36</f>
        <v>8920c IP55 MIDI PLUS 2M+ (High Speed) - Yellow</v>
      </c>
      <c r="D332" s="1250" t="str">
        <f>'8900'!E36</f>
        <v>02010111</v>
      </c>
      <c r="E332" s="1250" t="str">
        <f t="shared" si="118"/>
        <v>02010111</v>
      </c>
      <c r="F332" s="119">
        <f>'8900'!G36</f>
        <v>0</v>
      </c>
      <c r="G332" s="118">
        <f t="shared" si="116"/>
        <v>0</v>
      </c>
      <c r="H332" s="1342">
        <f t="shared" si="117"/>
        <v>0</v>
      </c>
      <c r="I332" s="1343">
        <f t="shared" si="119"/>
        <v>0</v>
      </c>
      <c r="J332" s="1522">
        <f t="shared" si="120"/>
        <v>0</v>
      </c>
      <c r="K332" s="1499"/>
    </row>
    <row r="333" spans="2:11" hidden="1">
      <c r="B333" s="118"/>
      <c r="C333" s="1297" t="str">
        <f>'8900'!F37</f>
        <v>8920c IP55 MIDI PLUS 2M+ (High Speed) - Yellow</v>
      </c>
      <c r="D333" s="1250" t="str">
        <f>'8900'!E37</f>
        <v>02010111</v>
      </c>
      <c r="E333" s="1250" t="str">
        <f t="shared" si="118"/>
        <v>02010111</v>
      </c>
      <c r="F333" s="119">
        <f>'8900'!G37</f>
        <v>0</v>
      </c>
      <c r="G333" s="118">
        <f t="shared" si="116"/>
        <v>0</v>
      </c>
      <c r="H333" s="1342">
        <f t="shared" si="117"/>
        <v>0</v>
      </c>
      <c r="I333" s="1343">
        <f t="shared" si="119"/>
        <v>0</v>
      </c>
      <c r="J333" s="1522">
        <f t="shared" si="120"/>
        <v>0</v>
      </c>
      <c r="K333" s="1499"/>
    </row>
    <row r="334" spans="2:11" hidden="1">
      <c r="B334" s="118"/>
      <c r="C334" s="1297">
        <f>'8900'!F38</f>
        <v>0</v>
      </c>
      <c r="D334" s="1250">
        <f>'8900'!E38</f>
        <v>0</v>
      </c>
      <c r="E334" s="1250" t="e">
        <f t="shared" si="118"/>
        <v>#N/A</v>
      </c>
      <c r="F334" s="119">
        <f>'8900'!G38</f>
        <v>0</v>
      </c>
      <c r="G334" s="118">
        <f t="shared" si="116"/>
        <v>0</v>
      </c>
      <c r="H334" s="1342">
        <f t="shared" si="117"/>
        <v>0</v>
      </c>
      <c r="I334" s="1343">
        <f t="shared" si="119"/>
        <v>0</v>
      </c>
      <c r="J334" s="1522">
        <f t="shared" si="120"/>
        <v>0</v>
      </c>
      <c r="K334" s="1499"/>
    </row>
    <row r="335" spans="2:11" hidden="1">
      <c r="B335" s="118"/>
      <c r="C335" s="1297" t="str">
        <f>'8900'!F39</f>
        <v>8910 IP55 MIDI 2M (High Speed) - Thermochromic</v>
      </c>
      <c r="D335" s="1250" t="str">
        <f>'8900'!E39</f>
        <v>02010116</v>
      </c>
      <c r="E335" s="1250" t="str">
        <f t="shared" si="118"/>
        <v>02030016</v>
      </c>
      <c r="F335" s="119">
        <f>'8900'!G39</f>
        <v>0</v>
      </c>
      <c r="G335" s="118">
        <f t="shared" si="116"/>
        <v>0</v>
      </c>
      <c r="H335" s="1342">
        <f t="shared" si="117"/>
        <v>0</v>
      </c>
      <c r="I335" s="1343">
        <f t="shared" si="119"/>
        <v>0</v>
      </c>
      <c r="J335" s="1522">
        <f t="shared" si="120"/>
        <v>0</v>
      </c>
      <c r="K335" s="1499"/>
    </row>
    <row r="336" spans="2:11" hidden="1">
      <c r="B336" s="118"/>
      <c r="C336" s="1297" t="str">
        <f>'8900'!F40</f>
        <v>8920 IP55 MIDI 2M (High Speed) - Thermochromic</v>
      </c>
      <c r="D336" s="1250" t="str">
        <f>'8900'!E40</f>
        <v>02010117</v>
      </c>
      <c r="E336" s="1250" t="str">
        <f t="shared" si="118"/>
        <v>02030014</v>
      </c>
      <c r="F336" s="119">
        <f>'8900'!G40</f>
        <v>0</v>
      </c>
      <c r="G336" s="118">
        <f t="shared" si="116"/>
        <v>0</v>
      </c>
      <c r="H336" s="1342">
        <f t="shared" si="117"/>
        <v>0</v>
      </c>
      <c r="I336" s="1343">
        <f t="shared" si="119"/>
        <v>0</v>
      </c>
      <c r="J336" s="1522">
        <f t="shared" si="120"/>
        <v>0</v>
      </c>
      <c r="K336" s="1499"/>
    </row>
    <row r="337" spans="2:11" hidden="1">
      <c r="B337" s="118"/>
      <c r="C337" s="1297"/>
      <c r="D337" s="118"/>
      <c r="E337" s="118"/>
      <c r="F337" s="169" t="s">
        <v>74</v>
      </c>
      <c r="G337" s="118">
        <f>SUM(G313:G336)</f>
        <v>34443</v>
      </c>
      <c r="H337" s="118"/>
      <c r="I337" s="1343">
        <f>SUM(I313:I336)</f>
        <v>30471.557499999999</v>
      </c>
      <c r="J337" s="1499"/>
      <c r="K337" s="1499"/>
    </row>
    <row r="338" spans="2:11" hidden="1">
      <c r="B338" s="118"/>
      <c r="C338" s="118"/>
      <c r="D338" s="118"/>
      <c r="E338" s="118"/>
      <c r="F338" s="118"/>
      <c r="G338" s="118"/>
      <c r="H338" s="118"/>
      <c r="I338" s="1343"/>
      <c r="J338" s="1499"/>
      <c r="K338" s="1499"/>
    </row>
    <row r="339" spans="2:11" hidden="1">
      <c r="B339" s="118"/>
      <c r="C339" s="118"/>
      <c r="D339" s="118"/>
      <c r="E339" s="118"/>
      <c r="F339" s="118"/>
      <c r="G339" s="118"/>
      <c r="H339" s="118"/>
      <c r="I339" s="1343"/>
      <c r="J339" s="1499"/>
      <c r="K339" s="1499"/>
    </row>
    <row r="340" spans="2:11" hidden="1">
      <c r="B340" s="118"/>
      <c r="C340" s="118"/>
      <c r="D340" s="118"/>
      <c r="E340" s="118"/>
      <c r="F340" s="118"/>
      <c r="G340" s="118"/>
      <c r="H340" s="118"/>
      <c r="I340" s="1343"/>
      <c r="J340" s="1499"/>
      <c r="K340" s="1499"/>
    </row>
    <row r="341" spans="2:11" hidden="1">
      <c r="B341" s="118"/>
      <c r="C341" s="118"/>
      <c r="D341" s="118"/>
      <c r="E341" s="118"/>
      <c r="F341" s="118"/>
      <c r="G341" s="118"/>
      <c r="H341" s="118"/>
      <c r="I341" s="1343"/>
      <c r="J341" s="1499"/>
      <c r="K341" s="1499"/>
    </row>
    <row r="342" spans="2:11" hidden="1">
      <c r="B342" s="118"/>
      <c r="C342" s="118"/>
      <c r="D342" s="118"/>
      <c r="E342" s="118"/>
      <c r="F342" s="118"/>
      <c r="G342" s="118"/>
      <c r="H342" s="118"/>
      <c r="I342" s="1343"/>
      <c r="J342" s="1499"/>
      <c r="K342" s="1499"/>
    </row>
    <row r="343" spans="2:11" hidden="1">
      <c r="B343" s="118"/>
      <c r="C343" s="118"/>
      <c r="D343" s="118"/>
      <c r="E343" s="118"/>
      <c r="F343" s="118"/>
      <c r="G343" s="118"/>
      <c r="H343" s="118"/>
      <c r="I343" s="1343"/>
      <c r="J343" s="1499"/>
      <c r="K343" s="1499"/>
    </row>
    <row r="344" spans="2:11" hidden="1">
      <c r="B344" s="118"/>
      <c r="C344" s="118"/>
      <c r="D344" s="118"/>
      <c r="E344" s="118"/>
      <c r="F344" s="118"/>
      <c r="G344" s="118"/>
      <c r="H344" s="118"/>
      <c r="I344" s="1343"/>
      <c r="J344" s="1499"/>
      <c r="K344" s="1499"/>
    </row>
    <row r="345" spans="2:11" hidden="1">
      <c r="B345" s="118"/>
      <c r="C345" s="118"/>
      <c r="D345" s="118"/>
      <c r="E345" s="118"/>
      <c r="F345" s="118"/>
      <c r="G345" s="118"/>
      <c r="H345" s="118"/>
      <c r="I345" s="1343"/>
      <c r="J345" s="1499"/>
      <c r="K345" s="1499"/>
    </row>
    <row r="346" spans="2:11" hidden="1">
      <c r="B346" s="118"/>
      <c r="C346" s="118"/>
      <c r="D346" s="118"/>
      <c r="E346" s="118"/>
      <c r="F346" s="118"/>
      <c r="G346" s="118"/>
      <c r="H346" s="118"/>
      <c r="I346" s="1343"/>
      <c r="J346" s="1499"/>
      <c r="K346" s="1499"/>
    </row>
    <row r="347" spans="2:11" hidden="1">
      <c r="B347" s="118"/>
      <c r="C347" s="118"/>
      <c r="D347" s="118"/>
      <c r="E347" s="118"/>
      <c r="F347" s="118"/>
      <c r="G347" s="118"/>
      <c r="H347" s="118"/>
      <c r="I347" s="1343"/>
      <c r="J347" s="1499"/>
      <c r="K347" s="1499"/>
    </row>
    <row r="348" spans="2:11" hidden="1">
      <c r="B348" s="118"/>
      <c r="C348" s="118"/>
      <c r="D348" s="118"/>
      <c r="E348" s="118"/>
      <c r="F348" s="118"/>
      <c r="G348" s="118"/>
      <c r="H348" s="118"/>
      <c r="I348" s="1343"/>
      <c r="J348" s="1499"/>
      <c r="K348" s="1499"/>
    </row>
    <row r="349" spans="2:11" hidden="1">
      <c r="B349" s="118"/>
      <c r="C349" s="118"/>
      <c r="D349" s="118"/>
      <c r="E349" s="118"/>
      <c r="F349" s="118"/>
      <c r="G349" s="118"/>
      <c r="H349" s="118"/>
      <c r="I349" s="1343"/>
      <c r="J349" s="1499"/>
      <c r="K349" s="1499"/>
    </row>
    <row r="350" spans="2:11" hidden="1">
      <c r="B350" s="118"/>
      <c r="C350" s="118"/>
      <c r="D350" s="118"/>
      <c r="E350" s="118"/>
      <c r="F350" s="118"/>
      <c r="G350" s="118"/>
      <c r="H350" s="118"/>
      <c r="I350" s="1343"/>
      <c r="J350" s="1499"/>
      <c r="K350" s="1499"/>
    </row>
    <row r="351" spans="2:11" hidden="1">
      <c r="B351" s="118"/>
      <c r="C351" s="118"/>
      <c r="D351" s="118"/>
      <c r="E351" s="118"/>
      <c r="F351" s="118"/>
      <c r="G351" s="118"/>
      <c r="H351" s="118"/>
      <c r="I351" s="1343"/>
      <c r="J351" s="1499"/>
      <c r="K351" s="1499"/>
    </row>
    <row r="352" spans="2:11" hidden="1">
      <c r="B352" s="118"/>
      <c r="C352" s="118"/>
      <c r="D352" s="118"/>
      <c r="E352" s="118"/>
      <c r="F352" s="118"/>
      <c r="G352" s="118"/>
      <c r="H352" s="118"/>
      <c r="I352" s="1343"/>
      <c r="J352" s="1499"/>
      <c r="K352" s="1499"/>
    </row>
    <row r="353" spans="2:11" hidden="1">
      <c r="B353" s="118"/>
      <c r="C353" s="118"/>
      <c r="D353" s="118"/>
      <c r="E353" s="118"/>
      <c r="F353" s="118"/>
      <c r="G353" s="118"/>
      <c r="H353" s="118"/>
      <c r="I353" s="1343"/>
      <c r="J353" s="1499"/>
      <c r="K353" s="1499"/>
    </row>
    <row r="354" spans="2:11" hidden="1">
      <c r="B354" s="118"/>
      <c r="C354" s="118"/>
      <c r="D354" s="118"/>
      <c r="E354" s="118"/>
      <c r="F354" s="118"/>
      <c r="G354" s="118"/>
      <c r="H354" s="118"/>
      <c r="I354" s="1343"/>
      <c r="J354" s="1499"/>
      <c r="K354" s="1499"/>
    </row>
    <row r="355" spans="2:11" hidden="1">
      <c r="B355" s="118"/>
      <c r="C355" s="118"/>
      <c r="D355" s="118"/>
      <c r="E355" s="118"/>
      <c r="F355" s="118"/>
      <c r="G355" s="118"/>
      <c r="H355" s="118"/>
      <c r="I355" s="1343"/>
      <c r="J355" s="1499"/>
      <c r="K355" s="1499"/>
    </row>
    <row r="356" spans="2:11" hidden="1">
      <c r="B356" s="118"/>
      <c r="C356" s="118"/>
      <c r="D356" s="118"/>
      <c r="E356" s="118"/>
      <c r="F356" s="118"/>
      <c r="G356" s="118"/>
      <c r="H356" s="118"/>
      <c r="I356" s="1343"/>
      <c r="J356" s="1499"/>
      <c r="K356" s="1499"/>
    </row>
    <row r="357" spans="2:11" hidden="1">
      <c r="B357" s="118"/>
      <c r="C357" s="118"/>
      <c r="D357" s="118"/>
      <c r="E357" s="118"/>
      <c r="F357" s="118"/>
      <c r="G357" s="118"/>
      <c r="H357" s="118"/>
      <c r="I357" s="1343"/>
      <c r="J357" s="1499"/>
      <c r="K357" s="1499"/>
    </row>
    <row r="358" spans="2:11" hidden="1">
      <c r="B358" s="118"/>
      <c r="C358" s="118"/>
      <c r="D358" s="118"/>
      <c r="E358" s="118"/>
      <c r="F358" s="118"/>
      <c r="G358" s="118"/>
      <c r="H358" s="118"/>
      <c r="I358" s="1343"/>
      <c r="J358" s="1499"/>
      <c r="K358" s="1499"/>
    </row>
    <row r="359" spans="2:11" hidden="1">
      <c r="B359" s="118"/>
      <c r="C359" s="118"/>
      <c r="D359" s="118"/>
      <c r="E359" s="118"/>
      <c r="F359" s="118"/>
      <c r="G359" s="118"/>
      <c r="H359" s="118"/>
      <c r="I359" s="1343"/>
      <c r="J359" s="1499"/>
      <c r="K359" s="1499"/>
    </row>
    <row r="360" spans="2:11" hidden="1">
      <c r="B360" s="118"/>
      <c r="C360" s="118"/>
      <c r="D360" s="118"/>
      <c r="E360" s="118"/>
      <c r="F360" s="118"/>
      <c r="G360" s="118"/>
      <c r="H360" s="118"/>
      <c r="I360" s="1343"/>
      <c r="J360" s="1499"/>
      <c r="K360" s="1499"/>
    </row>
    <row r="361" spans="2:11" hidden="1">
      <c r="B361" s="118"/>
      <c r="C361" s="118"/>
      <c r="D361" s="118"/>
      <c r="E361" s="118"/>
      <c r="F361" s="118"/>
      <c r="G361" s="118"/>
      <c r="H361" s="118"/>
      <c r="I361" s="1343"/>
      <c r="J361" s="1499"/>
      <c r="K361" s="1499"/>
    </row>
    <row r="362" spans="2:11" hidden="1">
      <c r="B362" s="118"/>
      <c r="C362" s="118"/>
      <c r="D362" s="118"/>
      <c r="E362" s="118"/>
      <c r="F362" s="118"/>
      <c r="G362" s="118"/>
      <c r="H362" s="118"/>
      <c r="I362" s="1343"/>
      <c r="J362" s="1499"/>
      <c r="K362" s="1499"/>
    </row>
    <row r="363" spans="2:11" hidden="1">
      <c r="B363" s="118"/>
      <c r="C363" s="118"/>
      <c r="D363" s="118"/>
      <c r="E363" s="118"/>
      <c r="F363" s="118"/>
      <c r="G363" s="118"/>
      <c r="H363" s="118"/>
      <c r="I363" s="1343"/>
      <c r="J363" s="1499"/>
      <c r="K363" s="1499"/>
    </row>
    <row r="364" spans="2:11" hidden="1">
      <c r="B364" s="118"/>
      <c r="C364" s="118"/>
      <c r="D364" s="118"/>
      <c r="E364" s="118"/>
      <c r="F364" s="118"/>
      <c r="G364" s="118"/>
      <c r="H364" s="118"/>
      <c r="I364" s="1343"/>
      <c r="J364" s="1499"/>
      <c r="K364" s="1499"/>
    </row>
    <row r="365" spans="2:11" hidden="1">
      <c r="B365" s="118"/>
      <c r="C365" s="118"/>
      <c r="D365" s="118"/>
      <c r="E365" s="118"/>
      <c r="F365" s="118"/>
      <c r="G365" s="118"/>
      <c r="H365" s="118"/>
      <c r="I365" s="1343"/>
      <c r="J365" s="1499"/>
      <c r="K365" s="1499"/>
    </row>
    <row r="366" spans="2:11" hidden="1">
      <c r="B366" s="118"/>
      <c r="C366" s="118"/>
      <c r="D366" s="118"/>
      <c r="E366" s="118"/>
      <c r="F366" s="118"/>
      <c r="G366" s="118"/>
      <c r="H366" s="118"/>
      <c r="I366" s="1343"/>
      <c r="J366" s="1499"/>
      <c r="K366" s="1499"/>
    </row>
    <row r="367" spans="2:11" hidden="1">
      <c r="B367" s="118"/>
      <c r="C367" s="118"/>
      <c r="D367" s="118"/>
      <c r="E367" s="118"/>
      <c r="F367" s="118"/>
      <c r="G367" s="118"/>
      <c r="H367" s="118"/>
      <c r="I367" s="1343"/>
      <c r="J367" s="1499"/>
      <c r="K367" s="1499"/>
    </row>
    <row r="368" spans="2:11" hidden="1">
      <c r="B368" s="118"/>
      <c r="C368" s="118"/>
      <c r="D368" s="118"/>
      <c r="E368" s="118"/>
      <c r="F368" s="118"/>
      <c r="G368" s="118"/>
      <c r="H368" s="118"/>
      <c r="I368" s="1343"/>
      <c r="J368" s="1499"/>
      <c r="K368" s="1499"/>
    </row>
    <row r="369" spans="1:60" hidden="1">
      <c r="B369" s="118"/>
      <c r="C369" s="118"/>
      <c r="D369" s="118"/>
      <c r="E369" s="118"/>
      <c r="F369" s="118"/>
      <c r="G369" s="118"/>
      <c r="H369" s="118"/>
      <c r="I369" s="1343"/>
      <c r="J369" s="1499"/>
      <c r="K369" s="1499"/>
    </row>
    <row r="370" spans="1:60" hidden="1">
      <c r="B370" s="118"/>
      <c r="C370" s="118"/>
      <c r="D370" s="118"/>
      <c r="E370" s="118"/>
      <c r="F370" s="118"/>
      <c r="G370" s="118"/>
      <c r="H370" s="118"/>
      <c r="I370" s="1343"/>
      <c r="J370" s="1499"/>
      <c r="K370" s="1499"/>
    </row>
    <row r="371" spans="1:60" hidden="1">
      <c r="B371" s="118"/>
      <c r="C371" s="118"/>
      <c r="D371" s="118"/>
      <c r="E371" s="118"/>
      <c r="F371" s="118"/>
      <c r="G371" s="118"/>
      <c r="H371" s="118"/>
      <c r="I371" s="1343"/>
      <c r="J371" s="1499"/>
      <c r="K371" s="1499"/>
    </row>
    <row r="372" spans="1:60" hidden="1">
      <c r="B372" s="118"/>
      <c r="C372" s="118"/>
      <c r="D372" s="118"/>
      <c r="E372" s="118"/>
      <c r="F372" s="118"/>
      <c r="G372" s="118"/>
      <c r="H372" s="118"/>
      <c r="I372" s="1343"/>
      <c r="J372" s="1499"/>
      <c r="K372" s="1499"/>
    </row>
    <row r="373" spans="1:60" hidden="1">
      <c r="B373" s="118"/>
      <c r="C373" s="118"/>
      <c r="D373" s="118"/>
      <c r="E373" s="118"/>
      <c r="F373" s="118"/>
      <c r="G373" s="118"/>
      <c r="H373" s="118"/>
      <c r="I373" s="1343"/>
      <c r="J373" s="1499"/>
      <c r="K373" s="1499"/>
    </row>
    <row r="374" spans="1:60" hidden="1">
      <c r="B374" s="118"/>
      <c r="C374" s="118"/>
      <c r="D374" s="118"/>
      <c r="E374" s="118"/>
      <c r="F374" s="118"/>
      <c r="G374" s="118"/>
      <c r="H374" s="118"/>
      <c r="I374" s="1343"/>
      <c r="J374" s="1499"/>
      <c r="K374" s="1499"/>
    </row>
    <row r="375" spans="1:60" hidden="1">
      <c r="B375" s="118"/>
      <c r="C375" s="118"/>
      <c r="D375" s="118"/>
      <c r="E375" s="118"/>
      <c r="F375" s="118"/>
      <c r="G375" s="118"/>
      <c r="H375" s="118"/>
      <c r="I375" s="1343"/>
      <c r="J375" s="1499"/>
      <c r="K375" s="1499"/>
    </row>
    <row r="376" spans="1:60" hidden="1">
      <c r="B376" s="118"/>
      <c r="C376" s="118"/>
      <c r="D376" s="118"/>
      <c r="E376" s="118"/>
      <c r="F376" s="118"/>
      <c r="G376" s="118"/>
      <c r="H376" s="118"/>
      <c r="I376" s="1343"/>
      <c r="J376" s="1499"/>
      <c r="K376" s="1499"/>
    </row>
    <row r="377" spans="1:60" hidden="1">
      <c r="B377" s="118"/>
      <c r="C377" s="118"/>
      <c r="D377" s="118"/>
      <c r="E377" s="118"/>
      <c r="F377" s="118"/>
      <c r="G377" s="118"/>
      <c r="H377" s="118"/>
      <c r="I377" s="1343"/>
      <c r="J377" s="1499"/>
      <c r="K377" s="1499"/>
    </row>
    <row r="378" spans="1:60" hidden="1">
      <c r="B378" s="118"/>
      <c r="C378" s="118"/>
      <c r="D378" s="118"/>
      <c r="E378" s="118"/>
      <c r="F378" s="118"/>
      <c r="G378" s="118"/>
      <c r="H378" s="118"/>
      <c r="I378" s="1343"/>
      <c r="J378" s="1499"/>
      <c r="K378" s="1499"/>
    </row>
    <row r="379" spans="1:60" hidden="1">
      <c r="B379" s="118"/>
      <c r="C379" s="118"/>
      <c r="D379" s="118"/>
      <c r="E379" s="118"/>
      <c r="F379" s="118"/>
      <c r="G379" s="118"/>
      <c r="H379" s="118"/>
      <c r="I379" s="1343"/>
      <c r="J379" s="1499"/>
      <c r="K379" s="1499"/>
    </row>
    <row r="380" spans="1:60" hidden="1">
      <c r="B380" s="118"/>
      <c r="C380" s="118"/>
      <c r="D380" s="118"/>
      <c r="E380" s="118"/>
      <c r="F380" s="118"/>
      <c r="G380" s="118"/>
      <c r="H380" s="118"/>
      <c r="I380" s="1343"/>
      <c r="J380" s="1499"/>
      <c r="K380" s="1499"/>
    </row>
    <row r="381" spans="1:60" hidden="1">
      <c r="B381" s="118"/>
      <c r="C381" s="118"/>
      <c r="D381" s="118"/>
      <c r="E381" s="118"/>
      <c r="F381" s="118"/>
      <c r="G381" s="118"/>
      <c r="H381" s="118"/>
      <c r="I381" s="1343"/>
      <c r="J381" s="1499"/>
      <c r="K381" s="1499"/>
    </row>
    <row r="382" spans="1:60" hidden="1">
      <c r="B382" s="118"/>
      <c r="C382" s="118"/>
      <c r="D382" s="118"/>
      <c r="E382" s="118"/>
      <c r="F382" s="118"/>
      <c r="G382" s="118"/>
      <c r="H382" s="118"/>
      <c r="I382" s="1343"/>
      <c r="J382" s="1499"/>
      <c r="K382" s="1499"/>
    </row>
    <row r="383" spans="1:60" hidden="1">
      <c r="B383" s="118"/>
      <c r="C383" s="118"/>
      <c r="D383" s="118"/>
      <c r="E383" s="118"/>
      <c r="F383" s="118"/>
      <c r="G383" s="118"/>
      <c r="H383" s="118"/>
      <c r="I383" s="118"/>
      <c r="J383" s="1499"/>
      <c r="K383" s="1499"/>
    </row>
    <row r="384" spans="1:60" s="201" customFormat="1" hidden="1">
      <c r="A384" s="112"/>
      <c r="B384" s="118"/>
      <c r="C384" s="118"/>
      <c r="D384" s="118"/>
      <c r="E384" s="118"/>
      <c r="F384" s="118"/>
      <c r="G384" s="118"/>
      <c r="H384" s="118"/>
      <c r="I384" s="118"/>
      <c r="J384" s="1499"/>
      <c r="K384" s="1499"/>
      <c r="L384" s="519"/>
      <c r="M384" s="519"/>
      <c r="N384" s="519"/>
      <c r="O384" s="519"/>
      <c r="P384" s="519"/>
      <c r="Q384" s="519"/>
      <c r="R384" s="519"/>
      <c r="S384" s="519"/>
      <c r="T384" s="519"/>
      <c r="U384" s="519"/>
      <c r="V384" s="519"/>
      <c r="W384" s="519"/>
      <c r="X384" s="519"/>
      <c r="Y384" s="519"/>
      <c r="Z384" s="519"/>
      <c r="AA384" s="519"/>
      <c r="AB384" s="519"/>
      <c r="AC384" s="519"/>
      <c r="AD384" s="519"/>
      <c r="AE384" s="519"/>
      <c r="AF384" s="519"/>
      <c r="AG384" s="519"/>
      <c r="AH384" s="519"/>
      <c r="AI384" s="519"/>
      <c r="AJ384" s="519"/>
      <c r="AK384" s="519"/>
      <c r="AL384" s="519"/>
      <c r="AM384" s="519"/>
      <c r="AN384" s="519"/>
      <c r="AO384" s="519"/>
      <c r="AP384" s="519"/>
      <c r="AQ384" s="519"/>
      <c r="AR384" s="519"/>
      <c r="AS384" s="519"/>
      <c r="AT384" s="519"/>
      <c r="AU384" s="519"/>
      <c r="AV384" s="519"/>
      <c r="AW384" s="519"/>
      <c r="AX384" s="519"/>
      <c r="AY384" s="519"/>
      <c r="AZ384" s="519"/>
      <c r="BA384" s="519"/>
      <c r="BB384" s="519"/>
      <c r="BC384" s="519"/>
      <c r="BD384" s="519"/>
      <c r="BE384" s="519"/>
      <c r="BF384" s="912"/>
      <c r="BG384" s="519"/>
      <c r="BH384" s="519"/>
    </row>
    <row r="385" spans="1:60" s="201" customFormat="1" hidden="1">
      <c r="A385" s="112"/>
      <c r="B385" s="118"/>
      <c r="C385" s="118"/>
      <c r="D385" s="118"/>
      <c r="E385" s="118"/>
      <c r="F385" s="118"/>
      <c r="G385" s="118"/>
      <c r="H385" s="118"/>
      <c r="I385" s="118"/>
      <c r="J385" s="1499"/>
      <c r="K385" s="1499"/>
      <c r="L385" s="519"/>
      <c r="M385" s="519"/>
      <c r="N385" s="519"/>
      <c r="O385" s="519"/>
      <c r="P385" s="519"/>
      <c r="Q385" s="519"/>
      <c r="R385" s="519"/>
      <c r="S385" s="519"/>
      <c r="T385" s="519"/>
      <c r="U385" s="519"/>
      <c r="V385" s="519"/>
      <c r="W385" s="519"/>
      <c r="X385" s="519"/>
      <c r="Y385" s="519"/>
      <c r="Z385" s="519"/>
      <c r="AA385" s="519"/>
      <c r="AB385" s="519"/>
      <c r="AC385" s="519"/>
      <c r="AD385" s="519"/>
      <c r="AE385" s="519"/>
      <c r="AF385" s="519"/>
      <c r="AG385" s="519"/>
      <c r="AH385" s="519"/>
      <c r="AI385" s="519"/>
      <c r="AJ385" s="519"/>
      <c r="AK385" s="519"/>
      <c r="AL385" s="519"/>
      <c r="AM385" s="519"/>
      <c r="AN385" s="519"/>
      <c r="AO385" s="519"/>
      <c r="AP385" s="519"/>
      <c r="AQ385" s="519"/>
      <c r="AR385" s="519"/>
      <c r="AS385" s="519"/>
      <c r="AT385" s="519"/>
      <c r="AU385" s="519"/>
      <c r="AV385" s="519"/>
      <c r="AW385" s="519"/>
      <c r="AX385" s="519"/>
      <c r="AY385" s="519"/>
      <c r="AZ385" s="519"/>
      <c r="BA385" s="519"/>
      <c r="BB385" s="519"/>
      <c r="BC385" s="519"/>
      <c r="BD385" s="519"/>
      <c r="BE385" s="519"/>
      <c r="BF385" s="912"/>
      <c r="BG385" s="519"/>
      <c r="BH385" s="519"/>
    </row>
    <row r="386" spans="1:60" s="201" customFormat="1" ht="13.5" hidden="1" customHeight="1">
      <c r="A386" s="112"/>
      <c r="B386" s="112"/>
      <c r="C386" s="112"/>
      <c r="D386" s="112"/>
      <c r="E386" s="112"/>
      <c r="F386" s="112"/>
      <c r="G386" s="112"/>
      <c r="H386" s="112"/>
      <c r="I386" s="112"/>
      <c r="J386" s="912"/>
      <c r="K386" s="912"/>
      <c r="L386" s="519"/>
      <c r="M386" s="519"/>
      <c r="N386" s="519"/>
      <c r="O386" s="519"/>
      <c r="P386" s="519"/>
      <c r="Q386" s="519"/>
      <c r="R386" s="519"/>
      <c r="S386" s="519"/>
      <c r="T386" s="519"/>
      <c r="U386" s="519"/>
      <c r="V386" s="519"/>
      <c r="W386" s="519"/>
      <c r="X386" s="519"/>
      <c r="Y386" s="519"/>
      <c r="Z386" s="519"/>
      <c r="AA386" s="519"/>
      <c r="AB386" s="519"/>
      <c r="AC386" s="519"/>
      <c r="AD386" s="519"/>
      <c r="AE386" s="519"/>
      <c r="AF386" s="519"/>
      <c r="AG386" s="519"/>
      <c r="AH386" s="519"/>
      <c r="AI386" s="519"/>
      <c r="AJ386" s="519"/>
      <c r="AK386" s="519"/>
      <c r="AL386" s="519"/>
      <c r="AM386" s="519"/>
      <c r="AN386" s="519"/>
      <c r="AO386" s="519"/>
      <c r="AP386" s="519"/>
      <c r="AQ386" s="519"/>
      <c r="AR386" s="519"/>
      <c r="AS386" s="519"/>
      <c r="AT386" s="519"/>
      <c r="AU386" s="519"/>
      <c r="AV386" s="519"/>
      <c r="AW386" s="519"/>
      <c r="AX386" s="519"/>
      <c r="AY386" s="519"/>
      <c r="AZ386" s="519"/>
      <c r="BA386" s="519"/>
      <c r="BB386" s="519"/>
      <c r="BC386" s="519"/>
      <c r="BD386" s="519"/>
      <c r="BE386" s="519"/>
      <c r="BF386" s="912"/>
      <c r="BG386" s="519"/>
      <c r="BH386" s="519"/>
    </row>
    <row r="387" spans="1:60" s="201" customFormat="1" ht="13.5" hidden="1" thickBot="1">
      <c r="A387" s="112"/>
      <c r="B387" s="112"/>
      <c r="C387" s="112"/>
      <c r="D387" s="112"/>
      <c r="E387" s="112"/>
      <c r="F387" s="112"/>
      <c r="G387" s="112"/>
      <c r="H387" s="112"/>
      <c r="I387" s="112"/>
      <c r="J387" s="912"/>
      <c r="K387" s="912"/>
      <c r="L387" s="519"/>
      <c r="M387" s="519"/>
      <c r="N387" s="519"/>
      <c r="O387" s="519"/>
      <c r="P387" s="519"/>
      <c r="Q387" s="519"/>
      <c r="R387" s="519"/>
      <c r="S387" s="519"/>
      <c r="T387" s="519"/>
      <c r="U387" s="519"/>
      <c r="V387" s="519"/>
      <c r="W387" s="519"/>
      <c r="X387" s="519"/>
      <c r="Y387" s="519"/>
      <c r="Z387" s="519"/>
      <c r="AA387" s="519"/>
      <c r="AB387" s="519"/>
      <c r="AC387" s="519"/>
      <c r="AD387" s="519"/>
      <c r="AE387" s="519"/>
      <c r="AF387" s="519"/>
      <c r="AG387" s="519"/>
      <c r="AH387" s="519"/>
      <c r="AI387" s="519"/>
      <c r="AJ387" s="519"/>
      <c r="AK387" s="519"/>
      <c r="AL387" s="519"/>
      <c r="AM387" s="519"/>
      <c r="AN387" s="519"/>
      <c r="AO387" s="519"/>
      <c r="AP387" s="519"/>
      <c r="AQ387" s="519"/>
      <c r="AR387" s="519"/>
      <c r="AS387" s="519"/>
      <c r="AT387" s="519"/>
      <c r="AU387" s="519"/>
      <c r="AV387" s="519"/>
      <c r="AW387" s="519"/>
      <c r="AX387" s="519"/>
      <c r="AY387" s="519"/>
      <c r="AZ387" s="519"/>
      <c r="BA387" s="519"/>
      <c r="BB387" s="519"/>
      <c r="BC387" s="519"/>
      <c r="BD387" s="519"/>
      <c r="BE387" s="519"/>
      <c r="BF387" s="912"/>
      <c r="BG387" s="519"/>
      <c r="BH387" s="519"/>
    </row>
    <row r="388" spans="1:60" s="201" customFormat="1" hidden="1">
      <c r="A388" s="112"/>
      <c r="B388" s="122"/>
      <c r="C388" s="123"/>
      <c r="D388" s="123"/>
      <c r="E388" s="123"/>
      <c r="F388" s="124"/>
      <c r="G388" s="125"/>
      <c r="H388" s="124"/>
      <c r="I388" s="124"/>
      <c r="J388" s="1505"/>
      <c r="K388" s="912"/>
      <c r="L388" s="519"/>
      <c r="M388" s="519"/>
      <c r="N388" s="519"/>
      <c r="O388" s="519"/>
      <c r="P388" s="519"/>
      <c r="Q388" s="519"/>
      <c r="R388" s="519"/>
      <c r="S388" s="519"/>
      <c r="T388" s="519"/>
      <c r="U388" s="519"/>
      <c r="V388" s="519"/>
      <c r="W388" s="519"/>
      <c r="X388" s="519"/>
      <c r="Y388" s="519"/>
      <c r="Z388" s="519"/>
      <c r="AA388" s="519"/>
      <c r="AB388" s="519"/>
      <c r="AC388" s="519"/>
      <c r="AD388" s="519"/>
      <c r="AE388" s="519"/>
      <c r="AF388" s="519"/>
      <c r="AG388" s="519"/>
      <c r="AH388" s="519"/>
      <c r="AI388" s="519"/>
      <c r="AJ388" s="519"/>
      <c r="AK388" s="519"/>
      <c r="AL388" s="519"/>
      <c r="AM388" s="519"/>
      <c r="AN388" s="519"/>
      <c r="AO388" s="519"/>
      <c r="AP388" s="519"/>
      <c r="AQ388" s="519"/>
      <c r="AR388" s="519"/>
      <c r="AS388" s="519"/>
      <c r="AT388" s="519"/>
      <c r="AU388" s="519"/>
      <c r="AV388" s="519"/>
      <c r="AW388" s="519"/>
      <c r="AX388" s="519"/>
      <c r="AY388" s="519"/>
      <c r="AZ388" s="519"/>
      <c r="BA388" s="519"/>
      <c r="BB388" s="519"/>
      <c r="BC388" s="519"/>
      <c r="BD388" s="519"/>
      <c r="BE388" s="519"/>
      <c r="BF388" s="912"/>
      <c r="BG388" s="519"/>
      <c r="BH388" s="519"/>
    </row>
    <row r="389" spans="1:60" s="201" customFormat="1" hidden="1">
      <c r="A389" s="112"/>
      <c r="B389" s="203"/>
      <c r="C389" s="128"/>
      <c r="D389" s="128" t="s">
        <v>13</v>
      </c>
      <c r="E389" s="128"/>
      <c r="F389" s="129" t="s">
        <v>0</v>
      </c>
      <c r="G389" s="129" t="s">
        <v>9</v>
      </c>
      <c r="H389" s="130" t="s">
        <v>34</v>
      </c>
      <c r="I389" s="130" t="s">
        <v>35</v>
      </c>
      <c r="J389" s="1506"/>
      <c r="K389" s="912"/>
      <c r="L389" s="519"/>
      <c r="M389" s="519"/>
      <c r="N389" s="519"/>
      <c r="O389" s="519"/>
      <c r="P389" s="519"/>
      <c r="Q389" s="519"/>
      <c r="R389" s="519"/>
      <c r="S389" s="519"/>
      <c r="T389" s="519"/>
      <c r="U389" s="519"/>
      <c r="V389" s="519"/>
      <c r="W389" s="519"/>
      <c r="X389" s="519"/>
      <c r="Y389" s="519"/>
      <c r="Z389" s="519"/>
      <c r="AA389" s="519"/>
      <c r="AB389" s="519"/>
      <c r="AC389" s="519"/>
      <c r="AD389" s="519"/>
      <c r="AE389" s="519"/>
      <c r="AF389" s="519"/>
      <c r="AG389" s="519"/>
      <c r="AH389" s="519"/>
      <c r="AI389" s="519"/>
      <c r="AJ389" s="519"/>
      <c r="AK389" s="519"/>
      <c r="AL389" s="519"/>
      <c r="AM389" s="519"/>
      <c r="AN389" s="519"/>
      <c r="AO389" s="519"/>
      <c r="AP389" s="519"/>
      <c r="AQ389" s="519"/>
      <c r="AR389" s="519"/>
      <c r="AS389" s="519"/>
      <c r="AT389" s="519"/>
      <c r="AU389" s="519"/>
      <c r="AV389" s="519"/>
      <c r="AW389" s="519"/>
      <c r="AX389" s="519"/>
      <c r="AY389" s="519"/>
      <c r="AZ389" s="519"/>
      <c r="BA389" s="519"/>
      <c r="BB389" s="519"/>
      <c r="BC389" s="519"/>
      <c r="BD389" s="519"/>
      <c r="BE389" s="519"/>
      <c r="BF389" s="912"/>
      <c r="BG389" s="519"/>
      <c r="BH389" s="519"/>
    </row>
    <row r="390" spans="1:60" s="201" customFormat="1" hidden="1">
      <c r="A390" s="112"/>
      <c r="B390" s="203"/>
      <c r="C390" s="132"/>
      <c r="D390" s="132" t="s">
        <v>43</v>
      </c>
      <c r="E390" s="132"/>
      <c r="F390" s="133"/>
      <c r="G390" s="134"/>
      <c r="H390" s="135"/>
      <c r="I390" s="135"/>
      <c r="J390" s="1506"/>
      <c r="K390" s="1500" t="s">
        <v>1127</v>
      </c>
      <c r="L390" s="1498" t="s">
        <v>1128</v>
      </c>
      <c r="M390" s="519"/>
      <c r="N390" s="519"/>
      <c r="O390" s="519"/>
      <c r="P390" s="519"/>
      <c r="Q390" s="519"/>
      <c r="R390" s="519"/>
      <c r="S390" s="519"/>
      <c r="T390" s="519"/>
      <c r="U390" s="519"/>
      <c r="V390" s="519"/>
      <c r="W390" s="519"/>
      <c r="X390" s="519"/>
      <c r="Y390" s="519"/>
      <c r="Z390" s="519"/>
      <c r="AA390" s="519"/>
      <c r="AB390" s="519"/>
      <c r="AC390" s="519"/>
      <c r="AD390" s="519"/>
      <c r="AE390" s="519"/>
      <c r="AF390" s="519"/>
      <c r="AG390" s="519"/>
      <c r="AH390" s="519"/>
      <c r="AI390" s="519"/>
      <c r="AJ390" s="519"/>
      <c r="AK390" s="519"/>
      <c r="AL390" s="519"/>
      <c r="AM390" s="519"/>
      <c r="AN390" s="519"/>
      <c r="AO390" s="519"/>
      <c r="AP390" s="519"/>
      <c r="AQ390" s="519"/>
      <c r="AR390" s="519"/>
      <c r="AS390" s="519"/>
      <c r="AT390" s="519"/>
      <c r="AU390" s="519"/>
      <c r="AV390" s="519"/>
      <c r="AW390" s="519"/>
      <c r="AX390" s="519"/>
      <c r="AY390" s="519"/>
      <c r="AZ390" s="519"/>
      <c r="BA390" s="519"/>
      <c r="BB390" s="519"/>
      <c r="BC390" s="519"/>
      <c r="BD390" s="519"/>
      <c r="BE390" s="519"/>
      <c r="BF390" s="912"/>
      <c r="BG390" s="519"/>
      <c r="BH390" s="519"/>
    </row>
    <row r="391" spans="1:60" s="201" customFormat="1" hidden="1">
      <c r="A391" s="112"/>
      <c r="B391" s="203"/>
      <c r="C391" s="133"/>
      <c r="D391" s="133"/>
      <c r="E391" s="115"/>
      <c r="F391" s="196" t="s">
        <v>1208</v>
      </c>
      <c r="G391" s="1095" t="s">
        <v>1219</v>
      </c>
      <c r="H391" s="377" t="s">
        <v>1397</v>
      </c>
      <c r="I391" s="1081">
        <v>10463</v>
      </c>
      <c r="J391" s="1506"/>
      <c r="K391" s="1507"/>
      <c r="L391" s="993"/>
      <c r="M391" s="919"/>
      <c r="N391" s="519"/>
      <c r="O391" s="519"/>
      <c r="P391" s="519"/>
      <c r="Q391" s="519"/>
      <c r="R391" s="519"/>
      <c r="S391" s="519"/>
      <c r="T391" s="519"/>
      <c r="U391" s="519"/>
      <c r="V391" s="519"/>
      <c r="W391" s="519"/>
      <c r="X391" s="519"/>
      <c r="Y391" s="519"/>
      <c r="Z391" s="519"/>
      <c r="AA391" s="519"/>
      <c r="AB391" s="519"/>
      <c r="AC391" s="519"/>
      <c r="AD391" s="519"/>
      <c r="AE391" s="519"/>
      <c r="AF391" s="519"/>
      <c r="AG391" s="519"/>
      <c r="AH391" s="519"/>
      <c r="AI391" s="519"/>
      <c r="AJ391" s="519"/>
      <c r="AK391" s="519"/>
      <c r="AL391" s="519"/>
      <c r="AM391" s="519"/>
      <c r="AN391" s="519"/>
      <c r="AO391" s="519"/>
      <c r="AP391" s="519"/>
      <c r="AQ391" s="519"/>
      <c r="AR391" s="519"/>
      <c r="AS391" s="519"/>
      <c r="AT391" s="519"/>
      <c r="AU391" s="519"/>
      <c r="AV391" s="519"/>
      <c r="AW391" s="519"/>
      <c r="AX391" s="519"/>
      <c r="AY391" s="519"/>
      <c r="AZ391" s="519"/>
      <c r="BA391" s="519"/>
      <c r="BB391" s="519"/>
      <c r="BC391" s="519"/>
      <c r="BD391" s="519"/>
      <c r="BE391" s="519"/>
      <c r="BF391" s="912"/>
      <c r="BG391" s="519"/>
      <c r="BH391" s="519"/>
    </row>
    <row r="392" spans="1:60" s="201" customFormat="1" hidden="1">
      <c r="A392" s="112"/>
      <c r="B392" s="203"/>
      <c r="C392" s="133"/>
      <c r="D392" s="133"/>
      <c r="E392" s="115"/>
      <c r="F392" s="1182" t="s">
        <v>1209</v>
      </c>
      <c r="G392" s="1183" t="s">
        <v>1245</v>
      </c>
      <c r="H392" s="1301" t="s">
        <v>1214</v>
      </c>
      <c r="I392" s="1184">
        <v>9995</v>
      </c>
      <c r="J392" s="1508"/>
      <c r="K392" s="912"/>
      <c r="L392" s="519"/>
      <c r="M392" s="921"/>
      <c r="N392" s="919"/>
      <c r="O392" s="519"/>
      <c r="P392" s="519"/>
      <c r="Q392" s="519"/>
      <c r="R392" s="519"/>
      <c r="S392" s="519"/>
      <c r="T392" s="519"/>
      <c r="U392" s="519"/>
      <c r="V392" s="519"/>
      <c r="W392" s="519"/>
      <c r="X392" s="519"/>
      <c r="Y392" s="519"/>
      <c r="Z392" s="519"/>
      <c r="AA392" s="519"/>
      <c r="AB392" s="519"/>
      <c r="AC392" s="519"/>
      <c r="AD392" s="519"/>
      <c r="AE392" s="519"/>
      <c r="AF392" s="519"/>
      <c r="AG392" s="519"/>
      <c r="AH392" s="519"/>
      <c r="AI392" s="519"/>
      <c r="AJ392" s="519"/>
      <c r="AK392" s="519"/>
      <c r="AL392" s="519"/>
      <c r="AM392" s="519"/>
      <c r="AN392" s="519"/>
      <c r="AO392" s="519"/>
      <c r="AP392" s="519"/>
      <c r="AQ392" s="519"/>
      <c r="AR392" s="519"/>
      <c r="AS392" s="519"/>
      <c r="AT392" s="519"/>
      <c r="AU392" s="519"/>
      <c r="AV392" s="519"/>
      <c r="AW392" s="519"/>
      <c r="AX392" s="519"/>
      <c r="AY392" s="519"/>
      <c r="AZ392" s="519"/>
      <c r="BA392" s="519"/>
      <c r="BB392" s="519"/>
      <c r="BC392" s="519"/>
      <c r="BD392" s="519"/>
      <c r="BE392" s="519"/>
      <c r="BF392" s="912"/>
      <c r="BG392" s="519"/>
      <c r="BH392" s="519"/>
    </row>
    <row r="393" spans="1:60" s="201" customFormat="1" hidden="1">
      <c r="A393" s="112"/>
      <c r="B393" s="203"/>
      <c r="C393" s="133"/>
      <c r="D393" s="133"/>
      <c r="E393" s="115"/>
      <c r="F393" s="1182" t="s">
        <v>1210</v>
      </c>
      <c r="G393" s="1183" t="s">
        <v>1246</v>
      </c>
      <c r="H393" s="1301" t="s">
        <v>1215</v>
      </c>
      <c r="I393" s="1184">
        <v>10215</v>
      </c>
      <c r="J393" s="1508"/>
      <c r="K393" s="912"/>
      <c r="L393" s="918"/>
      <c r="M393" s="918"/>
      <c r="N393" s="519"/>
      <c r="O393" s="519"/>
      <c r="P393" s="519"/>
      <c r="Q393" s="519"/>
      <c r="R393" s="519"/>
      <c r="S393" s="519"/>
      <c r="T393" s="519"/>
      <c r="U393" s="519"/>
      <c r="V393" s="519"/>
      <c r="W393" s="519"/>
      <c r="X393" s="519"/>
      <c r="Y393" s="519"/>
      <c r="Z393" s="519"/>
      <c r="AA393" s="519"/>
      <c r="AB393" s="519"/>
      <c r="AC393" s="519"/>
      <c r="AD393" s="519"/>
      <c r="AE393" s="519"/>
      <c r="AF393" s="519"/>
      <c r="AG393" s="519"/>
      <c r="AH393" s="519"/>
      <c r="AI393" s="519"/>
      <c r="AJ393" s="519"/>
      <c r="AK393" s="519"/>
      <c r="AL393" s="519"/>
      <c r="AM393" s="519"/>
      <c r="AN393" s="519"/>
      <c r="AO393" s="519"/>
      <c r="AP393" s="519"/>
      <c r="AQ393" s="519"/>
      <c r="AR393" s="519"/>
      <c r="AS393" s="519"/>
      <c r="AT393" s="519"/>
      <c r="AU393" s="519"/>
      <c r="AV393" s="519"/>
      <c r="AW393" s="519"/>
      <c r="AX393" s="519"/>
      <c r="AY393" s="519"/>
      <c r="AZ393" s="519"/>
      <c r="BA393" s="519"/>
      <c r="BB393" s="519"/>
      <c r="BC393" s="519"/>
      <c r="BD393" s="519"/>
      <c r="BE393" s="519"/>
      <c r="BF393" s="912"/>
      <c r="BG393" s="519"/>
      <c r="BH393" s="519"/>
    </row>
    <row r="394" spans="1:60" s="201" customFormat="1" hidden="1">
      <c r="A394" s="112"/>
      <c r="B394" s="203"/>
      <c r="C394" s="133"/>
      <c r="D394" s="133"/>
      <c r="E394" s="115"/>
      <c r="F394" s="196" t="s">
        <v>1213</v>
      </c>
      <c r="G394" s="1096" t="s">
        <v>1247</v>
      </c>
      <c r="H394" s="383" t="s">
        <v>1216</v>
      </c>
      <c r="I394" s="792" t="s">
        <v>650</v>
      </c>
      <c r="J394" s="1506"/>
      <c r="K394" s="912"/>
      <c r="L394" s="518"/>
      <c r="M394" s="519"/>
      <c r="N394" s="519"/>
      <c r="O394" s="519"/>
      <c r="P394" s="519"/>
      <c r="Q394" s="519"/>
      <c r="R394" s="519"/>
      <c r="S394" s="519"/>
      <c r="T394" s="519"/>
      <c r="U394" s="519"/>
      <c r="V394" s="519"/>
      <c r="W394" s="519"/>
      <c r="X394" s="519"/>
      <c r="Y394" s="519"/>
      <c r="Z394" s="519"/>
      <c r="AA394" s="519"/>
      <c r="AB394" s="519"/>
      <c r="AC394" s="519"/>
      <c r="AD394" s="519"/>
      <c r="AE394" s="519"/>
      <c r="AF394" s="519"/>
      <c r="AG394" s="519"/>
      <c r="AH394" s="519"/>
      <c r="AI394" s="519"/>
      <c r="AJ394" s="519"/>
      <c r="AK394" s="519"/>
      <c r="AL394" s="519"/>
      <c r="AM394" s="519"/>
      <c r="AN394" s="519"/>
      <c r="AO394" s="519"/>
      <c r="AP394" s="519"/>
      <c r="AQ394" s="519"/>
      <c r="AR394" s="519"/>
      <c r="AS394" s="519"/>
      <c r="AT394" s="519"/>
      <c r="AU394" s="519"/>
      <c r="AV394" s="519"/>
      <c r="AW394" s="519"/>
      <c r="AX394" s="519"/>
      <c r="AY394" s="519"/>
      <c r="AZ394" s="519"/>
      <c r="BA394" s="519"/>
      <c r="BB394" s="519"/>
      <c r="BC394" s="519"/>
      <c r="BD394" s="519"/>
      <c r="BE394" s="519"/>
      <c r="BF394" s="912"/>
      <c r="BG394" s="519"/>
      <c r="BH394" s="519"/>
    </row>
    <row r="395" spans="1:60" s="201" customFormat="1" hidden="1">
      <c r="A395" s="112"/>
      <c r="B395" s="203"/>
      <c r="C395" s="133"/>
      <c r="D395" s="133"/>
      <c r="E395" s="115"/>
      <c r="F395" s="196" t="s">
        <v>1212</v>
      </c>
      <c r="G395" s="1096" t="s">
        <v>1248</v>
      </c>
      <c r="H395" s="383" t="s">
        <v>1217</v>
      </c>
      <c r="I395" s="792" t="s">
        <v>650</v>
      </c>
      <c r="J395" s="1506"/>
      <c r="K395" s="912"/>
      <c r="L395" s="518"/>
      <c r="M395" s="919"/>
      <c r="N395" s="519"/>
      <c r="O395" s="919"/>
      <c r="P395" s="922"/>
      <c r="Q395" s="919"/>
      <c r="R395" s="519"/>
      <c r="S395" s="519"/>
      <c r="T395" s="519"/>
      <c r="U395" s="519"/>
      <c r="V395" s="519"/>
      <c r="W395" s="519"/>
      <c r="X395" s="519"/>
      <c r="Y395" s="519"/>
      <c r="Z395" s="519"/>
      <c r="AA395" s="519"/>
      <c r="AB395" s="519"/>
      <c r="AC395" s="519"/>
      <c r="AD395" s="519"/>
      <c r="AE395" s="519"/>
      <c r="AF395" s="519"/>
      <c r="AG395" s="519"/>
      <c r="AH395" s="519"/>
      <c r="AI395" s="519"/>
      <c r="AJ395" s="519"/>
      <c r="AK395" s="519"/>
      <c r="AL395" s="519"/>
      <c r="AM395" s="519"/>
      <c r="AN395" s="519"/>
      <c r="AO395" s="519"/>
      <c r="AP395" s="519"/>
      <c r="AQ395" s="519"/>
      <c r="AR395" s="519"/>
      <c r="AS395" s="519"/>
      <c r="AT395" s="519"/>
      <c r="AU395" s="519"/>
      <c r="AV395" s="519"/>
      <c r="AW395" s="519"/>
      <c r="AX395" s="519"/>
      <c r="AY395" s="519"/>
      <c r="AZ395" s="519"/>
      <c r="BA395" s="519"/>
      <c r="BB395" s="519"/>
      <c r="BC395" s="519"/>
      <c r="BD395" s="519"/>
      <c r="BE395" s="519"/>
      <c r="BF395" s="912"/>
      <c r="BG395" s="519"/>
      <c r="BH395" s="519"/>
    </row>
    <row r="396" spans="1:60" s="201" customFormat="1" hidden="1">
      <c r="A396" s="112"/>
      <c r="B396" s="203"/>
      <c r="C396" s="133"/>
      <c r="D396" s="133"/>
      <c r="E396" s="115"/>
      <c r="F396" s="196" t="s">
        <v>1211</v>
      </c>
      <c r="G396" s="1096" t="s">
        <v>1249</v>
      </c>
      <c r="H396" s="383" t="s">
        <v>1218</v>
      </c>
      <c r="I396" s="792" t="s">
        <v>650</v>
      </c>
      <c r="J396" s="1506"/>
      <c r="K396" s="912"/>
      <c r="L396" s="518"/>
      <c r="M396" s="519"/>
      <c r="N396" s="519"/>
      <c r="O396" s="519"/>
      <c r="P396" s="519"/>
      <c r="Q396" s="519"/>
      <c r="R396" s="519"/>
      <c r="S396" s="519"/>
      <c r="T396" s="519"/>
      <c r="U396" s="519"/>
      <c r="V396" s="519"/>
      <c r="W396" s="519"/>
      <c r="X396" s="519"/>
      <c r="Y396" s="519"/>
      <c r="Z396" s="519"/>
      <c r="AA396" s="519"/>
      <c r="AB396" s="519"/>
      <c r="AC396" s="519"/>
      <c r="AD396" s="519"/>
      <c r="AE396" s="519"/>
      <c r="AF396" s="519"/>
      <c r="AG396" s="519"/>
      <c r="AH396" s="519"/>
      <c r="AI396" s="519"/>
      <c r="AJ396" s="519"/>
      <c r="AK396" s="519"/>
      <c r="AL396" s="519"/>
      <c r="AM396" s="519"/>
      <c r="AN396" s="519"/>
      <c r="AO396" s="519"/>
      <c r="AP396" s="519"/>
      <c r="AQ396" s="519"/>
      <c r="AR396" s="519"/>
      <c r="AS396" s="519"/>
      <c r="AT396" s="519"/>
      <c r="AU396" s="519"/>
      <c r="AV396" s="519"/>
      <c r="AW396" s="519"/>
      <c r="AX396" s="519"/>
      <c r="AY396" s="519"/>
      <c r="AZ396" s="519"/>
      <c r="BA396" s="519"/>
      <c r="BB396" s="519"/>
      <c r="BC396" s="519"/>
      <c r="BD396" s="519"/>
      <c r="BE396" s="519"/>
      <c r="BF396" s="912"/>
      <c r="BG396" s="519"/>
      <c r="BH396" s="519"/>
    </row>
    <row r="397" spans="1:60" s="201" customFormat="1" hidden="1">
      <c r="A397" s="112"/>
      <c r="B397" s="203"/>
      <c r="C397" s="133"/>
      <c r="D397" s="133"/>
      <c r="E397" s="115"/>
      <c r="F397" s="196"/>
      <c r="G397" s="1096"/>
      <c r="H397" s="383"/>
      <c r="I397" s="792"/>
      <c r="J397" s="1506"/>
      <c r="K397" s="912"/>
      <c r="L397" s="518"/>
      <c r="M397" s="519"/>
      <c r="N397" s="519"/>
      <c r="O397" s="519"/>
      <c r="P397" s="519"/>
      <c r="Q397" s="519"/>
      <c r="R397" s="519"/>
      <c r="S397" s="519"/>
      <c r="T397" s="519"/>
      <c r="U397" s="519"/>
      <c r="V397" s="519"/>
      <c r="W397" s="519"/>
      <c r="X397" s="519"/>
      <c r="Y397" s="519"/>
      <c r="Z397" s="519"/>
      <c r="AA397" s="519"/>
      <c r="AB397" s="519"/>
      <c r="AC397" s="519"/>
      <c r="AD397" s="519"/>
      <c r="AE397" s="519"/>
      <c r="AF397" s="519"/>
      <c r="AG397" s="519"/>
      <c r="AH397" s="519"/>
      <c r="AI397" s="519"/>
      <c r="AJ397" s="519"/>
      <c r="AK397" s="519"/>
      <c r="AL397" s="519"/>
      <c r="AM397" s="519"/>
      <c r="AN397" s="519"/>
      <c r="AO397" s="519"/>
      <c r="AP397" s="519"/>
      <c r="AQ397" s="519"/>
      <c r="AR397" s="519"/>
      <c r="AS397" s="519"/>
      <c r="AT397" s="519"/>
      <c r="AU397" s="519"/>
      <c r="AV397" s="519"/>
      <c r="AW397" s="519"/>
      <c r="AX397" s="519"/>
      <c r="AY397" s="519"/>
      <c r="AZ397" s="519"/>
      <c r="BA397" s="519"/>
      <c r="BB397" s="519"/>
      <c r="BC397" s="519"/>
      <c r="BD397" s="519"/>
      <c r="BE397" s="519"/>
      <c r="BF397" s="912"/>
      <c r="BG397" s="519"/>
      <c r="BH397" s="519"/>
    </row>
    <row r="398" spans="1:60" s="201" customFormat="1" hidden="1">
      <c r="A398" s="112"/>
      <c r="B398" s="203"/>
      <c r="C398" s="133"/>
      <c r="D398" s="133"/>
      <c r="E398" s="115"/>
      <c r="F398" s="196" t="s">
        <v>1251</v>
      </c>
      <c r="G398" s="1096" t="s">
        <v>1341</v>
      </c>
      <c r="H398" s="1046" t="s">
        <v>1398</v>
      </c>
      <c r="I398" s="792">
        <v>11481</v>
      </c>
      <c r="J398" s="1506"/>
      <c r="K398" s="1507"/>
      <c r="L398" s="518"/>
      <c r="M398" s="519"/>
      <c r="N398" s="519"/>
      <c r="O398" s="519"/>
      <c r="P398" s="519"/>
      <c r="Q398" s="519"/>
      <c r="R398" s="519"/>
      <c r="S398" s="519"/>
      <c r="T398" s="519"/>
      <c r="U398" s="519"/>
      <c r="V398" s="519"/>
      <c r="W398" s="519"/>
      <c r="X398" s="519"/>
      <c r="Y398" s="519"/>
      <c r="Z398" s="519"/>
      <c r="AA398" s="519"/>
      <c r="AB398" s="519"/>
      <c r="AC398" s="519"/>
      <c r="AD398" s="519"/>
      <c r="AE398" s="519"/>
      <c r="AF398" s="519"/>
      <c r="AG398" s="519"/>
      <c r="AH398" s="519"/>
      <c r="AI398" s="519"/>
      <c r="AJ398" s="519"/>
      <c r="AK398" s="519"/>
      <c r="AL398" s="519"/>
      <c r="AM398" s="519"/>
      <c r="AN398" s="519"/>
      <c r="AO398" s="519"/>
      <c r="AP398" s="519"/>
      <c r="AQ398" s="519"/>
      <c r="AR398" s="519"/>
      <c r="AS398" s="519"/>
      <c r="AT398" s="519"/>
      <c r="AU398" s="519"/>
      <c r="AV398" s="519"/>
      <c r="AW398" s="519"/>
      <c r="AX398" s="519"/>
      <c r="AY398" s="519"/>
      <c r="AZ398" s="519"/>
      <c r="BA398" s="519"/>
      <c r="BB398" s="519"/>
      <c r="BC398" s="519"/>
      <c r="BD398" s="519"/>
      <c r="BE398" s="519"/>
      <c r="BF398" s="912"/>
      <c r="BG398" s="519"/>
      <c r="BH398" s="519"/>
    </row>
    <row r="399" spans="1:60" s="201" customFormat="1" hidden="1">
      <c r="A399" s="112"/>
      <c r="B399" s="203"/>
      <c r="C399" s="133"/>
      <c r="D399" s="133"/>
      <c r="E399" s="115"/>
      <c r="F399" s="196" t="s">
        <v>1252</v>
      </c>
      <c r="G399" s="1096" t="s">
        <v>1339</v>
      </c>
      <c r="H399" s="1046" t="s">
        <v>1399</v>
      </c>
      <c r="I399" s="792">
        <v>11673</v>
      </c>
      <c r="J399" s="1506"/>
      <c r="K399" s="1507"/>
      <c r="L399" s="518"/>
      <c r="M399" s="519"/>
      <c r="N399" s="519"/>
      <c r="O399" s="519"/>
      <c r="P399" s="519"/>
      <c r="Q399" s="519"/>
      <c r="R399" s="519"/>
      <c r="S399" s="519"/>
      <c r="T399" s="519"/>
      <c r="U399" s="519"/>
      <c r="V399" s="519"/>
      <c r="W399" s="519"/>
      <c r="X399" s="519"/>
      <c r="Y399" s="519"/>
      <c r="Z399" s="519"/>
      <c r="AA399" s="519"/>
      <c r="AB399" s="519"/>
      <c r="AC399" s="519"/>
      <c r="AD399" s="519"/>
      <c r="AE399" s="519"/>
      <c r="AF399" s="519"/>
      <c r="AG399" s="519"/>
      <c r="AH399" s="519"/>
      <c r="AI399" s="519"/>
      <c r="AJ399" s="519"/>
      <c r="AK399" s="519"/>
      <c r="AL399" s="519"/>
      <c r="AM399" s="519"/>
      <c r="AN399" s="519"/>
      <c r="AO399" s="519"/>
      <c r="AP399" s="519"/>
      <c r="AQ399" s="519"/>
      <c r="AR399" s="519"/>
      <c r="AS399" s="519"/>
      <c r="AT399" s="519"/>
      <c r="AU399" s="519"/>
      <c r="AV399" s="519"/>
      <c r="AW399" s="519"/>
      <c r="AX399" s="519"/>
      <c r="AY399" s="519"/>
      <c r="AZ399" s="519"/>
      <c r="BA399" s="519"/>
      <c r="BB399" s="519"/>
      <c r="BC399" s="519"/>
      <c r="BD399" s="519"/>
      <c r="BE399" s="519"/>
      <c r="BF399" s="912"/>
      <c r="BG399" s="519"/>
      <c r="BH399" s="519"/>
    </row>
    <row r="400" spans="1:60" s="201" customFormat="1" hidden="1">
      <c r="A400" s="112"/>
      <c r="B400" s="203"/>
      <c r="C400" s="133"/>
      <c r="D400" s="133"/>
      <c r="E400" s="115"/>
      <c r="F400" s="196"/>
      <c r="G400" s="1096" t="s">
        <v>1340</v>
      </c>
      <c r="H400" s="1046" t="s">
        <v>1250</v>
      </c>
      <c r="I400" s="792">
        <v>11908</v>
      </c>
      <c r="J400" s="1506"/>
      <c r="K400" s="1507"/>
      <c r="L400" s="518"/>
      <c r="M400" s="519"/>
      <c r="N400" s="519"/>
      <c r="O400" s="519"/>
      <c r="P400" s="519"/>
      <c r="Q400" s="519"/>
      <c r="R400" s="519"/>
      <c r="S400" s="519"/>
      <c r="T400" s="519"/>
      <c r="U400" s="519"/>
      <c r="V400" s="519"/>
      <c r="W400" s="519"/>
      <c r="X400" s="519"/>
      <c r="Y400" s="519"/>
      <c r="Z400" s="519"/>
      <c r="AA400" s="519"/>
      <c r="AB400" s="519"/>
      <c r="AC400" s="519"/>
      <c r="AD400" s="519"/>
      <c r="AE400" s="519"/>
      <c r="AF400" s="519"/>
      <c r="AG400" s="519"/>
      <c r="AH400" s="519"/>
      <c r="AI400" s="519"/>
      <c r="AJ400" s="519"/>
      <c r="AK400" s="519"/>
      <c r="AL400" s="519"/>
      <c r="AM400" s="519"/>
      <c r="AN400" s="519"/>
      <c r="AO400" s="519"/>
      <c r="AP400" s="519"/>
      <c r="AQ400" s="519"/>
      <c r="AR400" s="519"/>
      <c r="AS400" s="519"/>
      <c r="AT400" s="519"/>
      <c r="AU400" s="519"/>
      <c r="AV400" s="519"/>
      <c r="AW400" s="519"/>
      <c r="AX400" s="519"/>
      <c r="AY400" s="519"/>
      <c r="AZ400" s="519"/>
      <c r="BA400" s="519"/>
      <c r="BB400" s="519"/>
      <c r="BC400" s="519"/>
      <c r="BD400" s="519"/>
      <c r="BE400" s="519"/>
      <c r="BF400" s="912"/>
      <c r="BG400" s="519"/>
      <c r="BH400" s="519"/>
    </row>
    <row r="401" spans="1:60" s="201" customFormat="1" hidden="1">
      <c r="A401" s="112"/>
      <c r="B401" s="203"/>
      <c r="C401" s="133"/>
      <c r="D401" s="133"/>
      <c r="E401" s="115"/>
      <c r="F401" s="196"/>
      <c r="G401" s="1096"/>
      <c r="H401" s="1046"/>
      <c r="I401" s="792"/>
      <c r="J401" s="1506"/>
      <c r="K401" s="1507"/>
      <c r="L401" s="518"/>
      <c r="M401" s="519"/>
      <c r="N401" s="519"/>
      <c r="O401" s="519"/>
      <c r="P401" s="519"/>
      <c r="Q401" s="519"/>
      <c r="R401" s="519"/>
      <c r="S401" s="519"/>
      <c r="T401" s="519"/>
      <c r="U401" s="519"/>
      <c r="V401" s="519"/>
      <c r="W401" s="519"/>
      <c r="X401" s="519"/>
      <c r="Y401" s="519"/>
      <c r="Z401" s="519"/>
      <c r="AA401" s="519"/>
      <c r="AB401" s="519"/>
      <c r="AC401" s="519"/>
      <c r="AD401" s="519"/>
      <c r="AE401" s="519"/>
      <c r="AF401" s="519"/>
      <c r="AG401" s="519"/>
      <c r="AH401" s="519"/>
      <c r="AI401" s="519"/>
      <c r="AJ401" s="519"/>
      <c r="AK401" s="519"/>
      <c r="AL401" s="519"/>
      <c r="AM401" s="519"/>
      <c r="AN401" s="519"/>
      <c r="AO401" s="519"/>
      <c r="AP401" s="519"/>
      <c r="AQ401" s="519"/>
      <c r="AR401" s="519"/>
      <c r="AS401" s="519"/>
      <c r="AT401" s="519"/>
      <c r="AU401" s="519"/>
      <c r="AV401" s="519"/>
      <c r="AW401" s="519"/>
      <c r="AX401" s="519"/>
      <c r="AY401" s="519"/>
      <c r="AZ401" s="519"/>
      <c r="BA401" s="519"/>
      <c r="BB401" s="519"/>
      <c r="BC401" s="519"/>
      <c r="BD401" s="519"/>
      <c r="BE401" s="519"/>
      <c r="BF401" s="912"/>
      <c r="BG401" s="519"/>
      <c r="BH401" s="519"/>
    </row>
    <row r="402" spans="1:60" s="201" customFormat="1" hidden="1">
      <c r="A402" s="112"/>
      <c r="B402" s="203"/>
      <c r="C402" s="133"/>
      <c r="D402" s="133"/>
      <c r="E402" s="115"/>
      <c r="F402" s="196" t="s">
        <v>1254</v>
      </c>
      <c r="G402" s="1096" t="s">
        <v>1342</v>
      </c>
      <c r="H402" s="1046" t="s">
        <v>1400</v>
      </c>
      <c r="I402" s="792">
        <v>17456</v>
      </c>
      <c r="J402" s="1506"/>
      <c r="K402" s="1507"/>
      <c r="L402" s="518"/>
      <c r="M402" s="519"/>
      <c r="N402" s="519"/>
      <c r="O402" s="519"/>
      <c r="P402" s="519"/>
      <c r="Q402" s="519"/>
      <c r="R402" s="519"/>
      <c r="S402" s="519"/>
      <c r="T402" s="519"/>
      <c r="U402" s="519"/>
      <c r="V402" s="519"/>
      <c r="W402" s="519"/>
      <c r="X402" s="519"/>
      <c r="Y402" s="519"/>
      <c r="Z402" s="519"/>
      <c r="AA402" s="519"/>
      <c r="AB402" s="519"/>
      <c r="AC402" s="519"/>
      <c r="AD402" s="519"/>
      <c r="AE402" s="519"/>
      <c r="AF402" s="519"/>
      <c r="AG402" s="519"/>
      <c r="AH402" s="519"/>
      <c r="AI402" s="519"/>
      <c r="AJ402" s="519"/>
      <c r="AK402" s="519"/>
      <c r="AL402" s="519"/>
      <c r="AM402" s="519"/>
      <c r="AN402" s="519"/>
      <c r="AO402" s="519"/>
      <c r="AP402" s="519"/>
      <c r="AQ402" s="519"/>
      <c r="AR402" s="519"/>
      <c r="AS402" s="519"/>
      <c r="AT402" s="519"/>
      <c r="AU402" s="519"/>
      <c r="AV402" s="519"/>
      <c r="AW402" s="519"/>
      <c r="AX402" s="519"/>
      <c r="AY402" s="519"/>
      <c r="AZ402" s="519"/>
      <c r="BA402" s="519"/>
      <c r="BB402" s="519"/>
      <c r="BC402" s="519"/>
      <c r="BD402" s="519"/>
      <c r="BE402" s="519"/>
      <c r="BF402" s="912"/>
      <c r="BG402" s="519"/>
      <c r="BH402" s="519"/>
    </row>
    <row r="403" spans="1:60" s="201" customFormat="1" hidden="1">
      <c r="A403" s="112"/>
      <c r="B403" s="203"/>
      <c r="C403" s="133"/>
      <c r="D403" s="133"/>
      <c r="E403" s="115"/>
      <c r="F403" s="196" t="s">
        <v>1255</v>
      </c>
      <c r="G403" s="1096" t="s">
        <v>1343</v>
      </c>
      <c r="H403" s="1046" t="s">
        <v>1401</v>
      </c>
      <c r="I403" s="792">
        <v>17648</v>
      </c>
      <c r="J403" s="1506"/>
      <c r="K403" s="1507"/>
      <c r="L403" s="518"/>
      <c r="M403" s="519"/>
      <c r="N403" s="519"/>
      <c r="O403" s="519"/>
      <c r="P403" s="519"/>
      <c r="Q403" s="519"/>
      <c r="R403" s="519"/>
      <c r="S403" s="519"/>
      <c r="T403" s="519"/>
      <c r="U403" s="519"/>
      <c r="V403" s="519"/>
      <c r="W403" s="519"/>
      <c r="X403" s="519"/>
      <c r="Y403" s="519"/>
      <c r="Z403" s="519"/>
      <c r="AA403" s="519"/>
      <c r="AB403" s="519"/>
      <c r="AC403" s="519"/>
      <c r="AD403" s="519"/>
      <c r="AE403" s="519"/>
      <c r="AF403" s="519"/>
      <c r="AG403" s="519"/>
      <c r="AH403" s="519"/>
      <c r="AI403" s="519"/>
      <c r="AJ403" s="519"/>
      <c r="AK403" s="519"/>
      <c r="AL403" s="519"/>
      <c r="AM403" s="519"/>
      <c r="AN403" s="519"/>
      <c r="AO403" s="519"/>
      <c r="AP403" s="519"/>
      <c r="AQ403" s="519"/>
      <c r="AR403" s="519"/>
      <c r="AS403" s="519"/>
      <c r="AT403" s="519"/>
      <c r="AU403" s="519"/>
      <c r="AV403" s="519"/>
      <c r="AW403" s="519"/>
      <c r="AX403" s="519"/>
      <c r="AY403" s="519"/>
      <c r="AZ403" s="519"/>
      <c r="BA403" s="519"/>
      <c r="BB403" s="519"/>
      <c r="BC403" s="519"/>
      <c r="BD403" s="519"/>
      <c r="BE403" s="519"/>
      <c r="BF403" s="912"/>
      <c r="BG403" s="519"/>
      <c r="BH403" s="519"/>
    </row>
    <row r="404" spans="1:60" s="201" customFormat="1" hidden="1">
      <c r="A404" s="112"/>
      <c r="B404" s="203"/>
      <c r="C404" s="133"/>
      <c r="D404" s="133"/>
      <c r="E404" s="115"/>
      <c r="F404" s="196" t="s">
        <v>1256</v>
      </c>
      <c r="G404" s="1096" t="s">
        <v>1344</v>
      </c>
      <c r="H404" s="1046" t="s">
        <v>1402</v>
      </c>
      <c r="I404" s="792">
        <v>17883</v>
      </c>
      <c r="J404" s="1506"/>
      <c r="K404" s="1507"/>
      <c r="L404" s="518"/>
      <c r="M404" s="519"/>
      <c r="N404" s="519"/>
      <c r="O404" s="519"/>
      <c r="P404" s="519"/>
      <c r="Q404" s="519"/>
      <c r="R404" s="519"/>
      <c r="S404" s="519"/>
      <c r="T404" s="519"/>
      <c r="U404" s="519"/>
      <c r="V404" s="519"/>
      <c r="W404" s="519"/>
      <c r="X404" s="519"/>
      <c r="Y404" s="519"/>
      <c r="Z404" s="519"/>
      <c r="AA404" s="519"/>
      <c r="AB404" s="519"/>
      <c r="AC404" s="519"/>
      <c r="AD404" s="519"/>
      <c r="AE404" s="519"/>
      <c r="AF404" s="519"/>
      <c r="AG404" s="519"/>
      <c r="AH404" s="519"/>
      <c r="AI404" s="519"/>
      <c r="AJ404" s="519"/>
      <c r="AK404" s="519"/>
      <c r="AL404" s="519"/>
      <c r="AM404" s="519"/>
      <c r="AN404" s="519"/>
      <c r="AO404" s="519"/>
      <c r="AP404" s="519"/>
      <c r="AQ404" s="519"/>
      <c r="AR404" s="519"/>
      <c r="AS404" s="519"/>
      <c r="AT404" s="519"/>
      <c r="AU404" s="519"/>
      <c r="AV404" s="519"/>
      <c r="AW404" s="519"/>
      <c r="AX404" s="519"/>
      <c r="AY404" s="519"/>
      <c r="AZ404" s="519"/>
      <c r="BA404" s="519"/>
      <c r="BB404" s="519"/>
      <c r="BC404" s="519"/>
      <c r="BD404" s="519"/>
      <c r="BE404" s="519"/>
      <c r="BF404" s="912"/>
      <c r="BG404" s="519"/>
      <c r="BH404" s="519"/>
    </row>
    <row r="405" spans="1:60" s="201" customFormat="1" hidden="1">
      <c r="A405" s="112"/>
      <c r="B405" s="203"/>
      <c r="C405" s="133"/>
      <c r="D405" s="133"/>
      <c r="E405" s="115"/>
      <c r="F405" s="196"/>
      <c r="G405" s="1096"/>
      <c r="H405" s="1046"/>
      <c r="I405" s="792"/>
      <c r="J405" s="1506"/>
      <c r="K405" s="1507"/>
      <c r="L405" s="518"/>
      <c r="M405" s="519"/>
      <c r="N405" s="519"/>
      <c r="O405" s="519"/>
      <c r="P405" s="519"/>
      <c r="Q405" s="519"/>
      <c r="R405" s="519"/>
      <c r="S405" s="519"/>
      <c r="T405" s="519"/>
      <c r="U405" s="519"/>
      <c r="V405" s="519"/>
      <c r="W405" s="519"/>
      <c r="X405" s="519"/>
      <c r="Y405" s="519"/>
      <c r="Z405" s="519"/>
      <c r="AA405" s="519"/>
      <c r="AB405" s="519"/>
      <c r="AC405" s="519"/>
      <c r="AD405" s="519"/>
      <c r="AE405" s="519"/>
      <c r="AF405" s="519"/>
      <c r="AG405" s="519"/>
      <c r="AH405" s="519"/>
      <c r="AI405" s="519"/>
      <c r="AJ405" s="519"/>
      <c r="AK405" s="519"/>
      <c r="AL405" s="519"/>
      <c r="AM405" s="519"/>
      <c r="AN405" s="519"/>
      <c r="AO405" s="519"/>
      <c r="AP405" s="519"/>
      <c r="AQ405" s="519"/>
      <c r="AR405" s="519"/>
      <c r="AS405" s="519"/>
      <c r="AT405" s="519"/>
      <c r="AU405" s="519"/>
      <c r="AV405" s="519"/>
      <c r="AW405" s="519"/>
      <c r="AX405" s="519"/>
      <c r="AY405" s="519"/>
      <c r="AZ405" s="519"/>
      <c r="BA405" s="519"/>
      <c r="BB405" s="519"/>
      <c r="BC405" s="519"/>
      <c r="BD405" s="519"/>
      <c r="BE405" s="519"/>
      <c r="BF405" s="912"/>
      <c r="BG405" s="519"/>
      <c r="BH405" s="519"/>
    </row>
    <row r="406" spans="1:60" s="201" customFormat="1" hidden="1">
      <c r="A406" s="112"/>
      <c r="B406" s="203"/>
      <c r="C406" s="133"/>
      <c r="D406" s="133"/>
      <c r="E406" s="115"/>
      <c r="F406" s="196" t="s">
        <v>1317</v>
      </c>
      <c r="G406" s="1096" t="s">
        <v>1345</v>
      </c>
      <c r="H406" s="1046" t="s">
        <v>1403</v>
      </c>
      <c r="I406" s="792">
        <v>20654</v>
      </c>
      <c r="J406" s="1506"/>
      <c r="K406" s="1507"/>
      <c r="L406" s="518"/>
      <c r="M406" s="519"/>
      <c r="N406" s="519"/>
      <c r="O406" s="519"/>
      <c r="P406" s="519"/>
      <c r="Q406" s="519"/>
      <c r="R406" s="519"/>
      <c r="S406" s="519"/>
      <c r="T406" s="519"/>
      <c r="U406" s="519"/>
      <c r="V406" s="519"/>
      <c r="W406" s="519"/>
      <c r="X406" s="519"/>
      <c r="Y406" s="519"/>
      <c r="Z406" s="519"/>
      <c r="AA406" s="519"/>
      <c r="AB406" s="519"/>
      <c r="AC406" s="519"/>
      <c r="AD406" s="519"/>
      <c r="AE406" s="519"/>
      <c r="AF406" s="519"/>
      <c r="AG406" s="519"/>
      <c r="AH406" s="519"/>
      <c r="AI406" s="519"/>
      <c r="AJ406" s="519"/>
      <c r="AK406" s="519"/>
      <c r="AL406" s="519"/>
      <c r="AM406" s="519"/>
      <c r="AN406" s="519"/>
      <c r="AO406" s="519"/>
      <c r="AP406" s="519"/>
      <c r="AQ406" s="519"/>
      <c r="AR406" s="519"/>
      <c r="AS406" s="519"/>
      <c r="AT406" s="519"/>
      <c r="AU406" s="519"/>
      <c r="AV406" s="519"/>
      <c r="AW406" s="519"/>
      <c r="AX406" s="519"/>
      <c r="AY406" s="519"/>
      <c r="AZ406" s="519"/>
      <c r="BA406" s="519"/>
      <c r="BB406" s="519"/>
      <c r="BC406" s="519"/>
      <c r="BD406" s="519"/>
      <c r="BE406" s="519"/>
      <c r="BF406" s="912"/>
      <c r="BG406" s="519"/>
      <c r="BH406" s="519"/>
    </row>
    <row r="407" spans="1:60" s="201" customFormat="1" hidden="1">
      <c r="A407" s="112"/>
      <c r="B407" s="203"/>
      <c r="C407" s="133"/>
      <c r="D407" s="133"/>
      <c r="E407" s="115"/>
      <c r="F407" s="196" t="s">
        <v>1318</v>
      </c>
      <c r="G407" s="1096" t="s">
        <v>1346</v>
      </c>
      <c r="H407" s="1046" t="s">
        <v>1404</v>
      </c>
      <c r="I407" s="792">
        <v>20846</v>
      </c>
      <c r="J407" s="1506"/>
      <c r="K407" s="1507"/>
      <c r="L407" s="518"/>
      <c r="M407" s="519"/>
      <c r="N407" s="519"/>
      <c r="O407" s="519"/>
      <c r="P407" s="519"/>
      <c r="Q407" s="519"/>
      <c r="R407" s="519"/>
      <c r="S407" s="519"/>
      <c r="T407" s="519"/>
      <c r="U407" s="519"/>
      <c r="V407" s="519"/>
      <c r="W407" s="519"/>
      <c r="X407" s="519"/>
      <c r="Y407" s="519"/>
      <c r="Z407" s="519"/>
      <c r="AA407" s="519"/>
      <c r="AB407" s="519"/>
      <c r="AC407" s="519"/>
      <c r="AD407" s="519"/>
      <c r="AE407" s="519"/>
      <c r="AF407" s="519"/>
      <c r="AG407" s="519"/>
      <c r="AH407" s="519"/>
      <c r="AI407" s="519"/>
      <c r="AJ407" s="519"/>
      <c r="AK407" s="519"/>
      <c r="AL407" s="519"/>
      <c r="AM407" s="519"/>
      <c r="AN407" s="519"/>
      <c r="AO407" s="519"/>
      <c r="AP407" s="519"/>
      <c r="AQ407" s="519"/>
      <c r="AR407" s="519"/>
      <c r="AS407" s="519"/>
      <c r="AT407" s="519"/>
      <c r="AU407" s="519"/>
      <c r="AV407" s="519"/>
      <c r="AW407" s="519"/>
      <c r="AX407" s="519"/>
      <c r="AY407" s="519"/>
      <c r="AZ407" s="519"/>
      <c r="BA407" s="519"/>
      <c r="BB407" s="519"/>
      <c r="BC407" s="519"/>
      <c r="BD407" s="519"/>
      <c r="BE407" s="519"/>
      <c r="BF407" s="912"/>
      <c r="BG407" s="519"/>
      <c r="BH407" s="519"/>
    </row>
    <row r="408" spans="1:60" s="201" customFormat="1" hidden="1">
      <c r="A408" s="112"/>
      <c r="B408" s="203"/>
      <c r="C408" s="133"/>
      <c r="D408" s="133"/>
      <c r="E408" s="115"/>
      <c r="F408" s="196" t="s">
        <v>1319</v>
      </c>
      <c r="G408" s="1096" t="s">
        <v>1347</v>
      </c>
      <c r="H408" s="1046" t="s">
        <v>1405</v>
      </c>
      <c r="I408" s="792">
        <v>21081</v>
      </c>
      <c r="J408" s="1506"/>
      <c r="K408" s="1507"/>
      <c r="L408" s="518"/>
      <c r="M408" s="519"/>
      <c r="N408" s="519"/>
      <c r="O408" s="519"/>
      <c r="P408" s="519"/>
      <c r="Q408" s="519"/>
      <c r="R408" s="519"/>
      <c r="S408" s="519"/>
      <c r="T408" s="519"/>
      <c r="U408" s="519"/>
      <c r="V408" s="519"/>
      <c r="W408" s="519"/>
      <c r="X408" s="519"/>
      <c r="Y408" s="519"/>
      <c r="Z408" s="519"/>
      <c r="AA408" s="519"/>
      <c r="AB408" s="519"/>
      <c r="AC408" s="519"/>
      <c r="AD408" s="519"/>
      <c r="AE408" s="519"/>
      <c r="AF408" s="519"/>
      <c r="AG408" s="519"/>
      <c r="AH408" s="519"/>
      <c r="AI408" s="519"/>
      <c r="AJ408" s="519"/>
      <c r="AK408" s="519"/>
      <c r="AL408" s="519"/>
      <c r="AM408" s="519"/>
      <c r="AN408" s="519"/>
      <c r="AO408" s="519"/>
      <c r="AP408" s="519"/>
      <c r="AQ408" s="519"/>
      <c r="AR408" s="519"/>
      <c r="AS408" s="519"/>
      <c r="AT408" s="519"/>
      <c r="AU408" s="519"/>
      <c r="AV408" s="519"/>
      <c r="AW408" s="519"/>
      <c r="AX408" s="519"/>
      <c r="AY408" s="519"/>
      <c r="AZ408" s="519"/>
      <c r="BA408" s="519"/>
      <c r="BB408" s="519"/>
      <c r="BC408" s="519"/>
      <c r="BD408" s="519"/>
      <c r="BE408" s="519"/>
      <c r="BF408" s="912"/>
      <c r="BG408" s="519"/>
      <c r="BH408" s="519"/>
    </row>
    <row r="409" spans="1:60" s="201" customFormat="1" hidden="1">
      <c r="A409" s="112"/>
      <c r="B409" s="203"/>
      <c r="C409" s="133"/>
      <c r="D409" s="133"/>
      <c r="E409" s="115"/>
      <c r="F409" s="196"/>
      <c r="G409" s="1096"/>
      <c r="H409" s="1046"/>
      <c r="I409" s="792"/>
      <c r="J409" s="1506"/>
      <c r="K409" s="912"/>
      <c r="L409" s="518"/>
      <c r="M409" s="519"/>
      <c r="N409" s="519"/>
      <c r="O409" s="519"/>
      <c r="P409" s="519"/>
      <c r="Q409" s="519"/>
      <c r="R409" s="519"/>
      <c r="S409" s="519"/>
      <c r="T409" s="519"/>
      <c r="U409" s="519"/>
      <c r="V409" s="519"/>
      <c r="W409" s="519"/>
      <c r="X409" s="519"/>
      <c r="Y409" s="519"/>
      <c r="Z409" s="519"/>
      <c r="AA409" s="519"/>
      <c r="AB409" s="519"/>
      <c r="AC409" s="519"/>
      <c r="AD409" s="519"/>
      <c r="AE409" s="519"/>
      <c r="AF409" s="519"/>
      <c r="AG409" s="519"/>
      <c r="AH409" s="519"/>
      <c r="AI409" s="519"/>
      <c r="AJ409" s="519"/>
      <c r="AK409" s="519"/>
      <c r="AL409" s="519"/>
      <c r="AM409" s="519"/>
      <c r="AN409" s="519"/>
      <c r="AO409" s="519"/>
      <c r="AP409" s="519"/>
      <c r="AQ409" s="519"/>
      <c r="AR409" s="519"/>
      <c r="AS409" s="519"/>
      <c r="AT409" s="519"/>
      <c r="AU409" s="519"/>
      <c r="AV409" s="519"/>
      <c r="AW409" s="519"/>
      <c r="AX409" s="519"/>
      <c r="AY409" s="519"/>
      <c r="AZ409" s="519"/>
      <c r="BA409" s="519"/>
      <c r="BB409" s="519"/>
      <c r="BC409" s="519"/>
      <c r="BD409" s="519"/>
      <c r="BE409" s="519"/>
      <c r="BF409" s="912"/>
      <c r="BG409" s="519"/>
      <c r="BH409" s="519"/>
    </row>
    <row r="410" spans="1:60" s="201" customFormat="1" hidden="1">
      <c r="A410" s="112"/>
      <c r="B410" s="203"/>
      <c r="C410" s="133"/>
      <c r="D410" s="133"/>
      <c r="E410" s="115"/>
      <c r="F410" s="196"/>
      <c r="G410" s="1096"/>
      <c r="H410" s="1046"/>
      <c r="I410" s="792"/>
      <c r="J410" s="1506"/>
      <c r="K410" s="912"/>
      <c r="L410" s="518"/>
      <c r="M410" s="519"/>
      <c r="N410" s="519"/>
      <c r="O410" s="519"/>
      <c r="P410" s="519"/>
      <c r="Q410" s="519"/>
      <c r="R410" s="519"/>
      <c r="S410" s="519"/>
      <c r="T410" s="519"/>
      <c r="U410" s="519"/>
      <c r="V410" s="519"/>
      <c r="W410" s="519"/>
      <c r="X410" s="519"/>
      <c r="Y410" s="519"/>
      <c r="Z410" s="519"/>
      <c r="AA410" s="519"/>
      <c r="AB410" s="519"/>
      <c r="AC410" s="519"/>
      <c r="AD410" s="519"/>
      <c r="AE410" s="519"/>
      <c r="AF410" s="519"/>
      <c r="AG410" s="519"/>
      <c r="AH410" s="519"/>
      <c r="AI410" s="519"/>
      <c r="AJ410" s="519"/>
      <c r="AK410" s="519"/>
      <c r="AL410" s="519"/>
      <c r="AM410" s="519"/>
      <c r="AN410" s="519"/>
      <c r="AO410" s="519"/>
      <c r="AP410" s="519"/>
      <c r="AQ410" s="519"/>
      <c r="AR410" s="519"/>
      <c r="AS410" s="519"/>
      <c r="AT410" s="519"/>
      <c r="AU410" s="519"/>
      <c r="AV410" s="519"/>
      <c r="AW410" s="519"/>
      <c r="AX410" s="519"/>
      <c r="AY410" s="519"/>
      <c r="AZ410" s="519"/>
      <c r="BA410" s="519"/>
      <c r="BB410" s="519"/>
      <c r="BC410" s="519"/>
      <c r="BD410" s="519"/>
      <c r="BE410" s="519"/>
      <c r="BF410" s="912"/>
      <c r="BG410" s="519"/>
      <c r="BH410" s="519"/>
    </row>
    <row r="411" spans="1:60" s="201" customFormat="1" hidden="1">
      <c r="A411" s="112"/>
      <c r="B411" s="203"/>
      <c r="C411" s="133"/>
      <c r="D411" s="133"/>
      <c r="E411" s="115"/>
      <c r="F411" s="196" t="s">
        <v>1373</v>
      </c>
      <c r="G411" s="1371" t="s">
        <v>1461</v>
      </c>
      <c r="H411" s="1046" t="s">
        <v>1407</v>
      </c>
      <c r="I411" s="792">
        <v>14766</v>
      </c>
      <c r="J411" s="1506"/>
      <c r="K411" s="912"/>
      <c r="L411" s="1525"/>
      <c r="M411" s="519"/>
      <c r="N411" s="519"/>
      <c r="O411" s="519"/>
      <c r="P411" s="519"/>
      <c r="Q411" s="519"/>
      <c r="R411" s="519"/>
      <c r="S411" s="519"/>
      <c r="T411" s="519"/>
      <c r="U411" s="519"/>
      <c r="V411" s="519"/>
      <c r="W411" s="519"/>
      <c r="X411" s="519"/>
      <c r="Y411" s="519"/>
      <c r="Z411" s="519"/>
      <c r="AA411" s="519"/>
      <c r="AB411" s="519"/>
      <c r="AC411" s="519"/>
      <c r="AD411" s="519"/>
      <c r="AE411" s="519"/>
      <c r="AF411" s="519"/>
      <c r="AG411" s="519"/>
      <c r="AH411" s="519"/>
      <c r="AI411" s="519"/>
      <c r="AJ411" s="519"/>
      <c r="AK411" s="519"/>
      <c r="AL411" s="519"/>
      <c r="AM411" s="519"/>
      <c r="AN411" s="519"/>
      <c r="AO411" s="519"/>
      <c r="AP411" s="519"/>
      <c r="AQ411" s="519"/>
      <c r="AR411" s="519"/>
      <c r="AS411" s="519"/>
      <c r="AT411" s="519"/>
      <c r="AU411" s="519"/>
      <c r="AV411" s="519"/>
      <c r="AW411" s="519"/>
      <c r="AX411" s="519"/>
      <c r="AY411" s="519"/>
      <c r="AZ411" s="519"/>
      <c r="BA411" s="519"/>
      <c r="BB411" s="519"/>
      <c r="BC411" s="519"/>
      <c r="BD411" s="519"/>
      <c r="BE411" s="519"/>
      <c r="BF411" s="912"/>
      <c r="BG411" s="519"/>
      <c r="BH411" s="519"/>
    </row>
    <row r="412" spans="1:60" s="201" customFormat="1" hidden="1">
      <c r="A412" s="112"/>
      <c r="B412" s="203"/>
      <c r="C412" s="133"/>
      <c r="D412" s="133"/>
      <c r="E412" s="115"/>
      <c r="F412" s="196" t="s">
        <v>1462</v>
      </c>
      <c r="G412" s="1371" t="s">
        <v>1463</v>
      </c>
      <c r="H412" s="1046" t="s">
        <v>1464</v>
      </c>
      <c r="I412" s="792">
        <f>14766+400</f>
        <v>15166</v>
      </c>
      <c r="J412" s="1506"/>
      <c r="K412" s="912"/>
      <c r="L412" s="1525"/>
      <c r="M412" s="519"/>
      <c r="N412" s="519"/>
      <c r="O412" s="519"/>
      <c r="P412" s="519"/>
      <c r="Q412" s="519"/>
      <c r="R412" s="519"/>
      <c r="S412" s="519"/>
      <c r="T412" s="519"/>
      <c r="U412" s="519"/>
      <c r="V412" s="519"/>
      <c r="W412" s="519"/>
      <c r="X412" s="519"/>
      <c r="Y412" s="519"/>
      <c r="Z412" s="519"/>
      <c r="AA412" s="519"/>
      <c r="AB412" s="519"/>
      <c r="AC412" s="519"/>
      <c r="AD412" s="519"/>
      <c r="AE412" s="519"/>
      <c r="AF412" s="519"/>
      <c r="AG412" s="519"/>
      <c r="AH412" s="519"/>
      <c r="AI412" s="519"/>
      <c r="AJ412" s="519"/>
      <c r="AK412" s="519"/>
      <c r="AL412" s="519"/>
      <c r="AM412" s="519"/>
      <c r="AN412" s="519"/>
      <c r="AO412" s="519"/>
      <c r="AP412" s="519"/>
      <c r="AQ412" s="519"/>
      <c r="AR412" s="519"/>
      <c r="AS412" s="519"/>
      <c r="AT412" s="519"/>
      <c r="AU412" s="519"/>
      <c r="AV412" s="519"/>
      <c r="AW412" s="519"/>
      <c r="AX412" s="519"/>
      <c r="AY412" s="519"/>
      <c r="AZ412" s="519"/>
      <c r="BA412" s="519"/>
      <c r="BB412" s="519"/>
      <c r="BC412" s="519"/>
      <c r="BD412" s="519"/>
      <c r="BE412" s="519"/>
      <c r="BF412" s="912"/>
      <c r="BG412" s="519"/>
      <c r="BH412" s="519"/>
    </row>
    <row r="413" spans="1:60" s="201" customFormat="1" hidden="1">
      <c r="A413" s="112"/>
      <c r="B413" s="203"/>
      <c r="C413" s="133"/>
      <c r="D413" s="133"/>
      <c r="E413" s="115"/>
      <c r="F413" s="196" t="s">
        <v>1375</v>
      </c>
      <c r="G413" s="1096"/>
      <c r="H413" s="1046" t="s">
        <v>1413</v>
      </c>
      <c r="I413" s="792">
        <v>14766</v>
      </c>
      <c r="J413" s="1506"/>
      <c r="K413" s="912"/>
      <c r="L413" s="518"/>
      <c r="M413" s="519"/>
      <c r="N413" s="519"/>
      <c r="O413" s="519"/>
      <c r="P413" s="519"/>
      <c r="Q413" s="519"/>
      <c r="R413" s="519"/>
      <c r="S413" s="519"/>
      <c r="T413" s="519"/>
      <c r="U413" s="519"/>
      <c r="V413" s="519"/>
      <c r="W413" s="519"/>
      <c r="X413" s="519"/>
      <c r="Y413" s="519"/>
      <c r="Z413" s="519"/>
      <c r="AA413" s="519"/>
      <c r="AB413" s="519"/>
      <c r="AC413" s="519"/>
      <c r="AD413" s="519"/>
      <c r="AE413" s="519"/>
      <c r="AF413" s="519"/>
      <c r="AG413" s="519"/>
      <c r="AH413" s="519"/>
      <c r="AI413" s="519"/>
      <c r="AJ413" s="519"/>
      <c r="AK413" s="519"/>
      <c r="AL413" s="519"/>
      <c r="AM413" s="519"/>
      <c r="AN413" s="519"/>
      <c r="AO413" s="519"/>
      <c r="AP413" s="519"/>
      <c r="AQ413" s="519"/>
      <c r="AR413" s="519"/>
      <c r="AS413" s="519"/>
      <c r="AT413" s="519"/>
      <c r="AU413" s="519"/>
      <c r="AV413" s="519"/>
      <c r="AW413" s="519"/>
      <c r="AX413" s="519"/>
      <c r="AY413" s="519"/>
      <c r="AZ413" s="519"/>
      <c r="BA413" s="519"/>
      <c r="BB413" s="519"/>
      <c r="BC413" s="519"/>
      <c r="BD413" s="519"/>
      <c r="BE413" s="519"/>
      <c r="BF413" s="912"/>
      <c r="BG413" s="519"/>
      <c r="BH413" s="519"/>
    </row>
    <row r="414" spans="1:60" s="201" customFormat="1" hidden="1">
      <c r="A414" s="112"/>
      <c r="B414" s="203"/>
      <c r="C414" s="133"/>
      <c r="D414" s="133"/>
      <c r="E414" s="115"/>
      <c r="F414" s="196" t="s">
        <v>1377</v>
      </c>
      <c r="G414" s="1096"/>
      <c r="H414" s="1046" t="s">
        <v>1412</v>
      </c>
      <c r="I414" s="792">
        <v>14766</v>
      </c>
      <c r="J414" s="1506"/>
      <c r="K414" s="912"/>
      <c r="L414" s="518"/>
      <c r="M414" s="519"/>
      <c r="N414" s="519"/>
      <c r="O414" s="519"/>
      <c r="P414" s="519"/>
      <c r="Q414" s="519"/>
      <c r="R414" s="519"/>
      <c r="S414" s="519"/>
      <c r="T414" s="519"/>
      <c r="U414" s="519"/>
      <c r="V414" s="519"/>
      <c r="W414" s="519"/>
      <c r="X414" s="519"/>
      <c r="Y414" s="519"/>
      <c r="Z414" s="519"/>
      <c r="AA414" s="519"/>
      <c r="AB414" s="519"/>
      <c r="AC414" s="519"/>
      <c r="AD414" s="519"/>
      <c r="AE414" s="519"/>
      <c r="AF414" s="519"/>
      <c r="AG414" s="519"/>
      <c r="AH414" s="519"/>
      <c r="AI414" s="519"/>
      <c r="AJ414" s="519"/>
      <c r="AK414" s="519"/>
      <c r="AL414" s="519"/>
      <c r="AM414" s="519"/>
      <c r="AN414" s="519"/>
      <c r="AO414" s="519"/>
      <c r="AP414" s="519"/>
      <c r="AQ414" s="519"/>
      <c r="AR414" s="519"/>
      <c r="AS414" s="519"/>
      <c r="AT414" s="519"/>
      <c r="AU414" s="519"/>
      <c r="AV414" s="519"/>
      <c r="AW414" s="519"/>
      <c r="AX414" s="519"/>
      <c r="AY414" s="519"/>
      <c r="AZ414" s="519"/>
      <c r="BA414" s="519"/>
      <c r="BB414" s="519"/>
      <c r="BC414" s="519"/>
      <c r="BD414" s="519"/>
      <c r="BE414" s="519"/>
      <c r="BF414" s="912"/>
      <c r="BG414" s="519"/>
      <c r="BH414" s="519"/>
    </row>
    <row r="415" spans="1:60" s="201" customFormat="1" hidden="1">
      <c r="A415" s="112"/>
      <c r="B415" s="203"/>
      <c r="C415" s="133"/>
      <c r="D415" s="133"/>
      <c r="E415" s="115"/>
      <c r="F415" s="196"/>
      <c r="G415" s="1096"/>
      <c r="H415" s="1046"/>
      <c r="I415" s="792"/>
      <c r="J415" s="1506"/>
      <c r="K415" s="912"/>
      <c r="L415" s="518"/>
      <c r="M415" s="519"/>
      <c r="N415" s="519"/>
      <c r="O415" s="519"/>
      <c r="P415" s="519"/>
      <c r="Q415" s="519"/>
      <c r="R415" s="519"/>
      <c r="S415" s="519"/>
      <c r="T415" s="519"/>
      <c r="U415" s="519"/>
      <c r="V415" s="519"/>
      <c r="W415" s="519"/>
      <c r="X415" s="519"/>
      <c r="Y415" s="519"/>
      <c r="Z415" s="519"/>
      <c r="AA415" s="519"/>
      <c r="AB415" s="519"/>
      <c r="AC415" s="519"/>
      <c r="AD415" s="519"/>
      <c r="AE415" s="519"/>
      <c r="AF415" s="519"/>
      <c r="AG415" s="519"/>
      <c r="AH415" s="519"/>
      <c r="AI415" s="519"/>
      <c r="AJ415" s="519"/>
      <c r="AK415" s="519"/>
      <c r="AL415" s="519"/>
      <c r="AM415" s="519"/>
      <c r="AN415" s="519"/>
      <c r="AO415" s="519"/>
      <c r="AP415" s="519"/>
      <c r="AQ415" s="519"/>
      <c r="AR415" s="519"/>
      <c r="AS415" s="519"/>
      <c r="AT415" s="519"/>
      <c r="AU415" s="519"/>
      <c r="AV415" s="519"/>
      <c r="AW415" s="519"/>
      <c r="AX415" s="519"/>
      <c r="AY415" s="519"/>
      <c r="AZ415" s="519"/>
      <c r="BA415" s="519"/>
      <c r="BB415" s="519"/>
      <c r="BC415" s="519"/>
      <c r="BD415" s="519"/>
      <c r="BE415" s="519"/>
      <c r="BF415" s="912"/>
      <c r="BG415" s="519"/>
      <c r="BH415" s="519"/>
    </row>
    <row r="416" spans="1:60" s="201" customFormat="1" hidden="1">
      <c r="A416" s="112"/>
      <c r="B416" s="203"/>
      <c r="C416" s="133"/>
      <c r="D416" s="133"/>
      <c r="E416" s="115"/>
      <c r="F416" s="196" t="s">
        <v>1374</v>
      </c>
      <c r="G416" s="1096" t="s">
        <v>1372</v>
      </c>
      <c r="H416" s="1046" t="s">
        <v>1406</v>
      </c>
      <c r="I416" s="792">
        <v>17456</v>
      </c>
      <c r="J416" s="1506"/>
      <c r="K416" s="912"/>
      <c r="L416" s="518"/>
      <c r="M416" s="519"/>
      <c r="N416" s="519"/>
      <c r="O416" s="519"/>
      <c r="P416" s="519"/>
      <c r="Q416" s="519"/>
      <c r="R416" s="519"/>
      <c r="S416" s="519"/>
      <c r="T416" s="519"/>
      <c r="U416" s="519"/>
      <c r="V416" s="519"/>
      <c r="W416" s="519"/>
      <c r="X416" s="519"/>
      <c r="Y416" s="519"/>
      <c r="Z416" s="519"/>
      <c r="AA416" s="519"/>
      <c r="AB416" s="519"/>
      <c r="AC416" s="519"/>
      <c r="AD416" s="519"/>
      <c r="AE416" s="519"/>
      <c r="AF416" s="519"/>
      <c r="AG416" s="519"/>
      <c r="AH416" s="519"/>
      <c r="AI416" s="519"/>
      <c r="AJ416" s="519"/>
      <c r="AK416" s="519"/>
      <c r="AL416" s="519"/>
      <c r="AM416" s="519"/>
      <c r="AN416" s="519"/>
      <c r="AO416" s="519"/>
      <c r="AP416" s="519"/>
      <c r="AQ416" s="519"/>
      <c r="AR416" s="519"/>
      <c r="AS416" s="519"/>
      <c r="AT416" s="519"/>
      <c r="AU416" s="519"/>
      <c r="AV416" s="519"/>
      <c r="AW416" s="519"/>
      <c r="AX416" s="519"/>
      <c r="AY416" s="519"/>
      <c r="AZ416" s="519"/>
      <c r="BA416" s="519"/>
      <c r="BB416" s="519"/>
      <c r="BC416" s="519"/>
      <c r="BD416" s="519"/>
      <c r="BE416" s="519"/>
      <c r="BF416" s="912"/>
      <c r="BG416" s="519"/>
      <c r="BH416" s="519"/>
    </row>
    <row r="417" spans="1:60" s="201" customFormat="1" hidden="1">
      <c r="A417" s="112"/>
      <c r="B417" s="203"/>
      <c r="C417" s="133"/>
      <c r="D417" s="133"/>
      <c r="E417" s="115"/>
      <c r="F417" s="196" t="s">
        <v>1376</v>
      </c>
      <c r="G417" s="1096"/>
      <c r="H417" s="1046" t="s">
        <v>1415</v>
      </c>
      <c r="I417" s="792">
        <v>17456</v>
      </c>
      <c r="J417" s="1506"/>
      <c r="K417" s="912"/>
      <c r="L417" s="518"/>
      <c r="M417" s="519"/>
      <c r="N417" s="519"/>
      <c r="O417" s="519"/>
      <c r="P417" s="519"/>
      <c r="Q417" s="519"/>
      <c r="R417" s="519"/>
      <c r="S417" s="519"/>
      <c r="T417" s="519"/>
      <c r="U417" s="519"/>
      <c r="V417" s="519"/>
      <c r="W417" s="519"/>
      <c r="X417" s="519"/>
      <c r="Y417" s="519"/>
      <c r="Z417" s="519"/>
      <c r="AA417" s="519"/>
      <c r="AB417" s="519"/>
      <c r="AC417" s="519"/>
      <c r="AD417" s="519"/>
      <c r="AE417" s="519"/>
      <c r="AF417" s="519"/>
      <c r="AG417" s="519"/>
      <c r="AH417" s="519"/>
      <c r="AI417" s="519"/>
      <c r="AJ417" s="519"/>
      <c r="AK417" s="519"/>
      <c r="AL417" s="519"/>
      <c r="AM417" s="519"/>
      <c r="AN417" s="519"/>
      <c r="AO417" s="519"/>
      <c r="AP417" s="519"/>
      <c r="AQ417" s="519"/>
      <c r="AR417" s="519"/>
      <c r="AS417" s="519"/>
      <c r="AT417" s="519"/>
      <c r="AU417" s="519"/>
      <c r="AV417" s="519"/>
      <c r="AW417" s="519"/>
      <c r="AX417" s="519"/>
      <c r="AY417" s="519"/>
      <c r="AZ417" s="519"/>
      <c r="BA417" s="519"/>
      <c r="BB417" s="519"/>
      <c r="BC417" s="519"/>
      <c r="BD417" s="519"/>
      <c r="BE417" s="519"/>
      <c r="BF417" s="912"/>
      <c r="BG417" s="519"/>
      <c r="BH417" s="519"/>
    </row>
    <row r="418" spans="1:60" s="201" customFormat="1" hidden="1">
      <c r="A418" s="112"/>
      <c r="B418" s="203"/>
      <c r="C418" s="133"/>
      <c r="D418" s="133"/>
      <c r="E418" s="115"/>
      <c r="F418" s="196" t="s">
        <v>1378</v>
      </c>
      <c r="G418" s="1096"/>
      <c r="H418" s="1046" t="s">
        <v>1414</v>
      </c>
      <c r="I418" s="792">
        <v>17456</v>
      </c>
      <c r="J418" s="1506"/>
      <c r="K418" s="912"/>
      <c r="L418" s="518"/>
      <c r="M418" s="519"/>
      <c r="N418" s="519"/>
      <c r="O418" s="519"/>
      <c r="P418" s="519"/>
      <c r="Q418" s="519"/>
      <c r="R418" s="519"/>
      <c r="S418" s="519"/>
      <c r="T418" s="519"/>
      <c r="U418" s="519"/>
      <c r="V418" s="519"/>
      <c r="W418" s="519"/>
      <c r="X418" s="519"/>
      <c r="Y418" s="519"/>
      <c r="Z418" s="519"/>
      <c r="AA418" s="519"/>
      <c r="AB418" s="519"/>
      <c r="AC418" s="519"/>
      <c r="AD418" s="519"/>
      <c r="AE418" s="519"/>
      <c r="AF418" s="519"/>
      <c r="AG418" s="519"/>
      <c r="AH418" s="519"/>
      <c r="AI418" s="519"/>
      <c r="AJ418" s="519"/>
      <c r="AK418" s="519"/>
      <c r="AL418" s="519"/>
      <c r="AM418" s="519"/>
      <c r="AN418" s="519"/>
      <c r="AO418" s="519"/>
      <c r="AP418" s="519"/>
      <c r="AQ418" s="519"/>
      <c r="AR418" s="519"/>
      <c r="AS418" s="519"/>
      <c r="AT418" s="519"/>
      <c r="AU418" s="519"/>
      <c r="AV418" s="519"/>
      <c r="AW418" s="519"/>
      <c r="AX418" s="519"/>
      <c r="AY418" s="519"/>
      <c r="AZ418" s="519"/>
      <c r="BA418" s="519"/>
      <c r="BB418" s="519"/>
      <c r="BC418" s="519"/>
      <c r="BD418" s="519"/>
      <c r="BE418" s="519"/>
      <c r="BF418" s="912"/>
      <c r="BG418" s="519"/>
      <c r="BH418" s="519"/>
    </row>
    <row r="419" spans="1:60" s="201" customFormat="1" hidden="1">
      <c r="A419" s="112"/>
      <c r="B419" s="203"/>
      <c r="C419" s="133"/>
      <c r="D419" s="133"/>
      <c r="E419" s="115"/>
      <c r="F419" s="196"/>
      <c r="G419" s="1096"/>
      <c r="H419" s="1046"/>
      <c r="I419" s="792"/>
      <c r="J419" s="1506"/>
      <c r="K419" s="912"/>
      <c r="L419" s="518"/>
      <c r="M419" s="519"/>
      <c r="N419" s="519"/>
      <c r="O419" s="519"/>
      <c r="P419" s="519"/>
      <c r="Q419" s="519"/>
      <c r="R419" s="519"/>
      <c r="S419" s="519"/>
      <c r="T419" s="519"/>
      <c r="U419" s="519"/>
      <c r="V419" s="519"/>
      <c r="W419" s="519"/>
      <c r="X419" s="519"/>
      <c r="Y419" s="519"/>
      <c r="Z419" s="519"/>
      <c r="AA419" s="519"/>
      <c r="AB419" s="519"/>
      <c r="AC419" s="519"/>
      <c r="AD419" s="519"/>
      <c r="AE419" s="519"/>
      <c r="AF419" s="519"/>
      <c r="AG419" s="519"/>
      <c r="AH419" s="519"/>
      <c r="AI419" s="519"/>
      <c r="AJ419" s="519"/>
      <c r="AK419" s="519"/>
      <c r="AL419" s="519"/>
      <c r="AM419" s="519"/>
      <c r="AN419" s="519"/>
      <c r="AO419" s="519"/>
      <c r="AP419" s="519"/>
      <c r="AQ419" s="519"/>
      <c r="AR419" s="519"/>
      <c r="AS419" s="519"/>
      <c r="AT419" s="519"/>
      <c r="AU419" s="519"/>
      <c r="AV419" s="519"/>
      <c r="AW419" s="519"/>
      <c r="AX419" s="519"/>
      <c r="AY419" s="519"/>
      <c r="AZ419" s="519"/>
      <c r="BA419" s="519"/>
      <c r="BB419" s="519"/>
      <c r="BC419" s="519"/>
      <c r="BD419" s="519"/>
      <c r="BE419" s="519"/>
      <c r="BF419" s="912"/>
      <c r="BG419" s="519"/>
      <c r="BH419" s="519"/>
    </row>
    <row r="420" spans="1:60" s="201" customFormat="1" hidden="1">
      <c r="A420" s="112"/>
      <c r="B420" s="203"/>
      <c r="C420" s="133"/>
      <c r="D420" s="133"/>
      <c r="E420" s="115"/>
      <c r="F420" s="196"/>
      <c r="G420" s="1096"/>
      <c r="H420" s="1046"/>
      <c r="I420" s="792"/>
      <c r="J420" s="1506"/>
      <c r="K420" s="912"/>
      <c r="L420" s="518"/>
      <c r="M420" s="519"/>
      <c r="N420" s="519"/>
      <c r="O420" s="519"/>
      <c r="P420" s="519"/>
      <c r="Q420" s="519"/>
      <c r="R420" s="519"/>
      <c r="S420" s="519"/>
      <c r="T420" s="519"/>
      <c r="U420" s="519"/>
      <c r="V420" s="519"/>
      <c r="W420" s="519"/>
      <c r="X420" s="519"/>
      <c r="Y420" s="519"/>
      <c r="Z420" s="519"/>
      <c r="AA420" s="519"/>
      <c r="AB420" s="519"/>
      <c r="AC420" s="519"/>
      <c r="AD420" s="519"/>
      <c r="AE420" s="519"/>
      <c r="AF420" s="519"/>
      <c r="AG420" s="519"/>
      <c r="AH420" s="519"/>
      <c r="AI420" s="519"/>
      <c r="AJ420" s="519"/>
      <c r="AK420" s="519"/>
      <c r="AL420" s="519"/>
      <c r="AM420" s="519"/>
      <c r="AN420" s="519"/>
      <c r="AO420" s="519"/>
      <c r="AP420" s="519"/>
      <c r="AQ420" s="519"/>
      <c r="AR420" s="519"/>
      <c r="AS420" s="519"/>
      <c r="AT420" s="519"/>
      <c r="AU420" s="519"/>
      <c r="AV420" s="519"/>
      <c r="AW420" s="519"/>
      <c r="AX420" s="519"/>
      <c r="AY420" s="519"/>
      <c r="AZ420" s="519"/>
      <c r="BA420" s="519"/>
      <c r="BB420" s="519"/>
      <c r="BC420" s="519"/>
      <c r="BD420" s="519"/>
      <c r="BE420" s="519"/>
      <c r="BF420" s="912"/>
      <c r="BG420" s="519"/>
      <c r="BH420" s="519"/>
    </row>
    <row r="421" spans="1:60" s="201" customFormat="1" hidden="1">
      <c r="A421" s="112"/>
      <c r="B421" s="203"/>
      <c r="C421" s="133"/>
      <c r="D421" s="133"/>
      <c r="E421" s="115"/>
      <c r="F421" s="196" t="s">
        <v>1465</v>
      </c>
      <c r="G421" s="1371" t="s">
        <v>1635</v>
      </c>
      <c r="H421" s="1046" t="s">
        <v>1634</v>
      </c>
      <c r="I421" s="792">
        <f>I398+150</f>
        <v>11631</v>
      </c>
      <c r="J421" s="1506"/>
      <c r="K421" s="912"/>
      <c r="L421" s="518"/>
      <c r="M421" s="519"/>
      <c r="N421" s="519"/>
      <c r="O421" s="519"/>
      <c r="P421" s="519"/>
      <c r="Q421" s="519"/>
      <c r="R421" s="519"/>
      <c r="S421" s="519"/>
      <c r="T421" s="519"/>
      <c r="U421" s="519"/>
      <c r="V421" s="519"/>
      <c r="W421" s="519"/>
      <c r="X421" s="519"/>
      <c r="Y421" s="519"/>
      <c r="Z421" s="519"/>
      <c r="AA421" s="519"/>
      <c r="AB421" s="519"/>
      <c r="AC421" s="519"/>
      <c r="AD421" s="519"/>
      <c r="AE421" s="519"/>
      <c r="AF421" s="519"/>
      <c r="AG421" s="519"/>
      <c r="AH421" s="519"/>
      <c r="AI421" s="519"/>
      <c r="AJ421" s="519"/>
      <c r="AK421" s="519"/>
      <c r="AL421" s="519"/>
      <c r="AM421" s="519"/>
      <c r="AN421" s="519"/>
      <c r="AO421" s="519"/>
      <c r="AP421" s="519"/>
      <c r="AQ421" s="519"/>
      <c r="AR421" s="519"/>
      <c r="AS421" s="519"/>
      <c r="AT421" s="519"/>
      <c r="AU421" s="519"/>
      <c r="AV421" s="519"/>
      <c r="AW421" s="519"/>
      <c r="AX421" s="519"/>
      <c r="AY421" s="519"/>
      <c r="AZ421" s="519"/>
      <c r="BA421" s="519"/>
      <c r="BB421" s="519"/>
      <c r="BC421" s="519"/>
      <c r="BD421" s="519"/>
      <c r="BE421" s="519"/>
      <c r="BF421" s="912"/>
      <c r="BG421" s="519"/>
      <c r="BH421" s="519"/>
    </row>
    <row r="422" spans="1:60" s="201" customFormat="1" hidden="1">
      <c r="A422" s="112"/>
      <c r="B422" s="203"/>
      <c r="C422" s="133"/>
      <c r="D422" s="133"/>
      <c r="E422" s="115"/>
      <c r="F422" s="196" t="s">
        <v>1466</v>
      </c>
      <c r="G422" s="1371" t="s">
        <v>1636</v>
      </c>
      <c r="H422" s="1046" t="s">
        <v>1637</v>
      </c>
      <c r="I422" s="792">
        <f>I402+150</f>
        <v>17606</v>
      </c>
      <c r="J422" s="1506"/>
      <c r="K422" s="912"/>
      <c r="L422" s="518"/>
      <c r="M422" s="519"/>
      <c r="N422" s="519"/>
      <c r="O422" s="519"/>
      <c r="P422" s="519"/>
      <c r="Q422" s="519"/>
      <c r="R422" s="519"/>
      <c r="S422" s="519"/>
      <c r="T422" s="519"/>
      <c r="U422" s="519"/>
      <c r="V422" s="519"/>
      <c r="W422" s="519"/>
      <c r="X422" s="519"/>
      <c r="Y422" s="519"/>
      <c r="Z422" s="519"/>
      <c r="AA422" s="519"/>
      <c r="AB422" s="519"/>
      <c r="AC422" s="519"/>
      <c r="AD422" s="519"/>
      <c r="AE422" s="519"/>
      <c r="AF422" s="519"/>
      <c r="AG422" s="519"/>
      <c r="AH422" s="519"/>
      <c r="AI422" s="519"/>
      <c r="AJ422" s="519"/>
      <c r="AK422" s="519"/>
      <c r="AL422" s="519"/>
      <c r="AM422" s="519"/>
      <c r="AN422" s="519"/>
      <c r="AO422" s="519"/>
      <c r="AP422" s="519"/>
      <c r="AQ422" s="519"/>
      <c r="AR422" s="519"/>
      <c r="AS422" s="519"/>
      <c r="AT422" s="519"/>
      <c r="AU422" s="519"/>
      <c r="AV422" s="519"/>
      <c r="AW422" s="519"/>
      <c r="AX422" s="519"/>
      <c r="AY422" s="519"/>
      <c r="AZ422" s="519"/>
      <c r="BA422" s="519"/>
      <c r="BB422" s="519"/>
      <c r="BC422" s="519"/>
      <c r="BD422" s="519"/>
      <c r="BE422" s="519"/>
      <c r="BF422" s="912"/>
      <c r="BG422" s="519"/>
      <c r="BH422" s="519"/>
    </row>
    <row r="423" spans="1:60" s="201" customFormat="1" hidden="1">
      <c r="A423" s="112"/>
      <c r="B423" s="203"/>
      <c r="C423" s="133"/>
      <c r="D423" s="133"/>
      <c r="E423" s="115"/>
      <c r="F423" s="196"/>
      <c r="G423" s="1096"/>
      <c r="H423" s="1046"/>
      <c r="I423" s="792"/>
      <c r="J423" s="1506"/>
      <c r="K423" s="912"/>
      <c r="L423" s="518"/>
      <c r="M423" s="519"/>
      <c r="N423" s="519"/>
      <c r="O423" s="519"/>
      <c r="P423" s="519"/>
      <c r="Q423" s="519"/>
      <c r="R423" s="519"/>
      <c r="S423" s="519"/>
      <c r="T423" s="519"/>
      <c r="U423" s="519"/>
      <c r="V423" s="519"/>
      <c r="W423" s="519"/>
      <c r="X423" s="519"/>
      <c r="Y423" s="519"/>
      <c r="Z423" s="519"/>
      <c r="AA423" s="519"/>
      <c r="AB423" s="519"/>
      <c r="AC423" s="519"/>
      <c r="AD423" s="519"/>
      <c r="AE423" s="519"/>
      <c r="AF423" s="519"/>
      <c r="AG423" s="519"/>
      <c r="AH423" s="519"/>
      <c r="AI423" s="519"/>
      <c r="AJ423" s="519"/>
      <c r="AK423" s="519"/>
      <c r="AL423" s="519"/>
      <c r="AM423" s="519"/>
      <c r="AN423" s="519"/>
      <c r="AO423" s="519"/>
      <c r="AP423" s="519"/>
      <c r="AQ423" s="519"/>
      <c r="AR423" s="519"/>
      <c r="AS423" s="519"/>
      <c r="AT423" s="519"/>
      <c r="AU423" s="519"/>
      <c r="AV423" s="519"/>
      <c r="AW423" s="519"/>
      <c r="AX423" s="519"/>
      <c r="AY423" s="519"/>
      <c r="AZ423" s="519"/>
      <c r="BA423" s="519"/>
      <c r="BB423" s="519"/>
      <c r="BC423" s="519"/>
      <c r="BD423" s="519"/>
      <c r="BE423" s="519"/>
      <c r="BF423" s="912"/>
      <c r="BG423" s="519"/>
      <c r="BH423" s="519"/>
    </row>
    <row r="424" spans="1:60" s="201" customFormat="1" hidden="1">
      <c r="A424" s="112"/>
      <c r="B424" s="203"/>
      <c r="C424" s="133"/>
      <c r="D424" s="133"/>
      <c r="E424" s="115"/>
      <c r="F424" s="196"/>
      <c r="G424" s="197"/>
      <c r="H424" s="197"/>
      <c r="I424" s="792"/>
      <c r="J424" s="1506"/>
      <c r="K424" s="912"/>
      <c r="L424" s="518"/>
      <c r="M424" s="519"/>
      <c r="N424" s="519"/>
      <c r="O424" s="519"/>
      <c r="P424" s="519"/>
      <c r="Q424" s="519"/>
      <c r="R424" s="519"/>
      <c r="S424" s="519"/>
      <c r="T424" s="519"/>
      <c r="U424" s="519"/>
      <c r="V424" s="519"/>
      <c r="W424" s="519"/>
      <c r="X424" s="519"/>
      <c r="Y424" s="519"/>
      <c r="Z424" s="519"/>
      <c r="AA424" s="519"/>
      <c r="AB424" s="519"/>
      <c r="AC424" s="519"/>
      <c r="AD424" s="519"/>
      <c r="AE424" s="519"/>
      <c r="AF424" s="519"/>
      <c r="AG424" s="519"/>
      <c r="AH424" s="519"/>
      <c r="AI424" s="519"/>
      <c r="AJ424" s="519"/>
      <c r="AK424" s="519"/>
      <c r="AL424" s="519"/>
      <c r="AM424" s="519"/>
      <c r="AN424" s="519"/>
      <c r="AO424" s="519"/>
      <c r="AP424" s="519"/>
      <c r="AQ424" s="519"/>
      <c r="AR424" s="519"/>
      <c r="AS424" s="519"/>
      <c r="AT424" s="519"/>
      <c r="AU424" s="519"/>
      <c r="AV424" s="519"/>
      <c r="AW424" s="519"/>
      <c r="AX424" s="519"/>
      <c r="AY424" s="519"/>
      <c r="AZ424" s="519"/>
      <c r="BA424" s="519"/>
      <c r="BB424" s="519"/>
      <c r="BC424" s="519"/>
      <c r="BD424" s="519"/>
      <c r="BE424" s="519"/>
      <c r="BF424" s="912"/>
      <c r="BG424" s="519"/>
      <c r="BH424" s="519"/>
    </row>
    <row r="425" spans="1:60" s="201" customFormat="1" hidden="1">
      <c r="A425" s="112"/>
      <c r="B425" s="203"/>
      <c r="C425" s="115"/>
      <c r="D425" s="115"/>
      <c r="E425" s="115"/>
      <c r="F425" s="109"/>
      <c r="G425" s="199"/>
      <c r="H425" s="199"/>
      <c r="I425" s="332"/>
      <c r="J425" s="1506"/>
      <c r="K425" s="912"/>
      <c r="L425" s="519"/>
      <c r="M425" s="519"/>
      <c r="N425" s="519"/>
      <c r="O425" s="519"/>
      <c r="P425" s="519"/>
      <c r="Q425" s="519"/>
      <c r="R425" s="519"/>
      <c r="S425" s="519"/>
      <c r="T425" s="519"/>
      <c r="U425" s="519"/>
      <c r="V425" s="519"/>
      <c r="W425" s="519"/>
      <c r="X425" s="519"/>
      <c r="Y425" s="519"/>
      <c r="Z425" s="519"/>
      <c r="AA425" s="519"/>
      <c r="AB425" s="519"/>
      <c r="AC425" s="519"/>
      <c r="AD425" s="519"/>
      <c r="AE425" s="519"/>
      <c r="AF425" s="519"/>
      <c r="AG425" s="519"/>
      <c r="AH425" s="519"/>
      <c r="AI425" s="519"/>
      <c r="AJ425" s="519"/>
      <c r="AK425" s="519"/>
      <c r="AL425" s="519"/>
      <c r="AM425" s="519"/>
      <c r="AN425" s="519"/>
      <c r="AO425" s="519"/>
      <c r="AP425" s="519"/>
      <c r="AQ425" s="519"/>
      <c r="AR425" s="519"/>
      <c r="AS425" s="519"/>
      <c r="AT425" s="519"/>
      <c r="AU425" s="519"/>
      <c r="AV425" s="519"/>
      <c r="AW425" s="519"/>
      <c r="AX425" s="519"/>
      <c r="AY425" s="519"/>
      <c r="AZ425" s="519"/>
      <c r="BA425" s="519"/>
      <c r="BB425" s="519"/>
      <c r="BC425" s="519"/>
      <c r="BD425" s="519"/>
      <c r="BE425" s="519"/>
      <c r="BF425" s="912"/>
      <c r="BG425" s="519"/>
      <c r="BH425" s="519"/>
    </row>
    <row r="426" spans="1:60" s="201" customFormat="1" ht="13.5" hidden="1" thickBot="1">
      <c r="A426" s="112"/>
      <c r="B426" s="203"/>
      <c r="C426" s="132"/>
      <c r="D426" s="132" t="s">
        <v>24</v>
      </c>
      <c r="E426" s="115"/>
      <c r="F426" s="204"/>
      <c r="G426" s="199"/>
      <c r="H426" s="199"/>
      <c r="I426" s="332"/>
      <c r="J426" s="1506"/>
      <c r="K426" s="912"/>
      <c r="L426" s="519"/>
      <c r="M426" s="519"/>
      <c r="N426" s="519"/>
      <c r="O426" s="519"/>
      <c r="P426" s="519"/>
      <c r="Q426" s="519"/>
      <c r="R426" s="519"/>
      <c r="S426" s="519"/>
      <c r="T426" s="519"/>
      <c r="U426" s="519"/>
      <c r="V426" s="519"/>
      <c r="W426" s="519"/>
      <c r="X426" s="519"/>
      <c r="Y426" s="519"/>
      <c r="Z426" s="519"/>
      <c r="AA426" s="519"/>
      <c r="AB426" s="519"/>
      <c r="AC426" s="519"/>
      <c r="AD426" s="519"/>
      <c r="AE426" s="519"/>
      <c r="AF426" s="519"/>
      <c r="AG426" s="519"/>
      <c r="AH426" s="519"/>
      <c r="AI426" s="519"/>
      <c r="AJ426" s="519"/>
      <c r="AK426" s="519"/>
      <c r="AL426" s="519"/>
      <c r="AM426" s="519"/>
      <c r="AN426" s="519"/>
      <c r="AO426" s="519"/>
      <c r="AP426" s="519"/>
      <c r="AQ426" s="519"/>
      <c r="AR426" s="519"/>
      <c r="AS426" s="519"/>
      <c r="AT426" s="519"/>
      <c r="AU426" s="519"/>
      <c r="AV426" s="519"/>
      <c r="AW426" s="519"/>
      <c r="AX426" s="519"/>
      <c r="AY426" s="519"/>
      <c r="AZ426" s="519"/>
      <c r="BA426" s="519"/>
      <c r="BB426" s="519"/>
      <c r="BC426" s="519"/>
      <c r="BD426" s="519"/>
      <c r="BE426" s="519"/>
      <c r="BF426" s="912"/>
      <c r="BG426" s="519"/>
      <c r="BH426" s="519"/>
    </row>
    <row r="427" spans="1:60" s="201" customFormat="1" hidden="1">
      <c r="A427" s="112"/>
      <c r="B427" s="203"/>
      <c r="C427" s="204"/>
      <c r="D427" s="204"/>
      <c r="E427" s="115"/>
      <c r="F427" s="363" t="s">
        <v>325</v>
      </c>
      <c r="G427" s="253"/>
      <c r="H427" s="197"/>
      <c r="I427" s="403">
        <v>439</v>
      </c>
      <c r="J427" s="1509"/>
      <c r="K427" s="912"/>
      <c r="L427" s="518"/>
      <c r="M427" s="518"/>
      <c r="N427" s="518"/>
      <c r="O427" s="518"/>
      <c r="P427" s="518"/>
      <c r="Q427" s="519"/>
      <c r="R427" s="519"/>
      <c r="S427" s="519"/>
      <c r="T427" s="519"/>
      <c r="U427" s="519"/>
      <c r="V427" s="519"/>
      <c r="W427" s="519"/>
      <c r="X427" s="519"/>
      <c r="Y427" s="519"/>
      <c r="Z427" s="519"/>
      <c r="AA427" s="519"/>
      <c r="AB427" s="519"/>
      <c r="AC427" s="519"/>
      <c r="AD427" s="519"/>
      <c r="AE427" s="519"/>
      <c r="AF427" s="519"/>
      <c r="AG427" s="519"/>
      <c r="AH427" s="519"/>
      <c r="AI427" s="519"/>
      <c r="AJ427" s="519"/>
      <c r="AK427" s="519"/>
      <c r="AL427" s="519"/>
      <c r="AM427" s="519"/>
      <c r="AN427" s="519"/>
      <c r="AO427" s="519"/>
      <c r="AP427" s="519"/>
      <c r="AQ427" s="519"/>
      <c r="AR427" s="519"/>
      <c r="AS427" s="519"/>
      <c r="AT427" s="519"/>
      <c r="AU427" s="519"/>
      <c r="AV427" s="519"/>
      <c r="AW427" s="519"/>
      <c r="AX427" s="519"/>
      <c r="AY427" s="519"/>
      <c r="AZ427" s="519"/>
      <c r="BA427" s="519"/>
      <c r="BB427" s="519"/>
      <c r="BC427" s="519"/>
      <c r="BD427" s="519"/>
      <c r="BE427" s="519"/>
      <c r="BF427" s="912"/>
      <c r="BG427" s="519"/>
      <c r="BH427" s="519"/>
    </row>
    <row r="428" spans="1:60" s="201" customFormat="1" hidden="1">
      <c r="A428" s="112"/>
      <c r="B428" s="203"/>
      <c r="C428" s="204"/>
      <c r="D428" s="204"/>
      <c r="E428" s="115"/>
      <c r="F428" s="99" t="s">
        <v>326</v>
      </c>
      <c r="G428" s="253"/>
      <c r="H428" s="197"/>
      <c r="I428" s="403">
        <v>622</v>
      </c>
      <c r="J428" s="1509"/>
      <c r="K428" s="912"/>
      <c r="L428" s="518"/>
      <c r="M428" s="518"/>
      <c r="N428" s="518"/>
      <c r="O428" s="518"/>
      <c r="P428" s="518"/>
      <c r="Q428" s="519"/>
      <c r="R428" s="519"/>
      <c r="S428" s="519"/>
      <c r="T428" s="519"/>
      <c r="U428" s="519"/>
      <c r="V428" s="519"/>
      <c r="W428" s="519"/>
      <c r="X428" s="519"/>
      <c r="Y428" s="519"/>
      <c r="Z428" s="519"/>
      <c r="AA428" s="519"/>
      <c r="AB428" s="519"/>
      <c r="AC428" s="519"/>
      <c r="AD428" s="519"/>
      <c r="AE428" s="519"/>
      <c r="AF428" s="519"/>
      <c r="AG428" s="519"/>
      <c r="AH428" s="519"/>
      <c r="AI428" s="519"/>
      <c r="AJ428" s="519"/>
      <c r="AK428" s="519"/>
      <c r="AL428" s="519"/>
      <c r="AM428" s="519"/>
      <c r="AN428" s="519"/>
      <c r="AO428" s="519"/>
      <c r="AP428" s="519"/>
      <c r="AQ428" s="519"/>
      <c r="AR428" s="519"/>
      <c r="AS428" s="519"/>
      <c r="AT428" s="519"/>
      <c r="AU428" s="519"/>
      <c r="AV428" s="519"/>
      <c r="AW428" s="519"/>
      <c r="AX428" s="519"/>
      <c r="AY428" s="519"/>
      <c r="AZ428" s="519"/>
      <c r="BA428" s="519"/>
      <c r="BB428" s="519"/>
      <c r="BC428" s="519"/>
      <c r="BD428" s="519"/>
      <c r="BE428" s="519"/>
      <c r="BF428" s="912"/>
      <c r="BG428" s="519"/>
      <c r="BH428" s="519"/>
    </row>
    <row r="429" spans="1:60" s="201" customFormat="1" hidden="1">
      <c r="A429" s="112"/>
      <c r="B429" s="203"/>
      <c r="C429" s="204"/>
      <c r="D429" s="204"/>
      <c r="E429" s="115"/>
      <c r="F429" s="99" t="s">
        <v>327</v>
      </c>
      <c r="G429" s="253"/>
      <c r="H429" s="197"/>
      <c r="I429" s="403">
        <v>622</v>
      </c>
      <c r="J429" s="1509"/>
      <c r="K429" s="912"/>
      <c r="L429" s="518"/>
      <c r="M429" s="518"/>
      <c r="N429" s="518"/>
      <c r="O429" s="518"/>
      <c r="P429" s="518"/>
      <c r="Q429" s="519"/>
      <c r="R429" s="519"/>
      <c r="S429" s="519"/>
      <c r="T429" s="519"/>
      <c r="U429" s="519"/>
      <c r="V429" s="519"/>
      <c r="W429" s="519"/>
      <c r="X429" s="519"/>
      <c r="Y429" s="519"/>
      <c r="Z429" s="519"/>
      <c r="AA429" s="519"/>
      <c r="AB429" s="519"/>
      <c r="AC429" s="519"/>
      <c r="AD429" s="519"/>
      <c r="AE429" s="519"/>
      <c r="AF429" s="519"/>
      <c r="AG429" s="519"/>
      <c r="AH429" s="519"/>
      <c r="AI429" s="519"/>
      <c r="AJ429" s="519"/>
      <c r="AK429" s="519"/>
      <c r="AL429" s="519"/>
      <c r="AM429" s="519"/>
      <c r="AN429" s="519"/>
      <c r="AO429" s="519"/>
      <c r="AP429" s="519"/>
      <c r="AQ429" s="519"/>
      <c r="AR429" s="519"/>
      <c r="AS429" s="519"/>
      <c r="AT429" s="519"/>
      <c r="AU429" s="519"/>
      <c r="AV429" s="519"/>
      <c r="AW429" s="519"/>
      <c r="AX429" s="519"/>
      <c r="AY429" s="519"/>
      <c r="AZ429" s="519"/>
      <c r="BA429" s="519"/>
      <c r="BB429" s="519"/>
      <c r="BC429" s="519"/>
      <c r="BD429" s="519"/>
      <c r="BE429" s="519"/>
      <c r="BF429" s="912"/>
      <c r="BG429" s="519"/>
      <c r="BH429" s="519"/>
    </row>
    <row r="430" spans="1:60" s="201" customFormat="1" hidden="1">
      <c r="A430" s="112"/>
      <c r="B430" s="203"/>
      <c r="C430" s="204"/>
      <c r="D430" s="204"/>
      <c r="E430" s="115"/>
      <c r="F430" s="99" t="s">
        <v>328</v>
      </c>
      <c r="G430" s="253"/>
      <c r="H430" s="197"/>
      <c r="I430" s="403">
        <v>787</v>
      </c>
      <c r="J430" s="1509"/>
      <c r="K430" s="912"/>
      <c r="L430" s="518"/>
      <c r="M430" s="518"/>
      <c r="N430" s="518"/>
      <c r="O430" s="518"/>
      <c r="P430" s="518"/>
      <c r="Q430" s="519"/>
      <c r="R430" s="519"/>
      <c r="S430" s="519"/>
      <c r="T430" s="519"/>
      <c r="U430" s="519"/>
      <c r="V430" s="519"/>
      <c r="W430" s="519"/>
      <c r="X430" s="519"/>
      <c r="Y430" s="519"/>
      <c r="Z430" s="519"/>
      <c r="AA430" s="519"/>
      <c r="AB430" s="519"/>
      <c r="AC430" s="519"/>
      <c r="AD430" s="519"/>
      <c r="AE430" s="519"/>
      <c r="AF430" s="519"/>
      <c r="AG430" s="519"/>
      <c r="AH430" s="519"/>
      <c r="AI430" s="519"/>
      <c r="AJ430" s="519"/>
      <c r="AK430" s="519"/>
      <c r="AL430" s="519"/>
      <c r="AM430" s="519"/>
      <c r="AN430" s="519"/>
      <c r="AO430" s="519"/>
      <c r="AP430" s="519"/>
      <c r="AQ430" s="519"/>
      <c r="AR430" s="519"/>
      <c r="AS430" s="519"/>
      <c r="AT430" s="519"/>
      <c r="AU430" s="519"/>
      <c r="AV430" s="519"/>
      <c r="AW430" s="519"/>
      <c r="AX430" s="519"/>
      <c r="AY430" s="519"/>
      <c r="AZ430" s="519"/>
      <c r="BA430" s="519"/>
      <c r="BB430" s="519"/>
      <c r="BC430" s="519"/>
      <c r="BD430" s="519"/>
      <c r="BE430" s="519"/>
      <c r="BF430" s="912"/>
      <c r="BG430" s="519"/>
      <c r="BH430" s="519"/>
    </row>
    <row r="431" spans="1:60" s="201" customFormat="1" hidden="1">
      <c r="A431" s="112"/>
      <c r="B431" s="203"/>
      <c r="C431" s="204"/>
      <c r="D431" s="204"/>
      <c r="E431" s="115"/>
      <c r="F431" s="196" t="s">
        <v>1010</v>
      </c>
      <c r="G431" s="253"/>
      <c r="H431" s="197"/>
      <c r="I431" s="403">
        <v>1006</v>
      </c>
      <c r="J431" s="1509"/>
      <c r="K431" s="912"/>
      <c r="L431" s="518"/>
      <c r="M431" s="518"/>
      <c r="N431" s="518"/>
      <c r="O431" s="518"/>
      <c r="P431" s="518"/>
      <c r="Q431" s="519"/>
      <c r="R431" s="519"/>
      <c r="S431" s="519"/>
      <c r="T431" s="519"/>
      <c r="U431" s="519"/>
      <c r="V431" s="519"/>
      <c r="W431" s="519"/>
      <c r="X431" s="519"/>
      <c r="Y431" s="519"/>
      <c r="Z431" s="519"/>
      <c r="AA431" s="519"/>
      <c r="AB431" s="519"/>
      <c r="AC431" s="519"/>
      <c r="AD431" s="519"/>
      <c r="AE431" s="519"/>
      <c r="AF431" s="519"/>
      <c r="AG431" s="519"/>
      <c r="AH431" s="519"/>
      <c r="AI431" s="519"/>
      <c r="AJ431" s="519"/>
      <c r="AK431" s="519"/>
      <c r="AL431" s="519"/>
      <c r="AM431" s="519"/>
      <c r="AN431" s="519"/>
      <c r="AO431" s="519"/>
      <c r="AP431" s="519"/>
      <c r="AQ431" s="519"/>
      <c r="AR431" s="519"/>
      <c r="AS431" s="519"/>
      <c r="AT431" s="519"/>
      <c r="AU431" s="519"/>
      <c r="AV431" s="519"/>
      <c r="AW431" s="519"/>
      <c r="AX431" s="519"/>
      <c r="AY431" s="519"/>
      <c r="AZ431" s="519"/>
      <c r="BA431" s="519"/>
      <c r="BB431" s="519"/>
      <c r="BC431" s="519"/>
      <c r="BD431" s="519"/>
      <c r="BE431" s="519"/>
      <c r="BF431" s="912"/>
      <c r="BG431" s="519"/>
      <c r="BH431" s="519"/>
    </row>
    <row r="432" spans="1:60" s="201" customFormat="1" ht="13.5" hidden="1" thickBot="1">
      <c r="A432" s="112"/>
      <c r="B432" s="203"/>
      <c r="C432" s="204"/>
      <c r="D432" s="204"/>
      <c r="E432" s="115"/>
      <c r="F432" s="373" t="s">
        <v>1011</v>
      </c>
      <c r="G432" s="365"/>
      <c r="H432" s="366"/>
      <c r="I432" s="404">
        <v>1006</v>
      </c>
      <c r="J432" s="1509"/>
      <c r="K432" s="912"/>
      <c r="L432" s="518"/>
      <c r="M432" s="518"/>
      <c r="N432" s="518"/>
      <c r="O432" s="518"/>
      <c r="P432" s="518"/>
      <c r="Q432" s="519"/>
      <c r="R432" s="519"/>
      <c r="S432" s="519"/>
      <c r="T432" s="519"/>
      <c r="U432" s="519"/>
      <c r="V432" s="519"/>
      <c r="W432" s="519"/>
      <c r="X432" s="519"/>
      <c r="Y432" s="519"/>
      <c r="Z432" s="519"/>
      <c r="AA432" s="519"/>
      <c r="AB432" s="519"/>
      <c r="AC432" s="519"/>
      <c r="AD432" s="519"/>
      <c r="AE432" s="519"/>
      <c r="AF432" s="519"/>
      <c r="AG432" s="519"/>
      <c r="AH432" s="519"/>
      <c r="AI432" s="519"/>
      <c r="AJ432" s="519"/>
      <c r="AK432" s="519"/>
      <c r="AL432" s="519"/>
      <c r="AM432" s="519"/>
      <c r="AN432" s="519"/>
      <c r="AO432" s="519"/>
      <c r="AP432" s="519"/>
      <c r="AQ432" s="519"/>
      <c r="AR432" s="519"/>
      <c r="AS432" s="519"/>
      <c r="AT432" s="519"/>
      <c r="AU432" s="519"/>
      <c r="AV432" s="519"/>
      <c r="AW432" s="519"/>
      <c r="AX432" s="519"/>
      <c r="AY432" s="519"/>
      <c r="AZ432" s="519"/>
      <c r="BA432" s="519"/>
      <c r="BB432" s="519"/>
      <c r="BC432" s="519"/>
      <c r="BD432" s="519"/>
      <c r="BE432" s="519"/>
      <c r="BF432" s="912"/>
      <c r="BG432" s="519"/>
      <c r="BH432" s="519"/>
    </row>
    <row r="433" spans="1:60" s="201" customFormat="1" hidden="1">
      <c r="A433" s="112"/>
      <c r="B433" s="203"/>
      <c r="C433" s="204"/>
      <c r="D433" s="204"/>
      <c r="E433" s="204"/>
      <c r="F433" s="363" t="s">
        <v>340</v>
      </c>
      <c r="G433" s="253"/>
      <c r="H433" s="197"/>
      <c r="I433" s="403">
        <v>171</v>
      </c>
      <c r="J433" s="1509"/>
      <c r="K433" s="912"/>
      <c r="L433" s="518"/>
      <c r="M433" s="518"/>
      <c r="N433" s="518"/>
      <c r="O433" s="518"/>
      <c r="P433" s="518"/>
      <c r="Q433" s="519"/>
      <c r="R433" s="519"/>
      <c r="S433" s="519"/>
      <c r="T433" s="519"/>
      <c r="U433" s="519"/>
      <c r="V433" s="519"/>
      <c r="W433" s="519"/>
      <c r="X433" s="519"/>
      <c r="Y433" s="519"/>
      <c r="Z433" s="519"/>
      <c r="AA433" s="519"/>
      <c r="AB433" s="519"/>
      <c r="AC433" s="519"/>
      <c r="AD433" s="519"/>
      <c r="AE433" s="519"/>
      <c r="AF433" s="519"/>
      <c r="AG433" s="519"/>
      <c r="AH433" s="519"/>
      <c r="AI433" s="519"/>
      <c r="AJ433" s="519"/>
      <c r="AK433" s="519"/>
      <c r="AL433" s="519"/>
      <c r="AM433" s="519"/>
      <c r="AN433" s="519"/>
      <c r="AO433" s="519"/>
      <c r="AP433" s="519"/>
      <c r="AQ433" s="519"/>
      <c r="AR433" s="519"/>
      <c r="AS433" s="519"/>
      <c r="AT433" s="519"/>
      <c r="AU433" s="519"/>
      <c r="AV433" s="519"/>
      <c r="AW433" s="519"/>
      <c r="AX433" s="519"/>
      <c r="AY433" s="519"/>
      <c r="AZ433" s="519"/>
      <c r="BA433" s="519"/>
      <c r="BB433" s="519"/>
      <c r="BC433" s="519"/>
      <c r="BD433" s="519"/>
      <c r="BE433" s="519"/>
      <c r="BF433" s="912"/>
      <c r="BG433" s="519"/>
      <c r="BH433" s="519"/>
    </row>
    <row r="434" spans="1:60" s="201" customFormat="1" hidden="1">
      <c r="A434" s="112"/>
      <c r="B434" s="203"/>
      <c r="C434" s="204"/>
      <c r="D434" s="204"/>
      <c r="E434" s="204"/>
      <c r="F434" s="99" t="s">
        <v>341</v>
      </c>
      <c r="G434" s="253"/>
      <c r="H434" s="197"/>
      <c r="I434" s="403">
        <v>171</v>
      </c>
      <c r="J434" s="1509"/>
      <c r="K434" s="912"/>
      <c r="L434" s="518"/>
      <c r="M434" s="518"/>
      <c r="N434" s="518"/>
      <c r="O434" s="518"/>
      <c r="P434" s="518"/>
      <c r="Q434" s="519"/>
      <c r="R434" s="519"/>
      <c r="S434" s="519"/>
      <c r="T434" s="519"/>
      <c r="U434" s="519"/>
      <c r="V434" s="519"/>
      <c r="W434" s="519"/>
      <c r="X434" s="519"/>
      <c r="Y434" s="519"/>
      <c r="Z434" s="519"/>
      <c r="AA434" s="519"/>
      <c r="AB434" s="519"/>
      <c r="AC434" s="519"/>
      <c r="AD434" s="519"/>
      <c r="AE434" s="519"/>
      <c r="AF434" s="519"/>
      <c r="AG434" s="519"/>
      <c r="AH434" s="519"/>
      <c r="AI434" s="519"/>
      <c r="AJ434" s="519"/>
      <c r="AK434" s="519"/>
      <c r="AL434" s="519"/>
      <c r="AM434" s="519"/>
      <c r="AN434" s="519"/>
      <c r="AO434" s="519"/>
      <c r="AP434" s="519"/>
      <c r="AQ434" s="519"/>
      <c r="AR434" s="519"/>
      <c r="AS434" s="519"/>
      <c r="AT434" s="519"/>
      <c r="AU434" s="519"/>
      <c r="AV434" s="519"/>
      <c r="AW434" s="519"/>
      <c r="AX434" s="519"/>
      <c r="AY434" s="519"/>
      <c r="AZ434" s="519"/>
      <c r="BA434" s="519"/>
      <c r="BB434" s="519"/>
      <c r="BC434" s="519"/>
      <c r="BD434" s="519"/>
      <c r="BE434" s="519"/>
      <c r="BF434" s="912"/>
      <c r="BG434" s="519"/>
      <c r="BH434" s="519"/>
    </row>
    <row r="435" spans="1:60" s="201" customFormat="1" hidden="1">
      <c r="A435" s="112"/>
      <c r="B435" s="203"/>
      <c r="C435" s="204"/>
      <c r="D435" s="204"/>
      <c r="E435" s="204"/>
      <c r="F435" s="99" t="s">
        <v>342</v>
      </c>
      <c r="G435" s="253"/>
      <c r="H435" s="197"/>
      <c r="I435" s="403">
        <v>171</v>
      </c>
      <c r="J435" s="1509"/>
      <c r="K435" s="912"/>
      <c r="L435" s="518"/>
      <c r="M435" s="518"/>
      <c r="N435" s="518"/>
      <c r="O435" s="518"/>
      <c r="P435" s="518"/>
      <c r="Q435" s="519"/>
      <c r="R435" s="519"/>
      <c r="S435" s="519"/>
      <c r="T435" s="519"/>
      <c r="U435" s="519"/>
      <c r="V435" s="519"/>
      <c r="W435" s="519"/>
      <c r="X435" s="519"/>
      <c r="Y435" s="519"/>
      <c r="Z435" s="519"/>
      <c r="AA435" s="519"/>
      <c r="AB435" s="519"/>
      <c r="AC435" s="519"/>
      <c r="AD435" s="519"/>
      <c r="AE435" s="519"/>
      <c r="AF435" s="519"/>
      <c r="AG435" s="519"/>
      <c r="AH435" s="519"/>
      <c r="AI435" s="519"/>
      <c r="AJ435" s="519"/>
      <c r="AK435" s="519"/>
      <c r="AL435" s="519"/>
      <c r="AM435" s="519"/>
      <c r="AN435" s="519"/>
      <c r="AO435" s="519"/>
      <c r="AP435" s="519"/>
      <c r="AQ435" s="519"/>
      <c r="AR435" s="519"/>
      <c r="AS435" s="519"/>
      <c r="AT435" s="519"/>
      <c r="AU435" s="519"/>
      <c r="AV435" s="519"/>
      <c r="AW435" s="519"/>
      <c r="AX435" s="519"/>
      <c r="AY435" s="519"/>
      <c r="AZ435" s="519"/>
      <c r="BA435" s="519"/>
      <c r="BB435" s="519"/>
      <c r="BC435" s="519"/>
      <c r="BD435" s="519"/>
      <c r="BE435" s="519"/>
      <c r="BF435" s="912"/>
      <c r="BG435" s="519"/>
      <c r="BH435" s="519"/>
    </row>
    <row r="436" spans="1:60" s="201" customFormat="1" ht="13.5" hidden="1" thickBot="1">
      <c r="A436" s="112"/>
      <c r="B436" s="203"/>
      <c r="C436" s="204"/>
      <c r="D436" s="204"/>
      <c r="E436" s="204"/>
      <c r="F436" s="362" t="s">
        <v>343</v>
      </c>
      <c r="G436" s="365"/>
      <c r="H436" s="366"/>
      <c r="I436" s="404">
        <v>324</v>
      </c>
      <c r="J436" s="1509"/>
      <c r="K436" s="912"/>
      <c r="L436" s="518"/>
      <c r="M436" s="518"/>
      <c r="N436" s="518"/>
      <c r="O436" s="518"/>
      <c r="P436" s="518"/>
      <c r="Q436" s="519"/>
      <c r="R436" s="519"/>
      <c r="S436" s="519"/>
      <c r="T436" s="519"/>
      <c r="U436" s="519"/>
      <c r="V436" s="519"/>
      <c r="W436" s="519"/>
      <c r="X436" s="519"/>
      <c r="Y436" s="519"/>
      <c r="Z436" s="519"/>
      <c r="AA436" s="519"/>
      <c r="AB436" s="519"/>
      <c r="AC436" s="519"/>
      <c r="AD436" s="519"/>
      <c r="AE436" s="519"/>
      <c r="AF436" s="519"/>
      <c r="AG436" s="519"/>
      <c r="AH436" s="519"/>
      <c r="AI436" s="519"/>
      <c r="AJ436" s="519"/>
      <c r="AK436" s="519"/>
      <c r="AL436" s="519"/>
      <c r="AM436" s="519"/>
      <c r="AN436" s="519"/>
      <c r="AO436" s="519"/>
      <c r="AP436" s="519"/>
      <c r="AQ436" s="519"/>
      <c r="AR436" s="519"/>
      <c r="AS436" s="519"/>
      <c r="AT436" s="519"/>
      <c r="AU436" s="519"/>
      <c r="AV436" s="519"/>
      <c r="AW436" s="519"/>
      <c r="AX436" s="519"/>
      <c r="AY436" s="519"/>
      <c r="AZ436" s="519"/>
      <c r="BA436" s="519"/>
      <c r="BB436" s="519"/>
      <c r="BC436" s="519"/>
      <c r="BD436" s="519"/>
      <c r="BE436" s="519"/>
      <c r="BF436" s="912"/>
      <c r="BG436" s="519"/>
      <c r="BH436" s="519"/>
    </row>
    <row r="437" spans="1:60" s="201" customFormat="1" hidden="1">
      <c r="A437" s="112"/>
      <c r="B437" s="203"/>
      <c r="C437" s="204"/>
      <c r="D437" s="204"/>
      <c r="E437" s="204"/>
      <c r="F437" s="363" t="s">
        <v>344</v>
      </c>
      <c r="G437" s="253"/>
      <c r="H437" s="197"/>
      <c r="I437" s="403">
        <v>153</v>
      </c>
      <c r="J437" s="1509"/>
      <c r="K437" s="912"/>
      <c r="L437" s="518"/>
      <c r="M437" s="518"/>
      <c r="N437" s="518"/>
      <c r="O437" s="518"/>
      <c r="P437" s="518"/>
      <c r="Q437" s="519"/>
      <c r="R437" s="519"/>
      <c r="S437" s="519"/>
      <c r="T437" s="519"/>
      <c r="U437" s="519"/>
      <c r="V437" s="519"/>
      <c r="W437" s="519"/>
      <c r="X437" s="519"/>
      <c r="Y437" s="519"/>
      <c r="Z437" s="519"/>
      <c r="AA437" s="519"/>
      <c r="AB437" s="519"/>
      <c r="AC437" s="519"/>
      <c r="AD437" s="519"/>
      <c r="AE437" s="519"/>
      <c r="AF437" s="519"/>
      <c r="AG437" s="519"/>
      <c r="AH437" s="519"/>
      <c r="AI437" s="519"/>
      <c r="AJ437" s="519"/>
      <c r="AK437" s="519"/>
      <c r="AL437" s="519"/>
      <c r="AM437" s="519"/>
      <c r="AN437" s="519"/>
      <c r="AO437" s="519"/>
      <c r="AP437" s="519"/>
      <c r="AQ437" s="519"/>
      <c r="AR437" s="519"/>
      <c r="AS437" s="519"/>
      <c r="AT437" s="519"/>
      <c r="AU437" s="519"/>
      <c r="AV437" s="519"/>
      <c r="AW437" s="519"/>
      <c r="AX437" s="519"/>
      <c r="AY437" s="519"/>
      <c r="AZ437" s="519"/>
      <c r="BA437" s="519"/>
      <c r="BB437" s="519"/>
      <c r="BC437" s="519"/>
      <c r="BD437" s="519"/>
      <c r="BE437" s="519"/>
      <c r="BF437" s="912"/>
      <c r="BG437" s="519"/>
      <c r="BH437" s="519"/>
    </row>
    <row r="438" spans="1:60" s="201" customFormat="1" hidden="1">
      <c r="A438" s="112"/>
      <c r="B438" s="203"/>
      <c r="C438" s="204"/>
      <c r="D438" s="204"/>
      <c r="E438" s="204"/>
      <c r="F438" s="99" t="s">
        <v>345</v>
      </c>
      <c r="G438" s="253"/>
      <c r="H438" s="197"/>
      <c r="I438" s="403">
        <v>324</v>
      </c>
      <c r="J438" s="1509"/>
      <c r="K438" s="912"/>
      <c r="L438" s="518"/>
      <c r="M438" s="518"/>
      <c r="N438" s="518"/>
      <c r="O438" s="518"/>
      <c r="P438" s="518"/>
      <c r="Q438" s="519"/>
      <c r="R438" s="519"/>
      <c r="S438" s="519"/>
      <c r="T438" s="519"/>
      <c r="U438" s="519"/>
      <c r="V438" s="519"/>
      <c r="W438" s="519"/>
      <c r="X438" s="519"/>
      <c r="Y438" s="519"/>
      <c r="Z438" s="519"/>
      <c r="AA438" s="519"/>
      <c r="AB438" s="519"/>
      <c r="AC438" s="519"/>
      <c r="AD438" s="519"/>
      <c r="AE438" s="519"/>
      <c r="AF438" s="519"/>
      <c r="AG438" s="519"/>
      <c r="AH438" s="519"/>
      <c r="AI438" s="519"/>
      <c r="AJ438" s="519"/>
      <c r="AK438" s="519"/>
      <c r="AL438" s="519"/>
      <c r="AM438" s="519"/>
      <c r="AN438" s="519"/>
      <c r="AO438" s="519"/>
      <c r="AP438" s="519"/>
      <c r="AQ438" s="519"/>
      <c r="AR438" s="519"/>
      <c r="AS438" s="519"/>
      <c r="AT438" s="519"/>
      <c r="AU438" s="519"/>
      <c r="AV438" s="519"/>
      <c r="AW438" s="519"/>
      <c r="AX438" s="519"/>
      <c r="AY438" s="519"/>
      <c r="AZ438" s="519"/>
      <c r="BA438" s="519"/>
      <c r="BB438" s="519"/>
      <c r="BC438" s="519"/>
      <c r="BD438" s="519"/>
      <c r="BE438" s="519"/>
      <c r="BF438" s="912"/>
      <c r="BG438" s="519"/>
      <c r="BH438" s="519"/>
    </row>
    <row r="439" spans="1:60" s="201" customFormat="1" hidden="1">
      <c r="A439" s="112"/>
      <c r="B439" s="203"/>
      <c r="C439" s="204"/>
      <c r="D439" s="204"/>
      <c r="E439" s="204"/>
      <c r="F439" s="99" t="s">
        <v>346</v>
      </c>
      <c r="G439" s="253"/>
      <c r="H439" s="197"/>
      <c r="I439" s="403">
        <v>324</v>
      </c>
      <c r="J439" s="1509"/>
      <c r="K439" s="912"/>
      <c r="L439" s="518"/>
      <c r="M439" s="518"/>
      <c r="N439" s="518"/>
      <c r="O439" s="518"/>
      <c r="P439" s="518"/>
      <c r="Q439" s="519"/>
      <c r="R439" s="519"/>
      <c r="S439" s="519"/>
      <c r="T439" s="519"/>
      <c r="U439" s="519"/>
      <c r="V439" s="519"/>
      <c r="W439" s="519"/>
      <c r="X439" s="519"/>
      <c r="Y439" s="519"/>
      <c r="Z439" s="519"/>
      <c r="AA439" s="519"/>
      <c r="AB439" s="519"/>
      <c r="AC439" s="519"/>
      <c r="AD439" s="519"/>
      <c r="AE439" s="519"/>
      <c r="AF439" s="519"/>
      <c r="AG439" s="519"/>
      <c r="AH439" s="519"/>
      <c r="AI439" s="519"/>
      <c r="AJ439" s="519"/>
      <c r="AK439" s="519"/>
      <c r="AL439" s="519"/>
      <c r="AM439" s="519"/>
      <c r="AN439" s="519"/>
      <c r="AO439" s="519"/>
      <c r="AP439" s="519"/>
      <c r="AQ439" s="519"/>
      <c r="AR439" s="519"/>
      <c r="AS439" s="519"/>
      <c r="AT439" s="519"/>
      <c r="AU439" s="519"/>
      <c r="AV439" s="519"/>
      <c r="AW439" s="519"/>
      <c r="AX439" s="519"/>
      <c r="AY439" s="519"/>
      <c r="AZ439" s="519"/>
      <c r="BA439" s="519"/>
      <c r="BB439" s="519"/>
      <c r="BC439" s="519"/>
      <c r="BD439" s="519"/>
      <c r="BE439" s="519"/>
      <c r="BF439" s="912"/>
      <c r="BG439" s="519"/>
      <c r="BH439" s="519"/>
    </row>
    <row r="440" spans="1:60" s="201" customFormat="1" ht="13.5" hidden="1" thickBot="1">
      <c r="A440" s="112"/>
      <c r="B440" s="203"/>
      <c r="C440" s="204"/>
      <c r="D440" s="204"/>
      <c r="E440" s="204"/>
      <c r="F440" s="362" t="s">
        <v>347</v>
      </c>
      <c r="G440" s="365"/>
      <c r="H440" s="366"/>
      <c r="I440" s="404">
        <v>477</v>
      </c>
      <c r="J440" s="1509"/>
      <c r="K440" s="912"/>
      <c r="L440" s="518"/>
      <c r="M440" s="518"/>
      <c r="N440" s="518"/>
      <c r="O440" s="518"/>
      <c r="P440" s="518"/>
      <c r="Q440" s="519"/>
      <c r="R440" s="519"/>
      <c r="S440" s="519"/>
      <c r="T440" s="519"/>
      <c r="U440" s="519"/>
      <c r="V440" s="519"/>
      <c r="W440" s="519"/>
      <c r="X440" s="519"/>
      <c r="Y440" s="519"/>
      <c r="Z440" s="519"/>
      <c r="AA440" s="519"/>
      <c r="AB440" s="519"/>
      <c r="AC440" s="519"/>
      <c r="AD440" s="519"/>
      <c r="AE440" s="519"/>
      <c r="AF440" s="519"/>
      <c r="AG440" s="519"/>
      <c r="AH440" s="519"/>
      <c r="AI440" s="519"/>
      <c r="AJ440" s="519"/>
      <c r="AK440" s="519"/>
      <c r="AL440" s="519"/>
      <c r="AM440" s="519"/>
      <c r="AN440" s="519"/>
      <c r="AO440" s="519"/>
      <c r="AP440" s="519"/>
      <c r="AQ440" s="519"/>
      <c r="AR440" s="519"/>
      <c r="AS440" s="519"/>
      <c r="AT440" s="519"/>
      <c r="AU440" s="519"/>
      <c r="AV440" s="519"/>
      <c r="AW440" s="519"/>
      <c r="AX440" s="519"/>
      <c r="AY440" s="519"/>
      <c r="AZ440" s="519"/>
      <c r="BA440" s="519"/>
      <c r="BB440" s="519"/>
      <c r="BC440" s="519"/>
      <c r="BD440" s="519"/>
      <c r="BE440" s="519"/>
      <c r="BF440" s="912"/>
      <c r="BG440" s="519"/>
      <c r="BH440" s="519"/>
    </row>
    <row r="441" spans="1:60" s="201" customFormat="1" hidden="1">
      <c r="A441" s="112"/>
      <c r="B441" s="203"/>
      <c r="C441" s="204"/>
      <c r="D441" s="204"/>
      <c r="E441" s="204"/>
      <c r="F441" s="363" t="s">
        <v>352</v>
      </c>
      <c r="G441" s="253"/>
      <c r="H441" s="197"/>
      <c r="I441" s="403">
        <v>146</v>
      </c>
      <c r="J441" s="1509"/>
      <c r="K441" s="912"/>
      <c r="L441" s="518"/>
      <c r="M441" s="518"/>
      <c r="N441" s="518"/>
      <c r="O441" s="518"/>
      <c r="P441" s="518"/>
      <c r="Q441" s="519"/>
      <c r="R441" s="519"/>
      <c r="S441" s="519"/>
      <c r="T441" s="519"/>
      <c r="U441" s="519"/>
      <c r="V441" s="519"/>
      <c r="W441" s="519"/>
      <c r="X441" s="519"/>
      <c r="Y441" s="519"/>
      <c r="Z441" s="519"/>
      <c r="AA441" s="519"/>
      <c r="AB441" s="519"/>
      <c r="AC441" s="519"/>
      <c r="AD441" s="519"/>
      <c r="AE441" s="519"/>
      <c r="AF441" s="519"/>
      <c r="AG441" s="519"/>
      <c r="AH441" s="519"/>
      <c r="AI441" s="519"/>
      <c r="AJ441" s="519"/>
      <c r="AK441" s="519"/>
      <c r="AL441" s="519"/>
      <c r="AM441" s="519"/>
      <c r="AN441" s="519"/>
      <c r="AO441" s="519"/>
      <c r="AP441" s="519"/>
      <c r="AQ441" s="519"/>
      <c r="AR441" s="519"/>
      <c r="AS441" s="519"/>
      <c r="AT441" s="519"/>
      <c r="AU441" s="519"/>
      <c r="AV441" s="519"/>
      <c r="AW441" s="519"/>
      <c r="AX441" s="519"/>
      <c r="AY441" s="519"/>
      <c r="AZ441" s="519"/>
      <c r="BA441" s="519"/>
      <c r="BB441" s="519"/>
      <c r="BC441" s="519"/>
      <c r="BD441" s="519"/>
      <c r="BE441" s="519"/>
      <c r="BF441" s="912"/>
      <c r="BG441" s="519"/>
      <c r="BH441" s="519"/>
    </row>
    <row r="442" spans="1:60" s="201" customFormat="1" hidden="1">
      <c r="A442" s="112"/>
      <c r="B442" s="203"/>
      <c r="C442" s="204"/>
      <c r="D442" s="204"/>
      <c r="E442" s="204"/>
      <c r="F442" s="99" t="s">
        <v>353</v>
      </c>
      <c r="G442" s="254"/>
      <c r="H442" s="197"/>
      <c r="I442" s="403">
        <v>309</v>
      </c>
      <c r="J442" s="1509"/>
      <c r="K442" s="912"/>
      <c r="L442" s="518"/>
      <c r="M442" s="518"/>
      <c r="N442" s="518"/>
      <c r="O442" s="518"/>
      <c r="P442" s="518"/>
      <c r="Q442" s="519"/>
      <c r="R442" s="519"/>
      <c r="S442" s="519"/>
      <c r="T442" s="519"/>
      <c r="U442" s="519"/>
      <c r="V442" s="519"/>
      <c r="W442" s="519"/>
      <c r="X442" s="519"/>
      <c r="Y442" s="519"/>
      <c r="Z442" s="519"/>
      <c r="AA442" s="519"/>
      <c r="AB442" s="519"/>
      <c r="AC442" s="519"/>
      <c r="AD442" s="519"/>
      <c r="AE442" s="519"/>
      <c r="AF442" s="519"/>
      <c r="AG442" s="519"/>
      <c r="AH442" s="519"/>
      <c r="AI442" s="519"/>
      <c r="AJ442" s="519"/>
      <c r="AK442" s="519"/>
      <c r="AL442" s="519"/>
      <c r="AM442" s="519"/>
      <c r="AN442" s="519"/>
      <c r="AO442" s="519"/>
      <c r="AP442" s="519"/>
      <c r="AQ442" s="519"/>
      <c r="AR442" s="519"/>
      <c r="AS442" s="519"/>
      <c r="AT442" s="519"/>
      <c r="AU442" s="519"/>
      <c r="AV442" s="519"/>
      <c r="AW442" s="519"/>
      <c r="AX442" s="519"/>
      <c r="AY442" s="519"/>
      <c r="AZ442" s="519"/>
      <c r="BA442" s="519"/>
      <c r="BB442" s="519"/>
      <c r="BC442" s="519"/>
      <c r="BD442" s="519"/>
      <c r="BE442" s="519"/>
      <c r="BF442" s="912"/>
      <c r="BG442" s="519"/>
      <c r="BH442" s="519"/>
    </row>
    <row r="443" spans="1:60" s="201" customFormat="1" hidden="1">
      <c r="A443" s="112"/>
      <c r="B443" s="203"/>
      <c r="C443" s="204"/>
      <c r="D443" s="204"/>
      <c r="E443" s="204"/>
      <c r="F443" s="99" t="s">
        <v>354</v>
      </c>
      <c r="G443" s="253"/>
      <c r="H443" s="197"/>
      <c r="I443" s="403">
        <v>309</v>
      </c>
      <c r="J443" s="1509"/>
      <c r="K443" s="912"/>
      <c r="L443" s="518"/>
      <c r="M443" s="518"/>
      <c r="N443" s="518"/>
      <c r="O443" s="518"/>
      <c r="P443" s="518"/>
      <c r="Q443" s="519"/>
      <c r="R443" s="519"/>
      <c r="S443" s="519"/>
      <c r="T443" s="519"/>
      <c r="U443" s="519"/>
      <c r="V443" s="519"/>
      <c r="W443" s="519"/>
      <c r="X443" s="519"/>
      <c r="Y443" s="519"/>
      <c r="Z443" s="519"/>
      <c r="AA443" s="519"/>
      <c r="AB443" s="519"/>
      <c r="AC443" s="519"/>
      <c r="AD443" s="519"/>
      <c r="AE443" s="519"/>
      <c r="AF443" s="519"/>
      <c r="AG443" s="519"/>
      <c r="AH443" s="519"/>
      <c r="AI443" s="519"/>
      <c r="AJ443" s="519"/>
      <c r="AK443" s="519"/>
      <c r="AL443" s="519"/>
      <c r="AM443" s="519"/>
      <c r="AN443" s="519"/>
      <c r="AO443" s="519"/>
      <c r="AP443" s="519"/>
      <c r="AQ443" s="519"/>
      <c r="AR443" s="519"/>
      <c r="AS443" s="519"/>
      <c r="AT443" s="519"/>
      <c r="AU443" s="519"/>
      <c r="AV443" s="519"/>
      <c r="AW443" s="519"/>
      <c r="AX443" s="519"/>
      <c r="AY443" s="519"/>
      <c r="AZ443" s="519"/>
      <c r="BA443" s="519"/>
      <c r="BB443" s="519"/>
      <c r="BC443" s="519"/>
      <c r="BD443" s="519"/>
      <c r="BE443" s="519"/>
      <c r="BF443" s="912"/>
      <c r="BG443" s="519"/>
      <c r="BH443" s="519"/>
    </row>
    <row r="444" spans="1:60" s="201" customFormat="1" ht="13.5" hidden="1" thickBot="1">
      <c r="A444" s="112"/>
      <c r="B444" s="203"/>
      <c r="C444" s="204"/>
      <c r="D444" s="204"/>
      <c r="E444" s="204"/>
      <c r="F444" s="362" t="s">
        <v>355</v>
      </c>
      <c r="G444" s="365"/>
      <c r="H444" s="366"/>
      <c r="I444" s="404">
        <v>455</v>
      </c>
      <c r="J444" s="1509"/>
      <c r="K444" s="912"/>
      <c r="L444" s="518"/>
      <c r="M444" s="518"/>
      <c r="N444" s="518"/>
      <c r="O444" s="518"/>
      <c r="P444" s="518"/>
      <c r="Q444" s="519"/>
      <c r="R444" s="519"/>
      <c r="S444" s="519"/>
      <c r="T444" s="519"/>
      <c r="U444" s="519"/>
      <c r="V444" s="519"/>
      <c r="W444" s="519"/>
      <c r="X444" s="519"/>
      <c r="Y444" s="519"/>
      <c r="Z444" s="519"/>
      <c r="AA444" s="519"/>
      <c r="AB444" s="519"/>
      <c r="AC444" s="519"/>
      <c r="AD444" s="519"/>
      <c r="AE444" s="519"/>
      <c r="AF444" s="519"/>
      <c r="AG444" s="519"/>
      <c r="AH444" s="519"/>
      <c r="AI444" s="519"/>
      <c r="AJ444" s="519"/>
      <c r="AK444" s="519"/>
      <c r="AL444" s="519"/>
      <c r="AM444" s="519"/>
      <c r="AN444" s="519"/>
      <c r="AO444" s="519"/>
      <c r="AP444" s="519"/>
      <c r="AQ444" s="519"/>
      <c r="AR444" s="519"/>
      <c r="AS444" s="519"/>
      <c r="AT444" s="519"/>
      <c r="AU444" s="519"/>
      <c r="AV444" s="519"/>
      <c r="AW444" s="519"/>
      <c r="AX444" s="519"/>
      <c r="AY444" s="519"/>
      <c r="AZ444" s="519"/>
      <c r="BA444" s="519"/>
      <c r="BB444" s="519"/>
      <c r="BC444" s="519"/>
      <c r="BD444" s="519"/>
      <c r="BE444" s="519"/>
      <c r="BF444" s="912"/>
      <c r="BG444" s="519"/>
      <c r="BH444" s="519"/>
    </row>
    <row r="445" spans="1:60" s="201" customFormat="1" hidden="1">
      <c r="A445" s="112"/>
      <c r="B445" s="203"/>
      <c r="C445" s="204"/>
      <c r="D445" s="204"/>
      <c r="E445" s="204"/>
      <c r="F445" s="363" t="s">
        <v>348</v>
      </c>
      <c r="G445" s="253"/>
      <c r="H445" s="197"/>
      <c r="I445" s="403">
        <v>153</v>
      </c>
      <c r="J445" s="1509"/>
      <c r="K445" s="912"/>
      <c r="L445" s="518"/>
      <c r="M445" s="518"/>
      <c r="N445" s="518"/>
      <c r="O445" s="518"/>
      <c r="P445" s="518"/>
      <c r="Q445" s="519"/>
      <c r="R445" s="519"/>
      <c r="S445" s="519"/>
      <c r="T445" s="519"/>
      <c r="U445" s="519"/>
      <c r="V445" s="519"/>
      <c r="W445" s="519"/>
      <c r="X445" s="519"/>
      <c r="Y445" s="519"/>
      <c r="Z445" s="519"/>
      <c r="AA445" s="519"/>
      <c r="AB445" s="519"/>
      <c r="AC445" s="519"/>
      <c r="AD445" s="519"/>
      <c r="AE445" s="519"/>
      <c r="AF445" s="519"/>
      <c r="AG445" s="519"/>
      <c r="AH445" s="519"/>
      <c r="AI445" s="519"/>
      <c r="AJ445" s="519"/>
      <c r="AK445" s="519"/>
      <c r="AL445" s="519"/>
      <c r="AM445" s="519"/>
      <c r="AN445" s="519"/>
      <c r="AO445" s="519"/>
      <c r="AP445" s="519"/>
      <c r="AQ445" s="519"/>
      <c r="AR445" s="519"/>
      <c r="AS445" s="519"/>
      <c r="AT445" s="519"/>
      <c r="AU445" s="519"/>
      <c r="AV445" s="519"/>
      <c r="AW445" s="519"/>
      <c r="AX445" s="519"/>
      <c r="AY445" s="519"/>
      <c r="AZ445" s="519"/>
      <c r="BA445" s="519"/>
      <c r="BB445" s="519"/>
      <c r="BC445" s="519"/>
      <c r="BD445" s="519"/>
      <c r="BE445" s="519"/>
      <c r="BF445" s="912"/>
      <c r="BG445" s="519"/>
      <c r="BH445" s="519"/>
    </row>
    <row r="446" spans="1:60" s="201" customFormat="1" hidden="1">
      <c r="A446" s="112"/>
      <c r="B446" s="203"/>
      <c r="C446" s="204"/>
      <c r="D446" s="204"/>
      <c r="E446" s="204"/>
      <c r="F446" s="99" t="s">
        <v>349</v>
      </c>
      <c r="G446" s="253"/>
      <c r="H446" s="197"/>
      <c r="I446" s="403">
        <v>324</v>
      </c>
      <c r="J446" s="1509"/>
      <c r="K446" s="912"/>
      <c r="L446" s="518"/>
      <c r="M446" s="518"/>
      <c r="N446" s="518"/>
      <c r="O446" s="518"/>
      <c r="P446" s="518"/>
      <c r="Q446" s="519"/>
      <c r="R446" s="519"/>
      <c r="S446" s="519"/>
      <c r="T446" s="519"/>
      <c r="U446" s="519"/>
      <c r="V446" s="519"/>
      <c r="W446" s="519"/>
      <c r="X446" s="519"/>
      <c r="Y446" s="519"/>
      <c r="Z446" s="519"/>
      <c r="AA446" s="519"/>
      <c r="AB446" s="519"/>
      <c r="AC446" s="519"/>
      <c r="AD446" s="519"/>
      <c r="AE446" s="519"/>
      <c r="AF446" s="519"/>
      <c r="AG446" s="519"/>
      <c r="AH446" s="519"/>
      <c r="AI446" s="519"/>
      <c r="AJ446" s="519"/>
      <c r="AK446" s="519"/>
      <c r="AL446" s="519"/>
      <c r="AM446" s="519"/>
      <c r="AN446" s="519"/>
      <c r="AO446" s="519"/>
      <c r="AP446" s="519"/>
      <c r="AQ446" s="519"/>
      <c r="AR446" s="519"/>
      <c r="AS446" s="519"/>
      <c r="AT446" s="519"/>
      <c r="AU446" s="519"/>
      <c r="AV446" s="519"/>
      <c r="AW446" s="519"/>
      <c r="AX446" s="519"/>
      <c r="AY446" s="519"/>
      <c r="AZ446" s="519"/>
      <c r="BA446" s="519"/>
      <c r="BB446" s="519"/>
      <c r="BC446" s="519"/>
      <c r="BD446" s="519"/>
      <c r="BE446" s="519"/>
      <c r="BF446" s="912"/>
      <c r="BG446" s="519"/>
      <c r="BH446" s="519"/>
    </row>
    <row r="447" spans="1:60" s="201" customFormat="1" hidden="1">
      <c r="A447" s="112"/>
      <c r="B447" s="203"/>
      <c r="C447" s="204"/>
      <c r="D447" s="204"/>
      <c r="E447" s="204"/>
      <c r="F447" s="99" t="s">
        <v>350</v>
      </c>
      <c r="G447" s="253"/>
      <c r="H447" s="197"/>
      <c r="I447" s="403">
        <v>324</v>
      </c>
      <c r="J447" s="1509"/>
      <c r="K447" s="912"/>
      <c r="L447" s="518"/>
      <c r="M447" s="518"/>
      <c r="N447" s="518"/>
      <c r="O447" s="518"/>
      <c r="P447" s="518"/>
      <c r="Q447" s="519"/>
      <c r="R447" s="519"/>
      <c r="S447" s="519"/>
      <c r="T447" s="519"/>
      <c r="U447" s="519"/>
      <c r="V447" s="519"/>
      <c r="W447" s="519"/>
      <c r="X447" s="519"/>
      <c r="Y447" s="519"/>
      <c r="Z447" s="519"/>
      <c r="AA447" s="519"/>
      <c r="AB447" s="519"/>
      <c r="AC447" s="519"/>
      <c r="AD447" s="519"/>
      <c r="AE447" s="519"/>
      <c r="AF447" s="519"/>
      <c r="AG447" s="519"/>
      <c r="AH447" s="519"/>
      <c r="AI447" s="519"/>
      <c r="AJ447" s="519"/>
      <c r="AK447" s="519"/>
      <c r="AL447" s="519"/>
      <c r="AM447" s="519"/>
      <c r="AN447" s="519"/>
      <c r="AO447" s="519"/>
      <c r="AP447" s="519"/>
      <c r="AQ447" s="519"/>
      <c r="AR447" s="519"/>
      <c r="AS447" s="519"/>
      <c r="AT447" s="519"/>
      <c r="AU447" s="519"/>
      <c r="AV447" s="519"/>
      <c r="AW447" s="519"/>
      <c r="AX447" s="519"/>
      <c r="AY447" s="519"/>
      <c r="AZ447" s="519"/>
      <c r="BA447" s="519"/>
      <c r="BB447" s="519"/>
      <c r="BC447" s="519"/>
      <c r="BD447" s="519"/>
      <c r="BE447" s="519"/>
      <c r="BF447" s="912"/>
      <c r="BG447" s="519"/>
      <c r="BH447" s="519"/>
    </row>
    <row r="448" spans="1:60" s="201" customFormat="1" ht="13.5" hidden="1" thickBot="1">
      <c r="A448" s="112"/>
      <c r="B448" s="203"/>
      <c r="C448" s="204"/>
      <c r="D448" s="204"/>
      <c r="E448" s="204"/>
      <c r="F448" s="362" t="s">
        <v>351</v>
      </c>
      <c r="G448" s="365"/>
      <c r="H448" s="366"/>
      <c r="I448" s="404">
        <v>477</v>
      </c>
      <c r="J448" s="1509"/>
      <c r="K448" s="912"/>
      <c r="L448" s="518"/>
      <c r="M448" s="518"/>
      <c r="N448" s="518"/>
      <c r="O448" s="518"/>
      <c r="P448" s="518"/>
      <c r="Q448" s="519"/>
      <c r="R448" s="519"/>
      <c r="S448" s="519"/>
      <c r="T448" s="519"/>
      <c r="U448" s="519"/>
      <c r="V448" s="519"/>
      <c r="W448" s="519"/>
      <c r="X448" s="519"/>
      <c r="Y448" s="519"/>
      <c r="Z448" s="519"/>
      <c r="AA448" s="519"/>
      <c r="AB448" s="519"/>
      <c r="AC448" s="519"/>
      <c r="AD448" s="519"/>
      <c r="AE448" s="519"/>
      <c r="AF448" s="519"/>
      <c r="AG448" s="519"/>
      <c r="AH448" s="519"/>
      <c r="AI448" s="519"/>
      <c r="AJ448" s="519"/>
      <c r="AK448" s="519"/>
      <c r="AL448" s="519"/>
      <c r="AM448" s="519"/>
      <c r="AN448" s="519"/>
      <c r="AO448" s="519"/>
      <c r="AP448" s="519"/>
      <c r="AQ448" s="519"/>
      <c r="AR448" s="519"/>
      <c r="AS448" s="519"/>
      <c r="AT448" s="519"/>
      <c r="AU448" s="519"/>
      <c r="AV448" s="519"/>
      <c r="AW448" s="519"/>
      <c r="AX448" s="519"/>
      <c r="AY448" s="519"/>
      <c r="AZ448" s="519"/>
      <c r="BA448" s="519"/>
      <c r="BB448" s="519"/>
      <c r="BC448" s="519"/>
      <c r="BD448" s="519"/>
      <c r="BE448" s="519"/>
      <c r="BF448" s="912"/>
      <c r="BG448" s="519"/>
      <c r="BH448" s="519"/>
    </row>
    <row r="449" spans="1:60" s="201" customFormat="1" hidden="1">
      <c r="A449" s="112"/>
      <c r="B449" s="203"/>
      <c r="C449" s="204"/>
      <c r="D449" s="204"/>
      <c r="E449" s="115"/>
      <c r="F449" s="363" t="s">
        <v>331</v>
      </c>
      <c r="G449" s="253"/>
      <c r="H449" s="197"/>
      <c r="I449" s="403">
        <v>823</v>
      </c>
      <c r="J449" s="1509"/>
      <c r="K449" s="912"/>
      <c r="L449" s="518"/>
      <c r="M449" s="518"/>
      <c r="N449" s="518"/>
      <c r="O449" s="518"/>
      <c r="P449" s="518"/>
      <c r="Q449" s="519"/>
      <c r="R449" s="519"/>
      <c r="S449" s="519"/>
      <c r="T449" s="519"/>
      <c r="U449" s="519"/>
      <c r="V449" s="519"/>
      <c r="W449" s="519"/>
      <c r="X449" s="519"/>
      <c r="Y449" s="519"/>
      <c r="Z449" s="519"/>
      <c r="AA449" s="519"/>
      <c r="AB449" s="519"/>
      <c r="AC449" s="519"/>
      <c r="AD449" s="519"/>
      <c r="AE449" s="519"/>
      <c r="AF449" s="519"/>
      <c r="AG449" s="519"/>
      <c r="AH449" s="519"/>
      <c r="AI449" s="519"/>
      <c r="AJ449" s="519"/>
      <c r="AK449" s="519"/>
      <c r="AL449" s="519"/>
      <c r="AM449" s="519"/>
      <c r="AN449" s="519"/>
      <c r="AO449" s="519"/>
      <c r="AP449" s="519"/>
      <c r="AQ449" s="519"/>
      <c r="AR449" s="519"/>
      <c r="AS449" s="519"/>
      <c r="AT449" s="519"/>
      <c r="AU449" s="519"/>
      <c r="AV449" s="519"/>
      <c r="AW449" s="519"/>
      <c r="AX449" s="519"/>
      <c r="AY449" s="519"/>
      <c r="AZ449" s="519"/>
      <c r="BA449" s="519"/>
      <c r="BB449" s="519"/>
      <c r="BC449" s="519"/>
      <c r="BD449" s="519"/>
      <c r="BE449" s="519"/>
      <c r="BF449" s="912"/>
      <c r="BG449" s="519"/>
      <c r="BH449" s="519"/>
    </row>
    <row r="450" spans="1:60" s="201" customFormat="1" hidden="1">
      <c r="A450" s="112"/>
      <c r="B450" s="203"/>
      <c r="C450" s="204"/>
      <c r="D450" s="204"/>
      <c r="E450" s="115"/>
      <c r="F450" s="99" t="s">
        <v>332</v>
      </c>
      <c r="G450" s="253"/>
      <c r="H450" s="197"/>
      <c r="I450" s="403">
        <v>1006</v>
      </c>
      <c r="J450" s="1509"/>
      <c r="K450" s="912"/>
      <c r="L450" s="518"/>
      <c r="M450" s="518"/>
      <c r="N450" s="518"/>
      <c r="O450" s="518"/>
      <c r="P450" s="518"/>
      <c r="Q450" s="519"/>
      <c r="R450" s="519"/>
      <c r="S450" s="519"/>
      <c r="T450" s="519"/>
      <c r="U450" s="519"/>
      <c r="V450" s="519"/>
      <c r="W450" s="519"/>
      <c r="X450" s="519"/>
      <c r="Y450" s="519"/>
      <c r="Z450" s="519"/>
      <c r="AA450" s="519"/>
      <c r="AB450" s="519"/>
      <c r="AC450" s="519"/>
      <c r="AD450" s="519"/>
      <c r="AE450" s="519"/>
      <c r="AF450" s="519"/>
      <c r="AG450" s="519"/>
      <c r="AH450" s="519"/>
      <c r="AI450" s="519"/>
      <c r="AJ450" s="519"/>
      <c r="AK450" s="519"/>
      <c r="AL450" s="519"/>
      <c r="AM450" s="519"/>
      <c r="AN450" s="519"/>
      <c r="AO450" s="519"/>
      <c r="AP450" s="519"/>
      <c r="AQ450" s="519"/>
      <c r="AR450" s="519"/>
      <c r="AS450" s="519"/>
      <c r="AT450" s="519"/>
      <c r="AU450" s="519"/>
      <c r="AV450" s="519"/>
      <c r="AW450" s="519"/>
      <c r="AX450" s="519"/>
      <c r="AY450" s="519"/>
      <c r="AZ450" s="519"/>
      <c r="BA450" s="519"/>
      <c r="BB450" s="519"/>
      <c r="BC450" s="519"/>
      <c r="BD450" s="519"/>
      <c r="BE450" s="519"/>
      <c r="BF450" s="912"/>
      <c r="BG450" s="519"/>
      <c r="BH450" s="519"/>
    </row>
    <row r="451" spans="1:60" s="201" customFormat="1" hidden="1">
      <c r="A451" s="112"/>
      <c r="B451" s="203"/>
      <c r="C451" s="204"/>
      <c r="D451" s="204"/>
      <c r="E451" s="115"/>
      <c r="F451" s="99" t="s">
        <v>333</v>
      </c>
      <c r="G451" s="253"/>
      <c r="H451" s="197"/>
      <c r="I451" s="403">
        <v>1006</v>
      </c>
      <c r="J451" s="1509"/>
      <c r="K451" s="912"/>
      <c r="L451" s="518"/>
      <c r="M451" s="518"/>
      <c r="N451" s="518"/>
      <c r="O451" s="518"/>
      <c r="P451" s="518"/>
      <c r="Q451" s="519"/>
      <c r="R451" s="519"/>
      <c r="S451" s="519"/>
      <c r="T451" s="519"/>
      <c r="U451" s="519"/>
      <c r="V451" s="519"/>
      <c r="W451" s="519"/>
      <c r="X451" s="519"/>
      <c r="Y451" s="519"/>
      <c r="Z451" s="519"/>
      <c r="AA451" s="519"/>
      <c r="AB451" s="519"/>
      <c r="AC451" s="519"/>
      <c r="AD451" s="519"/>
      <c r="AE451" s="519"/>
      <c r="AF451" s="519"/>
      <c r="AG451" s="519"/>
      <c r="AH451" s="519"/>
      <c r="AI451" s="519"/>
      <c r="AJ451" s="519"/>
      <c r="AK451" s="519"/>
      <c r="AL451" s="519"/>
      <c r="AM451" s="519"/>
      <c r="AN451" s="519"/>
      <c r="AO451" s="519"/>
      <c r="AP451" s="519"/>
      <c r="AQ451" s="519"/>
      <c r="AR451" s="519"/>
      <c r="AS451" s="519"/>
      <c r="AT451" s="519"/>
      <c r="AU451" s="519"/>
      <c r="AV451" s="519"/>
      <c r="AW451" s="519"/>
      <c r="AX451" s="519"/>
      <c r="AY451" s="519"/>
      <c r="AZ451" s="519"/>
      <c r="BA451" s="519"/>
      <c r="BB451" s="519"/>
      <c r="BC451" s="519"/>
      <c r="BD451" s="519"/>
      <c r="BE451" s="519"/>
      <c r="BF451" s="912"/>
      <c r="BG451" s="519"/>
      <c r="BH451" s="519"/>
    </row>
    <row r="452" spans="1:60" s="201" customFormat="1" ht="13.5" hidden="1" thickBot="1">
      <c r="A452" s="112"/>
      <c r="B452" s="203"/>
      <c r="C452" s="204"/>
      <c r="D452" s="204"/>
      <c r="E452" s="115"/>
      <c r="F452" s="362" t="s">
        <v>334</v>
      </c>
      <c r="G452" s="365"/>
      <c r="H452" s="366"/>
      <c r="I452" s="404">
        <v>1171</v>
      </c>
      <c r="J452" s="1509"/>
      <c r="K452" s="912"/>
      <c r="L452" s="518"/>
      <c r="M452" s="518"/>
      <c r="N452" s="518"/>
      <c r="O452" s="518"/>
      <c r="P452" s="518"/>
      <c r="Q452" s="519"/>
      <c r="R452" s="519"/>
      <c r="S452" s="519"/>
      <c r="T452" s="519"/>
      <c r="U452" s="519"/>
      <c r="V452" s="519"/>
      <c r="W452" s="519"/>
      <c r="X452" s="519"/>
      <c r="Y452" s="519"/>
      <c r="Z452" s="519"/>
      <c r="AA452" s="519"/>
      <c r="AB452" s="519"/>
      <c r="AC452" s="519"/>
      <c r="AD452" s="519"/>
      <c r="AE452" s="519"/>
      <c r="AF452" s="519"/>
      <c r="AG452" s="519"/>
      <c r="AH452" s="519"/>
      <c r="AI452" s="519"/>
      <c r="AJ452" s="519"/>
      <c r="AK452" s="519"/>
      <c r="AL452" s="519"/>
      <c r="AM452" s="519"/>
      <c r="AN452" s="519"/>
      <c r="AO452" s="519"/>
      <c r="AP452" s="519"/>
      <c r="AQ452" s="519"/>
      <c r="AR452" s="519"/>
      <c r="AS452" s="519"/>
      <c r="AT452" s="519"/>
      <c r="AU452" s="519"/>
      <c r="AV452" s="519"/>
      <c r="AW452" s="519"/>
      <c r="AX452" s="519"/>
      <c r="AY452" s="519"/>
      <c r="AZ452" s="519"/>
      <c r="BA452" s="519"/>
      <c r="BB452" s="519"/>
      <c r="BC452" s="519"/>
      <c r="BD452" s="519"/>
      <c r="BE452" s="519"/>
      <c r="BF452" s="912"/>
      <c r="BG452" s="519"/>
      <c r="BH452" s="519"/>
    </row>
    <row r="453" spans="1:60" s="201" customFormat="1" hidden="1">
      <c r="A453" s="112"/>
      <c r="B453" s="203"/>
      <c r="C453" s="204"/>
      <c r="D453" s="204"/>
      <c r="E453" s="115"/>
      <c r="F453" s="115"/>
      <c r="G453" s="115"/>
      <c r="H453" s="115"/>
      <c r="I453" s="115"/>
      <c r="J453" s="1506"/>
      <c r="K453" s="912"/>
      <c r="L453" s="519"/>
      <c r="M453" s="519"/>
      <c r="N453" s="519"/>
      <c r="O453" s="519"/>
      <c r="P453" s="519"/>
      <c r="Q453" s="519"/>
      <c r="R453" s="519"/>
      <c r="S453" s="519"/>
      <c r="T453" s="519"/>
      <c r="U453" s="519"/>
      <c r="V453" s="519"/>
      <c r="W453" s="519"/>
      <c r="X453" s="519"/>
      <c r="Y453" s="519"/>
      <c r="Z453" s="519"/>
      <c r="AA453" s="519"/>
      <c r="AB453" s="519"/>
      <c r="AC453" s="519"/>
      <c r="AD453" s="519"/>
      <c r="AE453" s="519"/>
      <c r="AF453" s="519"/>
      <c r="AG453" s="519"/>
      <c r="AH453" s="519"/>
      <c r="AI453" s="519"/>
      <c r="AJ453" s="519"/>
      <c r="AK453" s="519"/>
      <c r="AL453" s="519"/>
      <c r="AM453" s="519"/>
      <c r="AN453" s="519"/>
      <c r="AO453" s="519"/>
      <c r="AP453" s="519"/>
      <c r="AQ453" s="519"/>
      <c r="AR453" s="519"/>
      <c r="AS453" s="519"/>
      <c r="AT453" s="519"/>
      <c r="AU453" s="519"/>
      <c r="AV453" s="519"/>
      <c r="AW453" s="519"/>
      <c r="AX453" s="519"/>
      <c r="AY453" s="519"/>
      <c r="AZ453" s="519"/>
      <c r="BA453" s="519"/>
      <c r="BB453" s="519"/>
      <c r="BC453" s="519"/>
      <c r="BD453" s="519"/>
      <c r="BE453" s="519"/>
      <c r="BF453" s="912"/>
      <c r="BG453" s="519"/>
      <c r="BH453" s="519"/>
    </row>
    <row r="454" spans="1:60" s="201" customFormat="1" hidden="1">
      <c r="A454" s="112"/>
      <c r="B454" s="203"/>
      <c r="C454" s="204"/>
      <c r="D454" s="204"/>
      <c r="E454" s="115"/>
      <c r="F454" s="115"/>
      <c r="G454" s="115"/>
      <c r="H454" s="115"/>
      <c r="I454" s="115"/>
      <c r="J454" s="1506"/>
      <c r="K454" s="912"/>
      <c r="L454" s="519"/>
      <c r="M454" s="519"/>
      <c r="N454" s="519"/>
      <c r="O454" s="519"/>
      <c r="P454" s="519"/>
      <c r="Q454" s="519"/>
      <c r="R454" s="519"/>
      <c r="S454" s="519"/>
      <c r="T454" s="519"/>
      <c r="U454" s="519"/>
      <c r="V454" s="519"/>
      <c r="W454" s="519"/>
      <c r="X454" s="519"/>
      <c r="Y454" s="519"/>
      <c r="Z454" s="519"/>
      <c r="AA454" s="519"/>
      <c r="AB454" s="519"/>
      <c r="AC454" s="519"/>
      <c r="AD454" s="519"/>
      <c r="AE454" s="519"/>
      <c r="AF454" s="519"/>
      <c r="AG454" s="519"/>
      <c r="AH454" s="519"/>
      <c r="AI454" s="519"/>
      <c r="AJ454" s="519"/>
      <c r="AK454" s="519"/>
      <c r="AL454" s="519"/>
      <c r="AM454" s="519"/>
      <c r="AN454" s="519"/>
      <c r="AO454" s="519"/>
      <c r="AP454" s="519"/>
      <c r="AQ454" s="519"/>
      <c r="AR454" s="519"/>
      <c r="AS454" s="519"/>
      <c r="AT454" s="519"/>
      <c r="AU454" s="519"/>
      <c r="AV454" s="519"/>
      <c r="AW454" s="519"/>
      <c r="AX454" s="519"/>
      <c r="AY454" s="519"/>
      <c r="AZ454" s="519"/>
      <c r="BA454" s="519"/>
      <c r="BB454" s="519"/>
      <c r="BC454" s="519"/>
      <c r="BD454" s="519"/>
      <c r="BE454" s="519"/>
      <c r="BF454" s="912"/>
      <c r="BG454" s="519"/>
      <c r="BH454" s="519"/>
    </row>
    <row r="455" spans="1:60" s="201" customFormat="1" hidden="1">
      <c r="A455" s="112"/>
      <c r="B455" s="203"/>
      <c r="C455" s="204"/>
      <c r="D455" s="204"/>
      <c r="E455" s="115"/>
      <c r="F455" s="115"/>
      <c r="G455" s="115"/>
      <c r="H455" s="115"/>
      <c r="I455" s="115"/>
      <c r="J455" s="1506"/>
      <c r="K455" s="912"/>
      <c r="L455" s="519"/>
      <c r="M455" s="519"/>
      <c r="N455" s="519"/>
      <c r="O455" s="519"/>
      <c r="P455" s="519"/>
      <c r="Q455" s="519"/>
      <c r="R455" s="519"/>
      <c r="S455" s="519"/>
      <c r="T455" s="519"/>
      <c r="U455" s="519"/>
      <c r="V455" s="519"/>
      <c r="W455" s="519"/>
      <c r="X455" s="519"/>
      <c r="Y455" s="519"/>
      <c r="Z455" s="519"/>
      <c r="AA455" s="519"/>
      <c r="AB455" s="519"/>
      <c r="AC455" s="519"/>
      <c r="AD455" s="519"/>
      <c r="AE455" s="519"/>
      <c r="AF455" s="519"/>
      <c r="AG455" s="519"/>
      <c r="AH455" s="519"/>
      <c r="AI455" s="519"/>
      <c r="AJ455" s="519"/>
      <c r="AK455" s="519"/>
      <c r="AL455" s="519"/>
      <c r="AM455" s="519"/>
      <c r="AN455" s="519"/>
      <c r="AO455" s="519"/>
      <c r="AP455" s="519"/>
      <c r="AQ455" s="519"/>
      <c r="AR455" s="519"/>
      <c r="AS455" s="519"/>
      <c r="AT455" s="519"/>
      <c r="AU455" s="519"/>
      <c r="AV455" s="519"/>
      <c r="AW455" s="519"/>
      <c r="AX455" s="519"/>
      <c r="AY455" s="519"/>
      <c r="AZ455" s="519"/>
      <c r="BA455" s="519"/>
      <c r="BB455" s="519"/>
      <c r="BC455" s="519"/>
      <c r="BD455" s="519"/>
      <c r="BE455" s="519"/>
      <c r="BF455" s="912"/>
      <c r="BG455" s="519"/>
      <c r="BH455" s="519"/>
    </row>
    <row r="456" spans="1:60" s="201" customFormat="1" hidden="1">
      <c r="A456" s="112"/>
      <c r="B456" s="203"/>
      <c r="C456" s="204"/>
      <c r="D456" s="204"/>
      <c r="E456" s="115"/>
      <c r="F456" s="115"/>
      <c r="G456" s="115"/>
      <c r="H456" s="115"/>
      <c r="I456" s="115"/>
      <c r="J456" s="1506"/>
      <c r="K456" s="912"/>
      <c r="L456" s="519"/>
      <c r="M456" s="519"/>
      <c r="N456" s="519"/>
      <c r="O456" s="519"/>
      <c r="P456" s="519"/>
      <c r="Q456" s="519"/>
      <c r="R456" s="519"/>
      <c r="S456" s="519"/>
      <c r="T456" s="519"/>
      <c r="U456" s="519"/>
      <c r="V456" s="519"/>
      <c r="W456" s="519"/>
      <c r="X456" s="519"/>
      <c r="Y456" s="519"/>
      <c r="Z456" s="519"/>
      <c r="AA456" s="519"/>
      <c r="AB456" s="519"/>
      <c r="AC456" s="519"/>
      <c r="AD456" s="519"/>
      <c r="AE456" s="519"/>
      <c r="AF456" s="519"/>
      <c r="AG456" s="519"/>
      <c r="AH456" s="519"/>
      <c r="AI456" s="519"/>
      <c r="AJ456" s="519"/>
      <c r="AK456" s="519"/>
      <c r="AL456" s="519"/>
      <c r="AM456" s="519"/>
      <c r="AN456" s="519"/>
      <c r="AO456" s="519"/>
      <c r="AP456" s="519"/>
      <c r="AQ456" s="519"/>
      <c r="AR456" s="519"/>
      <c r="AS456" s="519"/>
      <c r="AT456" s="519"/>
      <c r="AU456" s="519"/>
      <c r="AV456" s="519"/>
      <c r="AW456" s="519"/>
      <c r="AX456" s="519"/>
      <c r="AY456" s="519"/>
      <c r="AZ456" s="519"/>
      <c r="BA456" s="519"/>
      <c r="BB456" s="519"/>
      <c r="BC456" s="519"/>
      <c r="BD456" s="519"/>
      <c r="BE456" s="519"/>
      <c r="BF456" s="912"/>
      <c r="BG456" s="519"/>
      <c r="BH456" s="519"/>
    </row>
    <row r="457" spans="1:60" s="201" customFormat="1" hidden="1">
      <c r="A457" s="112"/>
      <c r="B457" s="203"/>
      <c r="C457" s="204"/>
      <c r="D457" s="204"/>
      <c r="E457" s="115"/>
      <c r="F457" s="133"/>
      <c r="G457" s="199"/>
      <c r="H457" s="199"/>
      <c r="I457" s="333"/>
      <c r="J457" s="1506"/>
      <c r="K457" s="912"/>
      <c r="L457" s="519"/>
      <c r="M457" s="519"/>
      <c r="N457" s="519"/>
      <c r="O457" s="519"/>
      <c r="P457" s="519"/>
      <c r="Q457" s="519"/>
      <c r="R457" s="519"/>
      <c r="S457" s="519"/>
      <c r="T457" s="519"/>
      <c r="U457" s="519"/>
      <c r="V457" s="519"/>
      <c r="W457" s="519"/>
      <c r="X457" s="519"/>
      <c r="Y457" s="519"/>
      <c r="Z457" s="519"/>
      <c r="AA457" s="519"/>
      <c r="AB457" s="519"/>
      <c r="AC457" s="519"/>
      <c r="AD457" s="519"/>
      <c r="AE457" s="519"/>
      <c r="AF457" s="519"/>
      <c r="AG457" s="519"/>
      <c r="AH457" s="519"/>
      <c r="AI457" s="519"/>
      <c r="AJ457" s="519"/>
      <c r="AK457" s="519"/>
      <c r="AL457" s="519"/>
      <c r="AM457" s="519"/>
      <c r="AN457" s="519"/>
      <c r="AO457" s="519"/>
      <c r="AP457" s="519"/>
      <c r="AQ457" s="519"/>
      <c r="AR457" s="519"/>
      <c r="AS457" s="519"/>
      <c r="AT457" s="519"/>
      <c r="AU457" s="519"/>
      <c r="AV457" s="519"/>
      <c r="AW457" s="519"/>
      <c r="AX457" s="519"/>
      <c r="AY457" s="519"/>
      <c r="AZ457" s="519"/>
      <c r="BA457" s="519"/>
      <c r="BB457" s="519"/>
      <c r="BC457" s="519"/>
      <c r="BD457" s="519"/>
      <c r="BE457" s="519"/>
      <c r="BF457" s="912"/>
      <c r="BG457" s="519"/>
      <c r="BH457" s="519"/>
    </row>
    <row r="458" spans="1:60" s="201" customFormat="1" hidden="1">
      <c r="A458" s="112"/>
      <c r="B458" s="203"/>
      <c r="C458" s="132"/>
      <c r="D458" s="132" t="s">
        <v>356</v>
      </c>
      <c r="E458" s="115"/>
      <c r="F458" s="133"/>
      <c r="G458" s="199"/>
      <c r="H458" s="199"/>
      <c r="I458" s="333"/>
      <c r="J458" s="1506"/>
      <c r="K458" s="912"/>
      <c r="L458" s="519"/>
      <c r="M458" s="519"/>
      <c r="N458" s="519"/>
      <c r="O458" s="519"/>
      <c r="P458" s="519"/>
      <c r="Q458" s="519"/>
      <c r="R458" s="519"/>
      <c r="S458" s="519"/>
      <c r="T458" s="519"/>
      <c r="U458" s="519"/>
      <c r="V458" s="519"/>
      <c r="W458" s="519"/>
      <c r="X458" s="519"/>
      <c r="Y458" s="519"/>
      <c r="Z458" s="519"/>
      <c r="AA458" s="519"/>
      <c r="AB458" s="519"/>
      <c r="AC458" s="519"/>
      <c r="AD458" s="519"/>
      <c r="AE458" s="519"/>
      <c r="AF458" s="519"/>
      <c r="AG458" s="519"/>
      <c r="AH458" s="519"/>
      <c r="AI458" s="519"/>
      <c r="AJ458" s="519"/>
      <c r="AK458" s="519"/>
      <c r="AL458" s="519"/>
      <c r="AM458" s="519"/>
      <c r="AN458" s="519"/>
      <c r="AO458" s="519"/>
      <c r="AP458" s="519"/>
      <c r="AQ458" s="519"/>
      <c r="AR458" s="519"/>
      <c r="AS458" s="519"/>
      <c r="AT458" s="519"/>
      <c r="AU458" s="519"/>
      <c r="AV458" s="519"/>
      <c r="AW458" s="519"/>
      <c r="AX458" s="519"/>
      <c r="AY458" s="519"/>
      <c r="AZ458" s="519"/>
      <c r="BA458" s="519"/>
      <c r="BB458" s="519"/>
      <c r="BC458" s="519"/>
      <c r="BD458" s="519"/>
      <c r="BE458" s="519"/>
      <c r="BF458" s="912"/>
      <c r="BG458" s="519"/>
      <c r="BH458" s="519"/>
    </row>
    <row r="459" spans="1:60" s="201" customFormat="1" hidden="1">
      <c r="A459" s="112"/>
      <c r="B459" s="203"/>
      <c r="C459" s="204"/>
      <c r="D459" s="204"/>
      <c r="E459" s="115">
        <v>7900</v>
      </c>
      <c r="F459" s="196" t="s">
        <v>357</v>
      </c>
      <c r="G459" s="384"/>
      <c r="H459" s="384"/>
      <c r="I459" s="403">
        <v>0</v>
      </c>
      <c r="J459" s="1506"/>
      <c r="K459" s="912"/>
      <c r="L459" s="519"/>
      <c r="M459" s="519"/>
      <c r="N459" s="519"/>
      <c r="O459" s="519"/>
      <c r="P459" s="519"/>
      <c r="Q459" s="519"/>
      <c r="R459" s="519"/>
      <c r="S459" s="519"/>
      <c r="T459" s="519"/>
      <c r="U459" s="519"/>
      <c r="V459" s="519"/>
      <c r="W459" s="519"/>
      <c r="X459" s="519"/>
      <c r="Y459" s="519"/>
      <c r="Z459" s="519"/>
      <c r="AA459" s="519"/>
      <c r="AB459" s="519"/>
      <c r="AC459" s="519"/>
      <c r="AD459" s="519"/>
      <c r="AE459" s="519"/>
      <c r="AF459" s="519"/>
      <c r="AG459" s="519"/>
      <c r="AH459" s="519"/>
      <c r="AI459" s="519"/>
      <c r="AJ459" s="519"/>
      <c r="AK459" s="519"/>
      <c r="AL459" s="519"/>
      <c r="AM459" s="519"/>
      <c r="AN459" s="519"/>
      <c r="AO459" s="519"/>
      <c r="AP459" s="519"/>
      <c r="AQ459" s="519"/>
      <c r="AR459" s="519"/>
      <c r="AS459" s="519"/>
      <c r="AT459" s="519"/>
      <c r="AU459" s="519"/>
      <c r="AV459" s="519"/>
      <c r="AW459" s="519"/>
      <c r="AX459" s="519"/>
      <c r="AY459" s="519"/>
      <c r="AZ459" s="519"/>
      <c r="BA459" s="519"/>
      <c r="BB459" s="519"/>
      <c r="BC459" s="519"/>
      <c r="BD459" s="519"/>
      <c r="BE459" s="519"/>
      <c r="BF459" s="912"/>
      <c r="BG459" s="519"/>
      <c r="BH459" s="519"/>
    </row>
    <row r="460" spans="1:60" s="201" customFormat="1" hidden="1">
      <c r="A460" s="112"/>
      <c r="B460" s="203"/>
      <c r="C460" s="204"/>
      <c r="D460" s="204"/>
      <c r="E460" s="115">
        <v>7900</v>
      </c>
      <c r="F460" s="196" t="s">
        <v>1077</v>
      </c>
      <c r="G460" s="384" t="s">
        <v>1081</v>
      </c>
      <c r="H460" s="384" t="s">
        <v>1079</v>
      </c>
      <c r="I460" s="403">
        <v>875</v>
      </c>
      <c r="J460" s="1506"/>
      <c r="K460" s="912"/>
      <c r="L460" s="519"/>
      <c r="M460" s="519"/>
      <c r="N460" s="519"/>
      <c r="O460" s="519"/>
      <c r="P460" s="519"/>
      <c r="Q460" s="519"/>
      <c r="R460" s="519"/>
      <c r="S460" s="519"/>
      <c r="T460" s="519"/>
      <c r="U460" s="519"/>
      <c r="V460" s="519"/>
      <c r="W460" s="519"/>
      <c r="X460" s="519"/>
      <c r="Y460" s="519"/>
      <c r="Z460" s="519"/>
      <c r="AA460" s="519"/>
      <c r="AB460" s="519"/>
      <c r="AC460" s="519"/>
      <c r="AD460" s="519"/>
      <c r="AE460" s="519"/>
      <c r="AF460" s="519"/>
      <c r="AG460" s="519"/>
      <c r="AH460" s="519"/>
      <c r="AI460" s="519"/>
      <c r="AJ460" s="519"/>
      <c r="AK460" s="519"/>
      <c r="AL460" s="519"/>
      <c r="AM460" s="519"/>
      <c r="AN460" s="519"/>
      <c r="AO460" s="519"/>
      <c r="AP460" s="519"/>
      <c r="AQ460" s="519"/>
      <c r="AR460" s="519"/>
      <c r="AS460" s="519"/>
      <c r="AT460" s="519"/>
      <c r="AU460" s="519"/>
      <c r="AV460" s="519"/>
      <c r="AW460" s="519"/>
      <c r="AX460" s="519"/>
      <c r="AY460" s="519"/>
      <c r="AZ460" s="519"/>
      <c r="BA460" s="519"/>
      <c r="BB460" s="519"/>
      <c r="BC460" s="519"/>
      <c r="BD460" s="519"/>
      <c r="BE460" s="519"/>
      <c r="BF460" s="912"/>
      <c r="BG460" s="519"/>
      <c r="BH460" s="519"/>
    </row>
    <row r="461" spans="1:60" s="201" customFormat="1" hidden="1">
      <c r="A461" s="112"/>
      <c r="B461" s="203"/>
      <c r="C461" s="204"/>
      <c r="D461" s="204"/>
      <c r="E461" s="115">
        <v>7900</v>
      </c>
      <c r="F461" s="196" t="s">
        <v>1078</v>
      </c>
      <c r="G461" s="384" t="s">
        <v>1082</v>
      </c>
      <c r="H461" s="384" t="s">
        <v>1080</v>
      </c>
      <c r="I461" s="403">
        <v>950</v>
      </c>
      <c r="J461" s="1506"/>
      <c r="K461" s="912"/>
      <c r="L461" s="519"/>
      <c r="M461" s="519"/>
      <c r="N461" s="519"/>
      <c r="O461" s="519"/>
      <c r="P461" s="519"/>
      <c r="Q461" s="519"/>
      <c r="R461" s="519"/>
      <c r="S461" s="519"/>
      <c r="T461" s="519"/>
      <c r="U461" s="519"/>
      <c r="V461" s="519"/>
      <c r="W461" s="519"/>
      <c r="X461" s="519"/>
      <c r="Y461" s="519"/>
      <c r="Z461" s="519"/>
      <c r="AA461" s="519"/>
      <c r="AB461" s="519"/>
      <c r="AC461" s="519"/>
      <c r="AD461" s="519"/>
      <c r="AE461" s="519"/>
      <c r="AF461" s="519"/>
      <c r="AG461" s="519"/>
      <c r="AH461" s="519"/>
      <c r="AI461" s="519"/>
      <c r="AJ461" s="519"/>
      <c r="AK461" s="519"/>
      <c r="AL461" s="519"/>
      <c r="AM461" s="519"/>
      <c r="AN461" s="519"/>
      <c r="AO461" s="519"/>
      <c r="AP461" s="519"/>
      <c r="AQ461" s="519"/>
      <c r="AR461" s="519"/>
      <c r="AS461" s="519"/>
      <c r="AT461" s="519"/>
      <c r="AU461" s="519"/>
      <c r="AV461" s="519"/>
      <c r="AW461" s="519"/>
      <c r="AX461" s="519"/>
      <c r="AY461" s="519"/>
      <c r="AZ461" s="519"/>
      <c r="BA461" s="519"/>
      <c r="BB461" s="519"/>
      <c r="BC461" s="519"/>
      <c r="BD461" s="519"/>
      <c r="BE461" s="519"/>
      <c r="BF461" s="912"/>
      <c r="BG461" s="519"/>
      <c r="BH461" s="519"/>
    </row>
    <row r="462" spans="1:60" s="201" customFormat="1" hidden="1">
      <c r="A462" s="112"/>
      <c r="B462" s="203"/>
      <c r="C462" s="204"/>
      <c r="D462" s="204"/>
      <c r="E462" s="115"/>
      <c r="F462" s="204"/>
      <c r="G462" s="199"/>
      <c r="H462" s="199"/>
      <c r="I462" s="405"/>
      <c r="J462" s="1506"/>
      <c r="K462" s="912"/>
      <c r="L462" s="519"/>
      <c r="M462" s="519"/>
      <c r="N462" s="519"/>
      <c r="O462" s="519"/>
      <c r="P462" s="519"/>
      <c r="Q462" s="519"/>
      <c r="R462" s="519"/>
      <c r="S462" s="519"/>
      <c r="T462" s="519"/>
      <c r="U462" s="519"/>
      <c r="V462" s="519"/>
      <c r="W462" s="519"/>
      <c r="X462" s="519"/>
      <c r="Y462" s="519"/>
      <c r="Z462" s="519"/>
      <c r="AA462" s="519"/>
      <c r="AB462" s="519"/>
      <c r="AC462" s="519"/>
      <c r="AD462" s="519"/>
      <c r="AE462" s="519"/>
      <c r="AF462" s="519"/>
      <c r="AG462" s="519"/>
      <c r="AH462" s="519"/>
      <c r="AI462" s="519"/>
      <c r="AJ462" s="519"/>
      <c r="AK462" s="519"/>
      <c r="AL462" s="519"/>
      <c r="AM462" s="519"/>
      <c r="AN462" s="519"/>
      <c r="AO462" s="519"/>
      <c r="AP462" s="519"/>
      <c r="AQ462" s="519"/>
      <c r="AR462" s="519"/>
      <c r="AS462" s="519"/>
      <c r="AT462" s="519"/>
      <c r="AU462" s="519"/>
      <c r="AV462" s="519"/>
      <c r="AW462" s="519"/>
      <c r="AX462" s="519"/>
      <c r="AY462" s="519"/>
      <c r="AZ462" s="519"/>
      <c r="BA462" s="519"/>
      <c r="BB462" s="519"/>
      <c r="BC462" s="519"/>
      <c r="BD462" s="519"/>
      <c r="BE462" s="519"/>
      <c r="BF462" s="912"/>
      <c r="BG462" s="519"/>
      <c r="BH462" s="519"/>
    </row>
    <row r="463" spans="1:60" s="201" customFormat="1" hidden="1">
      <c r="A463" s="112"/>
      <c r="B463" s="203"/>
      <c r="C463" s="204"/>
      <c r="D463" s="204"/>
      <c r="E463" s="115">
        <v>7900</v>
      </c>
      <c r="F463" s="196" t="s">
        <v>1085</v>
      </c>
      <c r="G463" s="384" t="s">
        <v>1084</v>
      </c>
      <c r="H463" s="384" t="s">
        <v>1083</v>
      </c>
      <c r="I463" s="403"/>
      <c r="J463" s="1506"/>
      <c r="K463" s="912"/>
      <c r="L463" s="519"/>
      <c r="M463" s="519"/>
      <c r="N463" s="519"/>
      <c r="O463" s="519"/>
      <c r="P463" s="519"/>
      <c r="Q463" s="519"/>
      <c r="R463" s="519"/>
      <c r="S463" s="519"/>
      <c r="T463" s="519"/>
      <c r="U463" s="519"/>
      <c r="V463" s="519"/>
      <c r="W463" s="519"/>
      <c r="X463" s="519"/>
      <c r="Y463" s="519"/>
      <c r="Z463" s="519"/>
      <c r="AA463" s="519"/>
      <c r="AB463" s="519"/>
      <c r="AC463" s="519"/>
      <c r="AD463" s="519"/>
      <c r="AE463" s="519"/>
      <c r="AF463" s="519"/>
      <c r="AG463" s="519"/>
      <c r="AH463" s="519"/>
      <c r="AI463" s="519"/>
      <c r="AJ463" s="519"/>
      <c r="AK463" s="519"/>
      <c r="AL463" s="519"/>
      <c r="AM463" s="519"/>
      <c r="AN463" s="519"/>
      <c r="AO463" s="519"/>
      <c r="AP463" s="519"/>
      <c r="AQ463" s="519"/>
      <c r="AR463" s="519"/>
      <c r="AS463" s="519"/>
      <c r="AT463" s="519"/>
      <c r="AU463" s="519"/>
      <c r="AV463" s="519"/>
      <c r="AW463" s="519"/>
      <c r="AX463" s="519"/>
      <c r="AY463" s="519"/>
      <c r="AZ463" s="519"/>
      <c r="BA463" s="519"/>
      <c r="BB463" s="519"/>
      <c r="BC463" s="519"/>
      <c r="BD463" s="519"/>
      <c r="BE463" s="519"/>
      <c r="BF463" s="912"/>
      <c r="BG463" s="519"/>
      <c r="BH463" s="519"/>
    </row>
    <row r="464" spans="1:60" s="201" customFormat="1" hidden="1">
      <c r="A464" s="112"/>
      <c r="B464" s="203"/>
      <c r="C464" s="204"/>
      <c r="D464" s="204"/>
      <c r="E464" s="115">
        <v>7900</v>
      </c>
      <c r="F464" s="196" t="s">
        <v>363</v>
      </c>
      <c r="G464" s="384"/>
      <c r="H464" s="384" t="s">
        <v>520</v>
      </c>
      <c r="I464" s="403"/>
      <c r="J464" s="1506"/>
      <c r="K464" s="912"/>
      <c r="L464" s="519"/>
      <c r="M464" s="519"/>
      <c r="N464" s="519"/>
      <c r="O464" s="519"/>
      <c r="P464" s="519"/>
      <c r="Q464" s="519"/>
      <c r="R464" s="519"/>
      <c r="S464" s="519"/>
      <c r="T464" s="519"/>
      <c r="U464" s="519"/>
      <c r="V464" s="519"/>
      <c r="W464" s="519"/>
      <c r="X464" s="519"/>
      <c r="Y464" s="519"/>
      <c r="Z464" s="519"/>
      <c r="AA464" s="519"/>
      <c r="AB464" s="519"/>
      <c r="AC464" s="519"/>
      <c r="AD464" s="519"/>
      <c r="AE464" s="519"/>
      <c r="AF464" s="519"/>
      <c r="AG464" s="519"/>
      <c r="AH464" s="519"/>
      <c r="AI464" s="519"/>
      <c r="AJ464" s="519"/>
      <c r="AK464" s="519"/>
      <c r="AL464" s="519"/>
      <c r="AM464" s="519"/>
      <c r="AN464" s="519"/>
      <c r="AO464" s="519"/>
      <c r="AP464" s="519"/>
      <c r="AQ464" s="519"/>
      <c r="AR464" s="519"/>
      <c r="AS464" s="519"/>
      <c r="AT464" s="519"/>
      <c r="AU464" s="519"/>
      <c r="AV464" s="519"/>
      <c r="AW464" s="519"/>
      <c r="AX464" s="519"/>
      <c r="AY464" s="519"/>
      <c r="AZ464" s="519"/>
      <c r="BA464" s="519"/>
      <c r="BB464" s="519"/>
      <c r="BC464" s="519"/>
      <c r="BD464" s="519"/>
      <c r="BE464" s="519"/>
      <c r="BF464" s="912"/>
      <c r="BG464" s="519"/>
      <c r="BH464" s="519"/>
    </row>
    <row r="465" spans="1:60" s="201" customFormat="1" hidden="1">
      <c r="A465" s="112"/>
      <c r="B465" s="203"/>
      <c r="C465" s="204"/>
      <c r="D465" s="204"/>
      <c r="E465" s="115">
        <v>7900</v>
      </c>
      <c r="F465" s="196" t="s">
        <v>362</v>
      </c>
      <c r="G465" s="384"/>
      <c r="H465" s="384" t="s">
        <v>521</v>
      </c>
      <c r="I465" s="403">
        <v>1000</v>
      </c>
      <c r="J465" s="1506"/>
      <c r="K465" s="912"/>
      <c r="L465" s="519"/>
      <c r="M465" s="519"/>
      <c r="N465" s="519"/>
      <c r="O465" s="519"/>
      <c r="P465" s="519"/>
      <c r="Q465" s="519"/>
      <c r="R465" s="519"/>
      <c r="S465" s="519"/>
      <c r="T465" s="519"/>
      <c r="U465" s="519"/>
      <c r="V465" s="519"/>
      <c r="W465" s="519"/>
      <c r="X465" s="519"/>
      <c r="Y465" s="519"/>
      <c r="Z465" s="519"/>
      <c r="AA465" s="519"/>
      <c r="AB465" s="519"/>
      <c r="AC465" s="519"/>
      <c r="AD465" s="519"/>
      <c r="AE465" s="519"/>
      <c r="AF465" s="519"/>
      <c r="AG465" s="519"/>
      <c r="AH465" s="519"/>
      <c r="AI465" s="519"/>
      <c r="AJ465" s="519"/>
      <c r="AK465" s="519"/>
      <c r="AL465" s="519"/>
      <c r="AM465" s="519"/>
      <c r="AN465" s="519"/>
      <c r="AO465" s="519"/>
      <c r="AP465" s="519"/>
      <c r="AQ465" s="519"/>
      <c r="AR465" s="519"/>
      <c r="AS465" s="519"/>
      <c r="AT465" s="519"/>
      <c r="AU465" s="519"/>
      <c r="AV465" s="519"/>
      <c r="AW465" s="519"/>
      <c r="AX465" s="519"/>
      <c r="AY465" s="519"/>
      <c r="AZ465" s="519"/>
      <c r="BA465" s="519"/>
      <c r="BB465" s="519"/>
      <c r="BC465" s="519"/>
      <c r="BD465" s="519"/>
      <c r="BE465" s="519"/>
      <c r="BF465" s="912"/>
      <c r="BG465" s="519"/>
      <c r="BH465" s="519"/>
    </row>
    <row r="466" spans="1:60" s="201" customFormat="1" hidden="1">
      <c r="A466" s="112"/>
      <c r="B466" s="203"/>
      <c r="C466" s="204"/>
      <c r="D466" s="204"/>
      <c r="E466" s="115"/>
      <c r="F466" s="380" t="s">
        <v>772</v>
      </c>
      <c r="G466" s="199"/>
      <c r="H466" s="199"/>
      <c r="I466" s="333"/>
      <c r="J466" s="1506"/>
      <c r="K466" s="912"/>
      <c r="L466" s="519"/>
      <c r="M466" s="519"/>
      <c r="N466" s="519"/>
      <c r="O466" s="519"/>
      <c r="P466" s="519"/>
      <c r="Q466" s="519"/>
      <c r="R466" s="519"/>
      <c r="S466" s="519"/>
      <c r="T466" s="519"/>
      <c r="U466" s="519"/>
      <c r="V466" s="519"/>
      <c r="W466" s="519"/>
      <c r="X466" s="519"/>
      <c r="Y466" s="519"/>
      <c r="Z466" s="519"/>
      <c r="AA466" s="519"/>
      <c r="AB466" s="519"/>
      <c r="AC466" s="519"/>
      <c r="AD466" s="519"/>
      <c r="AE466" s="519"/>
      <c r="AF466" s="519"/>
      <c r="AG466" s="519"/>
      <c r="AH466" s="519"/>
      <c r="AI466" s="519"/>
      <c r="AJ466" s="519"/>
      <c r="AK466" s="519"/>
      <c r="AL466" s="519"/>
      <c r="AM466" s="519"/>
      <c r="AN466" s="519"/>
      <c r="AO466" s="519"/>
      <c r="AP466" s="519"/>
      <c r="AQ466" s="519"/>
      <c r="AR466" s="519"/>
      <c r="AS466" s="519"/>
      <c r="AT466" s="519"/>
      <c r="AU466" s="519"/>
      <c r="AV466" s="519"/>
      <c r="AW466" s="519"/>
      <c r="AX466" s="519"/>
      <c r="AY466" s="519"/>
      <c r="AZ466" s="519"/>
      <c r="BA466" s="519"/>
      <c r="BB466" s="519"/>
      <c r="BC466" s="519"/>
      <c r="BD466" s="519"/>
      <c r="BE466" s="519"/>
      <c r="BF466" s="912"/>
      <c r="BG466" s="519"/>
      <c r="BH466" s="519"/>
    </row>
    <row r="467" spans="1:60" s="201" customFormat="1" hidden="1">
      <c r="A467" s="112"/>
      <c r="B467" s="203"/>
      <c r="C467" s="204"/>
      <c r="D467" s="204"/>
      <c r="E467" s="115"/>
      <c r="F467" s="204"/>
      <c r="G467" s="199"/>
      <c r="H467" s="199"/>
      <c r="I467" s="333"/>
      <c r="J467" s="1506"/>
      <c r="K467" s="912"/>
      <c r="L467" s="519"/>
      <c r="M467" s="519"/>
      <c r="N467" s="519"/>
      <c r="O467" s="519"/>
      <c r="P467" s="519"/>
      <c r="Q467" s="519"/>
      <c r="R467" s="519"/>
      <c r="S467" s="519"/>
      <c r="T467" s="519"/>
      <c r="U467" s="519"/>
      <c r="V467" s="519"/>
      <c r="W467" s="519"/>
      <c r="X467" s="519"/>
      <c r="Y467" s="519"/>
      <c r="Z467" s="519"/>
      <c r="AA467" s="519"/>
      <c r="AB467" s="519"/>
      <c r="AC467" s="519"/>
      <c r="AD467" s="519"/>
      <c r="AE467" s="519"/>
      <c r="AF467" s="519"/>
      <c r="AG467" s="519"/>
      <c r="AH467" s="519"/>
      <c r="AI467" s="519"/>
      <c r="AJ467" s="519"/>
      <c r="AK467" s="519"/>
      <c r="AL467" s="519"/>
      <c r="AM467" s="519"/>
      <c r="AN467" s="519"/>
      <c r="AO467" s="519"/>
      <c r="AP467" s="519"/>
      <c r="AQ467" s="519"/>
      <c r="AR467" s="519"/>
      <c r="AS467" s="519"/>
      <c r="AT467" s="519"/>
      <c r="AU467" s="519"/>
      <c r="AV467" s="519"/>
      <c r="AW467" s="519"/>
      <c r="AX467" s="519"/>
      <c r="AY467" s="519"/>
      <c r="AZ467" s="519"/>
      <c r="BA467" s="519"/>
      <c r="BB467" s="519"/>
      <c r="BC467" s="519"/>
      <c r="BD467" s="519"/>
      <c r="BE467" s="519"/>
      <c r="BF467" s="912"/>
      <c r="BG467" s="519"/>
      <c r="BH467" s="519"/>
    </row>
    <row r="468" spans="1:60" s="201" customFormat="1" hidden="1">
      <c r="A468" s="112"/>
      <c r="B468" s="203"/>
      <c r="C468" s="204"/>
      <c r="D468" s="204"/>
      <c r="E468" s="115"/>
      <c r="F468" s="115"/>
      <c r="G468" s="115"/>
      <c r="H468" s="115"/>
      <c r="I468" s="115"/>
      <c r="J468" s="1506"/>
      <c r="K468" s="912"/>
      <c r="L468" s="519"/>
      <c r="M468" s="519"/>
      <c r="N468" s="519"/>
      <c r="O468" s="519"/>
      <c r="P468" s="519"/>
      <c r="Q468" s="519"/>
      <c r="R468" s="519"/>
      <c r="S468" s="519"/>
      <c r="T468" s="519"/>
      <c r="U468" s="519"/>
      <c r="V468" s="519"/>
      <c r="W468" s="519"/>
      <c r="X468" s="519"/>
      <c r="Y468" s="519"/>
      <c r="Z468" s="519"/>
      <c r="AA468" s="519"/>
      <c r="AB468" s="519"/>
      <c r="AC468" s="519"/>
      <c r="AD468" s="519"/>
      <c r="AE468" s="519"/>
      <c r="AF468" s="519"/>
      <c r="AG468" s="519"/>
      <c r="AH468" s="519"/>
      <c r="AI468" s="519"/>
      <c r="AJ468" s="519"/>
      <c r="AK468" s="519"/>
      <c r="AL468" s="519"/>
      <c r="AM468" s="519"/>
      <c r="AN468" s="519"/>
      <c r="AO468" s="519"/>
      <c r="AP468" s="519"/>
      <c r="AQ468" s="519"/>
      <c r="AR468" s="519"/>
      <c r="AS468" s="519"/>
      <c r="AT468" s="519"/>
      <c r="AU468" s="519"/>
      <c r="AV468" s="519"/>
      <c r="AW468" s="519"/>
      <c r="AX468" s="519"/>
      <c r="AY468" s="519"/>
      <c r="AZ468" s="519"/>
      <c r="BA468" s="519"/>
      <c r="BB468" s="519"/>
      <c r="BC468" s="519"/>
      <c r="BD468" s="519"/>
      <c r="BE468" s="519"/>
      <c r="BF468" s="912"/>
      <c r="BG468" s="519"/>
      <c r="BH468" s="519"/>
    </row>
    <row r="469" spans="1:60" s="201" customFormat="1" hidden="1">
      <c r="A469" s="112"/>
      <c r="B469" s="203"/>
      <c r="C469" s="132"/>
      <c r="D469" s="132" t="s">
        <v>361</v>
      </c>
      <c r="E469" s="115"/>
      <c r="F469" s="196"/>
      <c r="G469" s="384"/>
      <c r="H469" s="384"/>
      <c r="I469" s="403"/>
      <c r="J469" s="1506"/>
      <c r="K469" s="912"/>
      <c r="L469" s="519"/>
      <c r="M469" s="519"/>
      <c r="N469" s="519"/>
      <c r="O469" s="519"/>
      <c r="P469" s="519"/>
      <c r="Q469" s="519"/>
      <c r="R469" s="519"/>
      <c r="S469" s="519"/>
      <c r="T469" s="519"/>
      <c r="U469" s="519"/>
      <c r="V469" s="519"/>
      <c r="W469" s="519"/>
      <c r="X469" s="519"/>
      <c r="Y469" s="519"/>
      <c r="Z469" s="519"/>
      <c r="AA469" s="519"/>
      <c r="AB469" s="519"/>
      <c r="AC469" s="519"/>
      <c r="AD469" s="519"/>
      <c r="AE469" s="519"/>
      <c r="AF469" s="519"/>
      <c r="AG469" s="519"/>
      <c r="AH469" s="519"/>
      <c r="AI469" s="519"/>
      <c r="AJ469" s="519"/>
      <c r="AK469" s="519"/>
      <c r="AL469" s="519"/>
      <c r="AM469" s="519"/>
      <c r="AN469" s="519"/>
      <c r="AO469" s="519"/>
      <c r="AP469" s="519"/>
      <c r="AQ469" s="519"/>
      <c r="AR469" s="519"/>
      <c r="AS469" s="519"/>
      <c r="AT469" s="519"/>
      <c r="AU469" s="519"/>
      <c r="AV469" s="519"/>
      <c r="AW469" s="519"/>
      <c r="AX469" s="519"/>
      <c r="AY469" s="519"/>
      <c r="AZ469" s="519"/>
      <c r="BA469" s="519"/>
      <c r="BB469" s="519"/>
      <c r="BC469" s="519"/>
      <c r="BD469" s="519"/>
      <c r="BE469" s="519"/>
      <c r="BF469" s="912"/>
      <c r="BG469" s="519"/>
      <c r="BH469" s="519"/>
    </row>
    <row r="470" spans="1:60" s="201" customFormat="1" hidden="1">
      <c r="A470" s="112"/>
      <c r="B470" s="203"/>
      <c r="C470" s="204"/>
      <c r="D470" s="204"/>
      <c r="E470" s="115">
        <v>7900</v>
      </c>
      <c r="F470" s="196" t="s">
        <v>393</v>
      </c>
      <c r="G470" s="384" t="s">
        <v>1076</v>
      </c>
      <c r="H470" s="384" t="s">
        <v>1072</v>
      </c>
      <c r="I470" s="403">
        <v>0</v>
      </c>
      <c r="J470" s="1506"/>
      <c r="K470" s="912"/>
      <c r="L470" s="519"/>
      <c r="M470" s="519"/>
      <c r="N470" s="519"/>
      <c r="O470" s="519"/>
      <c r="P470" s="519"/>
      <c r="Q470" s="519"/>
      <c r="R470" s="519"/>
      <c r="S470" s="519"/>
      <c r="T470" s="519"/>
      <c r="U470" s="519"/>
      <c r="V470" s="519"/>
      <c r="W470" s="519"/>
      <c r="X470" s="519"/>
      <c r="Y470" s="519"/>
      <c r="Z470" s="519"/>
      <c r="AA470" s="519"/>
      <c r="AB470" s="519"/>
      <c r="AC470" s="519"/>
      <c r="AD470" s="519"/>
      <c r="AE470" s="519"/>
      <c r="AF470" s="519"/>
      <c r="AG470" s="519"/>
      <c r="AH470" s="519"/>
      <c r="AI470" s="519"/>
      <c r="AJ470" s="519"/>
      <c r="AK470" s="519"/>
      <c r="AL470" s="519"/>
      <c r="AM470" s="519"/>
      <c r="AN470" s="519"/>
      <c r="AO470" s="519"/>
      <c r="AP470" s="519"/>
      <c r="AQ470" s="519"/>
      <c r="AR470" s="519"/>
      <c r="AS470" s="519"/>
      <c r="AT470" s="519"/>
      <c r="AU470" s="519"/>
      <c r="AV470" s="519"/>
      <c r="AW470" s="519"/>
      <c r="AX470" s="519"/>
      <c r="AY470" s="519"/>
      <c r="AZ470" s="519"/>
      <c r="BA470" s="519"/>
      <c r="BB470" s="519"/>
      <c r="BC470" s="519"/>
      <c r="BD470" s="519"/>
      <c r="BE470" s="519"/>
      <c r="BF470" s="912"/>
      <c r="BG470" s="519"/>
      <c r="BH470" s="519"/>
    </row>
    <row r="471" spans="1:60" s="201" customFormat="1" hidden="1">
      <c r="A471" s="112"/>
      <c r="B471" s="203"/>
      <c r="C471" s="204"/>
      <c r="D471" s="204"/>
      <c r="E471" s="115"/>
      <c r="F471" s="196"/>
      <c r="G471" s="384"/>
      <c r="H471" s="384"/>
      <c r="I471" s="403"/>
      <c r="J471" s="1506"/>
      <c r="K471" s="912"/>
      <c r="L471" s="519"/>
      <c r="M471" s="519"/>
      <c r="N471" s="519"/>
      <c r="O471" s="519"/>
      <c r="P471" s="519"/>
      <c r="Q471" s="519"/>
      <c r="R471" s="519"/>
      <c r="S471" s="519"/>
      <c r="T471" s="519"/>
      <c r="U471" s="519"/>
      <c r="V471" s="519"/>
      <c r="W471" s="519"/>
      <c r="X471" s="519"/>
      <c r="Y471" s="519"/>
      <c r="Z471" s="519"/>
      <c r="AA471" s="519"/>
      <c r="AB471" s="519"/>
      <c r="AC471" s="519"/>
      <c r="AD471" s="519"/>
      <c r="AE471" s="519"/>
      <c r="AF471" s="519"/>
      <c r="AG471" s="519"/>
      <c r="AH471" s="519"/>
      <c r="AI471" s="519"/>
      <c r="AJ471" s="519"/>
      <c r="AK471" s="519"/>
      <c r="AL471" s="519"/>
      <c r="AM471" s="519"/>
      <c r="AN471" s="519"/>
      <c r="AO471" s="519"/>
      <c r="AP471" s="519"/>
      <c r="AQ471" s="519"/>
      <c r="AR471" s="519"/>
      <c r="AS471" s="519"/>
      <c r="AT471" s="519"/>
      <c r="AU471" s="519"/>
      <c r="AV471" s="519"/>
      <c r="AW471" s="519"/>
      <c r="AX471" s="519"/>
      <c r="AY471" s="519"/>
      <c r="AZ471" s="519"/>
      <c r="BA471" s="519"/>
      <c r="BB471" s="519"/>
      <c r="BC471" s="519"/>
      <c r="BD471" s="519"/>
      <c r="BE471" s="519"/>
      <c r="BF471" s="912"/>
      <c r="BG471" s="519"/>
      <c r="BH471" s="519"/>
    </row>
    <row r="472" spans="1:60" s="201" customFormat="1" hidden="1">
      <c r="A472" s="112"/>
      <c r="B472" s="203"/>
      <c r="C472" s="204"/>
      <c r="D472" s="204"/>
      <c r="E472" s="115"/>
      <c r="F472" s="133"/>
      <c r="G472" s="199"/>
      <c r="H472" s="199"/>
      <c r="I472" s="333"/>
      <c r="J472" s="1506"/>
      <c r="K472" s="912"/>
      <c r="L472" s="519"/>
      <c r="M472" s="519"/>
      <c r="N472" s="519"/>
      <c r="O472" s="519"/>
      <c r="P472" s="519"/>
      <c r="Q472" s="519"/>
      <c r="R472" s="519"/>
      <c r="S472" s="519"/>
      <c r="T472" s="519"/>
      <c r="U472" s="519"/>
      <c r="V472" s="519"/>
      <c r="W472" s="519"/>
      <c r="X472" s="519"/>
      <c r="Y472" s="519"/>
      <c r="Z472" s="519"/>
      <c r="AA472" s="519"/>
      <c r="AB472" s="519"/>
      <c r="AC472" s="519"/>
      <c r="AD472" s="519"/>
      <c r="AE472" s="519"/>
      <c r="AF472" s="519"/>
      <c r="AG472" s="519"/>
      <c r="AH472" s="519"/>
      <c r="AI472" s="519"/>
      <c r="AJ472" s="519"/>
      <c r="AK472" s="519"/>
      <c r="AL472" s="519"/>
      <c r="AM472" s="519"/>
      <c r="AN472" s="519"/>
      <c r="AO472" s="519"/>
      <c r="AP472" s="519"/>
      <c r="AQ472" s="519"/>
      <c r="AR472" s="519"/>
      <c r="AS472" s="519"/>
      <c r="AT472" s="519"/>
      <c r="AU472" s="519"/>
      <c r="AV472" s="519"/>
      <c r="AW472" s="519"/>
      <c r="AX472" s="519"/>
      <c r="AY472" s="519"/>
      <c r="AZ472" s="519"/>
      <c r="BA472" s="519"/>
      <c r="BB472" s="519"/>
      <c r="BC472" s="519"/>
      <c r="BD472" s="519"/>
      <c r="BE472" s="519"/>
      <c r="BF472" s="912"/>
      <c r="BG472" s="519"/>
      <c r="BH472" s="519"/>
    </row>
    <row r="473" spans="1:60" s="201" customFormat="1" ht="12" hidden="1" customHeight="1">
      <c r="A473" s="112"/>
      <c r="B473" s="203"/>
      <c r="C473" s="133"/>
      <c r="D473" s="133"/>
      <c r="E473" s="115"/>
      <c r="F473" s="133"/>
      <c r="G473" s="199"/>
      <c r="H473" s="199"/>
      <c r="I473" s="333"/>
      <c r="J473" s="1506"/>
      <c r="K473" s="912"/>
      <c r="L473" s="519"/>
      <c r="M473" s="519"/>
      <c r="N473" s="519"/>
      <c r="O473" s="519"/>
      <c r="P473" s="519"/>
      <c r="Q473" s="519"/>
      <c r="R473" s="519"/>
      <c r="S473" s="519"/>
      <c r="T473" s="519"/>
      <c r="U473" s="519"/>
      <c r="V473" s="519"/>
      <c r="W473" s="519"/>
      <c r="X473" s="519"/>
      <c r="Y473" s="519"/>
      <c r="Z473" s="519"/>
      <c r="AA473" s="519"/>
      <c r="AB473" s="519"/>
      <c r="AC473" s="519"/>
      <c r="AD473" s="519"/>
      <c r="AE473" s="519"/>
      <c r="AF473" s="519"/>
      <c r="AG473" s="519"/>
      <c r="AH473" s="519"/>
      <c r="AI473" s="519"/>
      <c r="AJ473" s="519"/>
      <c r="AK473" s="519"/>
      <c r="AL473" s="519"/>
      <c r="AM473" s="519"/>
      <c r="AN473" s="519"/>
      <c r="AO473" s="519"/>
      <c r="AP473" s="519"/>
      <c r="AQ473" s="519"/>
      <c r="AR473" s="519"/>
      <c r="AS473" s="519"/>
      <c r="AT473" s="519"/>
      <c r="AU473" s="519"/>
      <c r="AV473" s="519"/>
      <c r="AW473" s="519"/>
      <c r="AX473" s="519"/>
      <c r="AY473" s="519"/>
      <c r="AZ473" s="519"/>
      <c r="BA473" s="519"/>
      <c r="BB473" s="519"/>
      <c r="BC473" s="519"/>
      <c r="BD473" s="519"/>
      <c r="BE473" s="519"/>
      <c r="BF473" s="912"/>
      <c r="BG473" s="519"/>
      <c r="BH473" s="519"/>
    </row>
    <row r="474" spans="1:60" s="201" customFormat="1" hidden="1">
      <c r="A474" s="112"/>
      <c r="B474" s="203"/>
      <c r="C474" s="132"/>
      <c r="D474" s="132" t="s">
        <v>109</v>
      </c>
      <c r="E474" s="115"/>
      <c r="F474" s="133"/>
      <c r="G474" s="199"/>
      <c r="H474" s="199"/>
      <c r="I474" s="333"/>
      <c r="J474" s="1506"/>
      <c r="K474" s="912"/>
      <c r="L474" s="519"/>
      <c r="M474" s="519"/>
      <c r="N474" s="519"/>
      <c r="O474" s="519"/>
      <c r="P474" s="519"/>
      <c r="Q474" s="519"/>
      <c r="R474" s="519"/>
      <c r="S474" s="519"/>
      <c r="T474" s="519"/>
      <c r="U474" s="519"/>
      <c r="V474" s="519"/>
      <c r="W474" s="519"/>
      <c r="X474" s="519"/>
      <c r="Y474" s="519"/>
      <c r="Z474" s="519"/>
      <c r="AA474" s="519"/>
      <c r="AB474" s="519"/>
      <c r="AC474" s="519"/>
      <c r="AD474" s="519"/>
      <c r="AE474" s="519"/>
      <c r="AF474" s="519"/>
      <c r="AG474" s="519"/>
      <c r="AH474" s="519"/>
      <c r="AI474" s="519"/>
      <c r="AJ474" s="519"/>
      <c r="AK474" s="519"/>
      <c r="AL474" s="519"/>
      <c r="AM474" s="519"/>
      <c r="AN474" s="519"/>
      <c r="AO474" s="519"/>
      <c r="AP474" s="519"/>
      <c r="AQ474" s="519"/>
      <c r="AR474" s="519"/>
      <c r="AS474" s="519"/>
      <c r="AT474" s="519"/>
      <c r="AU474" s="519"/>
      <c r="AV474" s="519"/>
      <c r="AW474" s="519"/>
      <c r="AX474" s="519" t="s">
        <v>1045</v>
      </c>
      <c r="AY474" s="519" t="s">
        <v>1046</v>
      </c>
      <c r="AZ474" s="519" t="s">
        <v>1047</v>
      </c>
      <c r="BA474" s="519"/>
      <c r="BB474" s="519"/>
      <c r="BC474" s="519"/>
      <c r="BD474" s="519"/>
      <c r="BE474" s="519"/>
      <c r="BF474" s="912"/>
      <c r="BG474" s="519"/>
      <c r="BH474" s="519"/>
    </row>
    <row r="475" spans="1:60" s="201" customFormat="1" hidden="1">
      <c r="A475" s="112"/>
      <c r="B475" s="203"/>
      <c r="C475" s="133"/>
      <c r="D475" s="133"/>
      <c r="E475" s="115"/>
      <c r="F475" s="157" t="s">
        <v>368</v>
      </c>
      <c r="G475" s="383" t="s">
        <v>527</v>
      </c>
      <c r="H475" s="384" t="s">
        <v>528</v>
      </c>
      <c r="I475" s="403">
        <v>1034</v>
      </c>
      <c r="J475" s="1506"/>
      <c r="K475" s="912"/>
      <c r="L475" s="519"/>
      <c r="M475" s="519"/>
      <c r="N475" s="519"/>
      <c r="O475" s="519"/>
      <c r="P475" s="519"/>
      <c r="Q475" s="519"/>
      <c r="R475" s="519"/>
      <c r="S475" s="519"/>
      <c r="T475" s="519"/>
      <c r="U475" s="519"/>
      <c r="V475" s="519"/>
      <c r="W475" s="519"/>
      <c r="X475" s="519"/>
      <c r="Y475" s="519"/>
      <c r="Z475" s="519"/>
      <c r="AA475" s="519"/>
      <c r="AB475" s="519"/>
      <c r="AC475" s="519"/>
      <c r="AD475" s="519"/>
      <c r="AE475" s="519"/>
      <c r="AF475" s="519"/>
      <c r="AG475" s="519"/>
      <c r="AH475" s="519"/>
      <c r="AI475" s="519"/>
      <c r="AJ475" s="519"/>
      <c r="AK475" s="519"/>
      <c r="AL475" s="519"/>
      <c r="AM475" s="519"/>
      <c r="AN475" s="519"/>
      <c r="AO475" s="519"/>
      <c r="AP475" s="519"/>
      <c r="AQ475" s="519"/>
      <c r="AR475" s="519"/>
      <c r="AS475" s="519"/>
      <c r="AT475" s="519"/>
      <c r="AU475" s="519"/>
      <c r="AV475" s="519"/>
      <c r="AW475" s="519"/>
      <c r="AX475" s="519">
        <v>900</v>
      </c>
      <c r="AY475" s="920">
        <v>0.05</v>
      </c>
      <c r="AZ475" s="925">
        <f>AX475*(1+AY475)</f>
        <v>945</v>
      </c>
      <c r="BA475" s="519"/>
      <c r="BB475" s="519"/>
      <c r="BC475" s="519"/>
      <c r="BD475" s="519"/>
      <c r="BE475" s="519"/>
      <c r="BF475" s="912"/>
      <c r="BG475" s="519"/>
      <c r="BH475" s="519"/>
    </row>
    <row r="476" spans="1:60" s="201" customFormat="1" hidden="1">
      <c r="A476" s="112"/>
      <c r="B476" s="203"/>
      <c r="C476" s="133"/>
      <c r="D476" s="133"/>
      <c r="E476" s="115"/>
      <c r="F476" s="196" t="s">
        <v>371</v>
      </c>
      <c r="G476" s="383" t="s">
        <v>677</v>
      </c>
      <c r="H476" s="384" t="s">
        <v>558</v>
      </c>
      <c r="I476" s="403">
        <v>206</v>
      </c>
      <c r="J476" s="1506"/>
      <c r="K476" s="912"/>
      <c r="L476" s="519"/>
      <c r="M476" s="519"/>
      <c r="N476" s="519"/>
      <c r="O476" s="519"/>
      <c r="P476" s="519"/>
      <c r="Q476" s="519"/>
      <c r="R476" s="519"/>
      <c r="S476" s="519"/>
      <c r="T476" s="519"/>
      <c r="U476" s="519"/>
      <c r="V476" s="519"/>
      <c r="W476" s="519"/>
      <c r="X476" s="519"/>
      <c r="Y476" s="519"/>
      <c r="Z476" s="519"/>
      <c r="AA476" s="519"/>
      <c r="AB476" s="519"/>
      <c r="AC476" s="519"/>
      <c r="AD476" s="519"/>
      <c r="AE476" s="519"/>
      <c r="AF476" s="519"/>
      <c r="AG476" s="519"/>
      <c r="AH476" s="519"/>
      <c r="AI476" s="519"/>
      <c r="AJ476" s="519"/>
      <c r="AK476" s="519"/>
      <c r="AL476" s="519"/>
      <c r="AM476" s="519"/>
      <c r="AN476" s="519"/>
      <c r="AO476" s="519"/>
      <c r="AP476" s="519"/>
      <c r="AQ476" s="519"/>
      <c r="AR476" s="519"/>
      <c r="AS476" s="519"/>
      <c r="AT476" s="519"/>
      <c r="AU476" s="519"/>
      <c r="AV476" s="519"/>
      <c r="AW476" s="519"/>
      <c r="AX476" s="519">
        <v>138</v>
      </c>
      <c r="AY476" s="920">
        <v>0.05</v>
      </c>
      <c r="AZ476" s="925">
        <f t="shared" ref="AZ476:AZ490" si="121">AX476*(1+AY476)</f>
        <v>144.9</v>
      </c>
      <c r="BA476" s="519"/>
      <c r="BB476" s="519"/>
      <c r="BC476" s="519"/>
      <c r="BD476" s="519"/>
      <c r="BE476" s="519"/>
      <c r="BF476" s="912"/>
      <c r="BG476" s="519"/>
      <c r="BH476" s="519"/>
    </row>
    <row r="477" spans="1:60" s="201" customFormat="1" hidden="1">
      <c r="A477" s="112"/>
      <c r="B477" s="203"/>
      <c r="C477" s="133"/>
      <c r="D477" s="133"/>
      <c r="E477" s="115"/>
      <c r="F477" s="196" t="s">
        <v>1408</v>
      </c>
      <c r="G477" s="383">
        <v>13020168</v>
      </c>
      <c r="H477" s="384" t="s">
        <v>1409</v>
      </c>
      <c r="I477" s="403">
        <v>72</v>
      </c>
      <c r="J477" s="1506"/>
      <c r="K477" s="912"/>
      <c r="L477" s="519"/>
      <c r="M477" s="519"/>
      <c r="N477" s="519"/>
      <c r="O477" s="519"/>
      <c r="P477" s="519"/>
      <c r="Q477" s="519"/>
      <c r="R477" s="519"/>
      <c r="S477" s="519"/>
      <c r="T477" s="519"/>
      <c r="U477" s="519"/>
      <c r="V477" s="519"/>
      <c r="W477" s="519"/>
      <c r="X477" s="519"/>
      <c r="Y477" s="519"/>
      <c r="Z477" s="519"/>
      <c r="AA477" s="519"/>
      <c r="AB477" s="519"/>
      <c r="AC477" s="519"/>
      <c r="AD477" s="519"/>
      <c r="AE477" s="519"/>
      <c r="AF477" s="519"/>
      <c r="AG477" s="519"/>
      <c r="AH477" s="519"/>
      <c r="AI477" s="519"/>
      <c r="AJ477" s="519"/>
      <c r="AK477" s="519"/>
      <c r="AL477" s="519"/>
      <c r="AM477" s="519"/>
      <c r="AN477" s="519"/>
      <c r="AO477" s="519"/>
      <c r="AP477" s="519"/>
      <c r="AQ477" s="519"/>
      <c r="AR477" s="519"/>
      <c r="AS477" s="519"/>
      <c r="AT477" s="519"/>
      <c r="AU477" s="519"/>
      <c r="AV477" s="519"/>
      <c r="AW477" s="519"/>
      <c r="AX477" s="519"/>
      <c r="AY477" s="920"/>
      <c r="AZ477" s="925"/>
      <c r="BA477" s="519"/>
      <c r="BB477" s="519"/>
      <c r="BC477" s="519"/>
      <c r="BD477" s="519"/>
      <c r="BE477" s="519"/>
      <c r="BF477" s="912"/>
      <c r="BG477" s="519"/>
      <c r="BH477" s="519"/>
    </row>
    <row r="478" spans="1:60" s="201" customFormat="1" ht="22.5" hidden="1">
      <c r="A478" s="112"/>
      <c r="B478" s="203"/>
      <c r="C478" s="133"/>
      <c r="D478" s="133"/>
      <c r="E478" s="115"/>
      <c r="F478" s="196" t="s">
        <v>372</v>
      </c>
      <c r="G478" s="385" t="s">
        <v>640</v>
      </c>
      <c r="H478" s="1302" t="s">
        <v>1410</v>
      </c>
      <c r="I478" s="1318">
        <v>518</v>
      </c>
      <c r="J478" s="1506"/>
      <c r="K478" s="912"/>
      <c r="L478" s="519"/>
      <c r="M478" s="519"/>
      <c r="N478" s="519"/>
      <c r="O478" s="519"/>
      <c r="P478" s="519"/>
      <c r="Q478" s="519"/>
      <c r="R478" s="519"/>
      <c r="S478" s="519"/>
      <c r="T478" s="519"/>
      <c r="U478" s="519"/>
      <c r="V478" s="519"/>
      <c r="W478" s="519"/>
      <c r="X478" s="519"/>
      <c r="Y478" s="519"/>
      <c r="Z478" s="519"/>
      <c r="AA478" s="519"/>
      <c r="AB478" s="519"/>
      <c r="AC478" s="519"/>
      <c r="AD478" s="519"/>
      <c r="AE478" s="519"/>
      <c r="AF478" s="519"/>
      <c r="AG478" s="519"/>
      <c r="AH478" s="519"/>
      <c r="AI478" s="519"/>
      <c r="AJ478" s="519"/>
      <c r="AK478" s="519"/>
      <c r="AL478" s="519"/>
      <c r="AM478" s="519"/>
      <c r="AN478" s="519"/>
      <c r="AO478" s="519"/>
      <c r="AP478" s="519"/>
      <c r="AQ478" s="519"/>
      <c r="AR478" s="519"/>
      <c r="AS478" s="519"/>
      <c r="AT478" s="519"/>
      <c r="AU478" s="519"/>
      <c r="AV478" s="519"/>
      <c r="AW478" s="519"/>
      <c r="AX478" s="519">
        <v>434</v>
      </c>
      <c r="AY478" s="920">
        <v>0.05</v>
      </c>
      <c r="AZ478" s="925">
        <f t="shared" si="121"/>
        <v>455.70000000000005</v>
      </c>
      <c r="BA478" s="519"/>
      <c r="BB478" s="519"/>
      <c r="BC478" s="519"/>
      <c r="BD478" s="519"/>
      <c r="BE478" s="519"/>
      <c r="BF478" s="912"/>
      <c r="BG478" s="519"/>
      <c r="BH478" s="519"/>
    </row>
    <row r="479" spans="1:60" s="201" customFormat="1" hidden="1">
      <c r="A479" s="112"/>
      <c r="B479" s="203"/>
      <c r="C479" s="133"/>
      <c r="D479" s="133"/>
      <c r="E479" s="115"/>
      <c r="F479" s="196" t="s">
        <v>374</v>
      </c>
      <c r="G479" s="384" t="s">
        <v>548</v>
      </c>
      <c r="H479" s="384" t="s">
        <v>547</v>
      </c>
      <c r="I479" s="403">
        <v>362</v>
      </c>
      <c r="J479" s="1506"/>
      <c r="K479" s="912"/>
      <c r="L479" s="519"/>
      <c r="M479" s="519"/>
      <c r="N479" s="519"/>
      <c r="O479" s="519"/>
      <c r="P479" s="519"/>
      <c r="Q479" s="519"/>
      <c r="R479" s="519"/>
      <c r="S479" s="519"/>
      <c r="T479" s="519"/>
      <c r="U479" s="519"/>
      <c r="V479" s="519"/>
      <c r="W479" s="519"/>
      <c r="X479" s="519"/>
      <c r="Y479" s="519"/>
      <c r="Z479" s="519"/>
      <c r="AA479" s="519"/>
      <c r="AB479" s="519"/>
      <c r="AC479" s="519"/>
      <c r="AD479" s="519"/>
      <c r="AE479" s="519"/>
      <c r="AF479" s="519"/>
      <c r="AG479" s="519"/>
      <c r="AH479" s="519"/>
      <c r="AI479" s="519"/>
      <c r="AJ479" s="519"/>
      <c r="AK479" s="519"/>
      <c r="AL479" s="519"/>
      <c r="AM479" s="519"/>
      <c r="AN479" s="519"/>
      <c r="AO479" s="519"/>
      <c r="AP479" s="519"/>
      <c r="AQ479" s="519"/>
      <c r="AR479" s="519"/>
      <c r="AS479" s="519"/>
      <c r="AT479" s="519"/>
      <c r="AU479" s="519"/>
      <c r="AV479" s="519"/>
      <c r="AW479" s="519"/>
      <c r="AX479" s="519">
        <v>257</v>
      </c>
      <c r="AY479" s="920">
        <v>0.05</v>
      </c>
      <c r="AZ479" s="925">
        <f t="shared" si="121"/>
        <v>269.85000000000002</v>
      </c>
      <c r="BA479" s="519"/>
      <c r="BB479" s="519"/>
      <c r="BC479" s="519"/>
      <c r="BD479" s="519"/>
      <c r="BE479" s="519"/>
      <c r="BF479" s="912"/>
      <c r="BG479" s="519"/>
      <c r="BH479" s="519"/>
    </row>
    <row r="480" spans="1:60" s="201" customFormat="1" hidden="1">
      <c r="A480" s="112"/>
      <c r="B480" s="203"/>
      <c r="C480" s="133"/>
      <c r="D480" s="133"/>
      <c r="E480" s="115"/>
      <c r="F480" s="196" t="s">
        <v>1280</v>
      </c>
      <c r="G480" s="384" t="s">
        <v>1351</v>
      </c>
      <c r="H480" s="384" t="s">
        <v>1350</v>
      </c>
      <c r="I480" s="403">
        <v>673</v>
      </c>
      <c r="J480" s="1506"/>
      <c r="K480" s="912"/>
      <c r="L480" s="519"/>
      <c r="M480" s="519"/>
      <c r="N480" s="519"/>
      <c r="O480" s="519"/>
      <c r="P480" s="519"/>
      <c r="Q480" s="519"/>
      <c r="R480" s="519"/>
      <c r="S480" s="519"/>
      <c r="T480" s="519"/>
      <c r="U480" s="519"/>
      <c r="V480" s="519"/>
      <c r="W480" s="519"/>
      <c r="X480" s="519"/>
      <c r="Y480" s="519"/>
      <c r="Z480" s="519"/>
      <c r="AA480" s="519"/>
      <c r="AB480" s="519"/>
      <c r="AC480" s="519"/>
      <c r="AD480" s="519"/>
      <c r="AE480" s="519"/>
      <c r="AF480" s="519"/>
      <c r="AG480" s="519"/>
      <c r="AH480" s="519"/>
      <c r="AI480" s="519"/>
      <c r="AJ480" s="519"/>
      <c r="AK480" s="519"/>
      <c r="AL480" s="519"/>
      <c r="AM480" s="519"/>
      <c r="AN480" s="519"/>
      <c r="AO480" s="519"/>
      <c r="AP480" s="519"/>
      <c r="AQ480" s="519"/>
      <c r="AR480" s="519"/>
      <c r="AS480" s="519"/>
      <c r="AT480" s="519"/>
      <c r="AU480" s="519"/>
      <c r="AV480" s="519"/>
      <c r="AW480" s="519"/>
      <c r="AX480" s="519">
        <v>149</v>
      </c>
      <c r="AY480" s="920">
        <v>0.05</v>
      </c>
      <c r="AZ480" s="925">
        <f t="shared" si="121"/>
        <v>156.45000000000002</v>
      </c>
      <c r="BA480" s="519"/>
      <c r="BB480" s="519"/>
      <c r="BC480" s="519"/>
      <c r="BD480" s="519"/>
      <c r="BE480" s="519"/>
      <c r="BF480" s="912"/>
      <c r="BG480" s="519"/>
      <c r="BH480" s="519"/>
    </row>
    <row r="481" spans="1:61" s="201" customFormat="1" hidden="1">
      <c r="A481" s="112"/>
      <c r="B481" s="203"/>
      <c r="C481" s="133"/>
      <c r="D481" s="133"/>
      <c r="E481" s="115"/>
      <c r="F481" s="196" t="s">
        <v>1195</v>
      </c>
      <c r="G481" s="384" t="s">
        <v>1353</v>
      </c>
      <c r="H481" s="384" t="s">
        <v>1352</v>
      </c>
      <c r="I481" s="403">
        <v>114</v>
      </c>
      <c r="J481" s="1506"/>
      <c r="K481" s="912"/>
      <c r="L481" s="519"/>
      <c r="M481" s="519"/>
      <c r="N481" s="519"/>
      <c r="O481" s="519"/>
      <c r="P481" s="519"/>
      <c r="Q481" s="519"/>
      <c r="R481" s="519"/>
      <c r="S481" s="519"/>
      <c r="T481" s="519"/>
      <c r="U481" s="519"/>
      <c r="V481" s="519"/>
      <c r="W481" s="519"/>
      <c r="X481" s="519"/>
      <c r="Y481" s="519"/>
      <c r="Z481" s="519"/>
      <c r="AA481" s="519"/>
      <c r="AB481" s="519"/>
      <c r="AC481" s="519"/>
      <c r="AD481" s="519"/>
      <c r="AE481" s="519"/>
      <c r="AF481" s="519"/>
      <c r="AG481" s="519"/>
      <c r="AH481" s="519"/>
      <c r="AI481" s="519"/>
      <c r="AJ481" s="519"/>
      <c r="AK481" s="519"/>
      <c r="AL481" s="519"/>
      <c r="AM481" s="519"/>
      <c r="AN481" s="519"/>
      <c r="AO481" s="519"/>
      <c r="AP481" s="519"/>
      <c r="AQ481" s="519"/>
      <c r="AR481" s="519"/>
      <c r="AS481" s="519"/>
      <c r="AT481" s="519"/>
      <c r="AU481" s="519"/>
      <c r="AV481" s="519"/>
      <c r="AW481" s="519"/>
      <c r="AX481" s="519">
        <v>149</v>
      </c>
      <c r="AY481" s="920">
        <v>0.05</v>
      </c>
      <c r="AZ481" s="925">
        <f t="shared" si="121"/>
        <v>156.45000000000002</v>
      </c>
      <c r="BA481" s="519"/>
      <c r="BB481" s="519"/>
      <c r="BC481" s="519"/>
      <c r="BD481" s="519"/>
      <c r="BE481" s="519"/>
      <c r="BF481" s="912"/>
      <c r="BG481" s="519"/>
      <c r="BH481" s="519"/>
    </row>
    <row r="482" spans="1:61" s="201" customFormat="1" hidden="1">
      <c r="A482" s="112"/>
      <c r="B482" s="203"/>
      <c r="C482" s="133"/>
      <c r="D482" s="133"/>
      <c r="E482" s="115"/>
      <c r="F482" s="196" t="s">
        <v>1360</v>
      </c>
      <c r="G482" s="384">
        <v>13080094</v>
      </c>
      <c r="H482" s="384" t="s">
        <v>1359</v>
      </c>
      <c r="I482" s="403">
        <v>466</v>
      </c>
      <c r="J482" s="1506"/>
      <c r="K482" s="912"/>
      <c r="L482" s="519"/>
      <c r="M482" s="519"/>
      <c r="N482" s="519"/>
      <c r="O482" s="519"/>
      <c r="P482" s="519"/>
      <c r="Q482" s="519"/>
      <c r="R482" s="519"/>
      <c r="S482" s="519"/>
      <c r="T482" s="519"/>
      <c r="U482" s="519"/>
      <c r="V482" s="519"/>
      <c r="W482" s="519"/>
      <c r="X482" s="519"/>
      <c r="Y482" s="519"/>
      <c r="Z482" s="519"/>
      <c r="AA482" s="519"/>
      <c r="AB482" s="519"/>
      <c r="AC482" s="519"/>
      <c r="AD482" s="519"/>
      <c r="AE482" s="519"/>
      <c r="AF482" s="519"/>
      <c r="AG482" s="519"/>
      <c r="AH482" s="519"/>
      <c r="AI482" s="519"/>
      <c r="AJ482" s="519"/>
      <c r="AK482" s="519"/>
      <c r="AL482" s="519"/>
      <c r="AM482" s="519"/>
      <c r="AN482" s="519"/>
      <c r="AO482" s="519"/>
      <c r="AP482" s="519"/>
      <c r="AQ482" s="519"/>
      <c r="AR482" s="519"/>
      <c r="AS482" s="519"/>
      <c r="AT482" s="519"/>
      <c r="AU482" s="519"/>
      <c r="AV482" s="519"/>
      <c r="AW482" s="519"/>
      <c r="AX482" s="519"/>
      <c r="AY482" s="920"/>
      <c r="AZ482" s="925"/>
      <c r="BA482" s="519"/>
      <c r="BB482" s="519"/>
      <c r="BC482" s="519"/>
      <c r="BD482" s="519"/>
      <c r="BE482" s="519"/>
      <c r="BF482" s="912"/>
      <c r="BG482" s="519"/>
      <c r="BH482" s="519"/>
    </row>
    <row r="483" spans="1:61" s="201" customFormat="1" hidden="1">
      <c r="A483" s="112"/>
      <c r="B483" s="203"/>
      <c r="C483" s="133"/>
      <c r="D483" s="133"/>
      <c r="E483" s="115"/>
      <c r="F483" s="196" t="s">
        <v>1361</v>
      </c>
      <c r="G483" s="384"/>
      <c r="H483" s="384"/>
      <c r="I483" s="403"/>
      <c r="J483" s="1506"/>
      <c r="K483" s="912"/>
      <c r="L483" s="519"/>
      <c r="M483" s="519"/>
      <c r="N483" s="519"/>
      <c r="O483" s="519"/>
      <c r="P483" s="519"/>
      <c r="Q483" s="519"/>
      <c r="R483" s="519"/>
      <c r="S483" s="519"/>
      <c r="T483" s="519"/>
      <c r="U483" s="519"/>
      <c r="V483" s="519"/>
      <c r="W483" s="519"/>
      <c r="X483" s="519"/>
      <c r="Y483" s="519"/>
      <c r="Z483" s="519"/>
      <c r="AA483" s="519"/>
      <c r="AB483" s="519"/>
      <c r="AC483" s="519"/>
      <c r="AD483" s="519"/>
      <c r="AE483" s="519"/>
      <c r="AF483" s="519"/>
      <c r="AG483" s="519"/>
      <c r="AH483" s="519"/>
      <c r="AI483" s="519"/>
      <c r="AJ483" s="519"/>
      <c r="AK483" s="519"/>
      <c r="AL483" s="519"/>
      <c r="AM483" s="519"/>
      <c r="AN483" s="519"/>
      <c r="AO483" s="519"/>
      <c r="AP483" s="519"/>
      <c r="AQ483" s="519"/>
      <c r="AR483" s="519"/>
      <c r="AS483" s="519"/>
      <c r="AT483" s="519"/>
      <c r="AU483" s="519"/>
      <c r="AV483" s="519"/>
      <c r="AW483" s="519"/>
      <c r="AX483" s="519"/>
      <c r="AY483" s="920"/>
      <c r="AZ483" s="925"/>
      <c r="BA483" s="519"/>
      <c r="BB483" s="519"/>
      <c r="BC483" s="519"/>
      <c r="BD483" s="519"/>
      <c r="BE483" s="519"/>
      <c r="BF483" s="912"/>
      <c r="BG483" s="519"/>
      <c r="BH483" s="519"/>
    </row>
    <row r="484" spans="1:61" s="201" customFormat="1" hidden="1">
      <c r="A484" s="112"/>
      <c r="B484" s="203"/>
      <c r="C484" s="133"/>
      <c r="D484" s="133"/>
      <c r="E484" s="115"/>
      <c r="F484" s="196" t="s">
        <v>1357</v>
      </c>
      <c r="G484" s="384" t="s">
        <v>1358</v>
      </c>
      <c r="H484" s="384" t="s">
        <v>1356</v>
      </c>
      <c r="I484" s="403">
        <v>693</v>
      </c>
      <c r="J484" s="1506"/>
      <c r="K484" s="912"/>
      <c r="L484" s="519"/>
      <c r="M484" s="519"/>
      <c r="N484" s="519"/>
      <c r="O484" s="519"/>
      <c r="P484" s="519"/>
      <c r="Q484" s="519"/>
      <c r="R484" s="519"/>
      <c r="S484" s="519"/>
      <c r="T484" s="519"/>
      <c r="U484" s="519"/>
      <c r="V484" s="519"/>
      <c r="W484" s="519"/>
      <c r="X484" s="519"/>
      <c r="Y484" s="519"/>
      <c r="Z484" s="519"/>
      <c r="AA484" s="519"/>
      <c r="AB484" s="519"/>
      <c r="AC484" s="519"/>
      <c r="AD484" s="519"/>
      <c r="AE484" s="519"/>
      <c r="AF484" s="519"/>
      <c r="AG484" s="519"/>
      <c r="AH484" s="519"/>
      <c r="AI484" s="519"/>
      <c r="AJ484" s="519"/>
      <c r="AK484" s="519"/>
      <c r="AL484" s="519"/>
      <c r="AM484" s="519"/>
      <c r="AN484" s="519"/>
      <c r="AO484" s="519"/>
      <c r="AP484" s="519"/>
      <c r="AQ484" s="519"/>
      <c r="AR484" s="519"/>
      <c r="AS484" s="519"/>
      <c r="AT484" s="519"/>
      <c r="AU484" s="519"/>
      <c r="AV484" s="519"/>
      <c r="AW484" s="519"/>
      <c r="AX484" s="519"/>
      <c r="AY484" s="920"/>
      <c r="AZ484" s="925"/>
      <c r="BA484" s="519"/>
      <c r="BB484" s="519"/>
      <c r="BC484" s="519"/>
      <c r="BD484" s="519"/>
      <c r="BE484" s="519"/>
      <c r="BF484" s="912"/>
      <c r="BG484" s="519"/>
      <c r="BH484" s="519"/>
    </row>
    <row r="485" spans="1:61" s="201" customFormat="1" hidden="1">
      <c r="A485" s="112"/>
      <c r="B485" s="203"/>
      <c r="C485" s="133"/>
      <c r="D485" s="133"/>
      <c r="E485" s="115"/>
      <c r="F485" s="196" t="s">
        <v>397</v>
      </c>
      <c r="G485" s="384" t="s">
        <v>523</v>
      </c>
      <c r="H485" s="384" t="s">
        <v>1411</v>
      </c>
      <c r="I485" s="403">
        <v>362</v>
      </c>
      <c r="J485" s="1506"/>
      <c r="K485" s="912"/>
      <c r="L485" s="519"/>
      <c r="M485" s="519"/>
      <c r="N485" s="519"/>
      <c r="O485" s="519"/>
      <c r="P485" s="519"/>
      <c r="Q485" s="519"/>
      <c r="R485" s="519"/>
      <c r="S485" s="519"/>
      <c r="T485" s="519"/>
      <c r="U485" s="519"/>
      <c r="V485" s="519"/>
      <c r="W485" s="519"/>
      <c r="X485" s="519"/>
      <c r="Y485" s="519"/>
      <c r="Z485" s="519"/>
      <c r="AA485" s="519"/>
      <c r="AB485" s="519"/>
      <c r="AC485" s="519"/>
      <c r="AD485" s="519"/>
      <c r="AE485" s="519"/>
      <c r="AF485" s="519"/>
      <c r="AG485" s="519"/>
      <c r="AH485" s="519"/>
      <c r="AI485" s="519"/>
      <c r="AJ485" s="519"/>
      <c r="AK485" s="519"/>
      <c r="AL485" s="519"/>
      <c r="AM485" s="519"/>
      <c r="AN485" s="519"/>
      <c r="AO485" s="519"/>
      <c r="AP485" s="519"/>
      <c r="AQ485" s="519"/>
      <c r="AR485" s="519"/>
      <c r="AS485" s="519"/>
      <c r="AT485" s="519"/>
      <c r="AU485" s="519"/>
      <c r="AV485" s="519"/>
      <c r="AW485" s="519"/>
      <c r="AX485" s="519">
        <v>325.64999999999998</v>
      </c>
      <c r="AY485" s="920">
        <v>0.05</v>
      </c>
      <c r="AZ485" s="925">
        <f t="shared" si="121"/>
        <v>341.9325</v>
      </c>
      <c r="BA485" s="519"/>
      <c r="BB485" s="519"/>
      <c r="BC485" s="519"/>
      <c r="BD485" s="519"/>
      <c r="BE485" s="519"/>
      <c r="BF485" s="912"/>
      <c r="BG485" s="519"/>
      <c r="BH485" s="519"/>
    </row>
    <row r="486" spans="1:61" hidden="1">
      <c r="B486" s="203"/>
      <c r="C486" s="133"/>
      <c r="D486" s="133"/>
      <c r="E486" s="115"/>
      <c r="F486" s="196" t="s">
        <v>398</v>
      </c>
      <c r="G486" s="386" t="s">
        <v>524</v>
      </c>
      <c r="H486" s="384" t="s">
        <v>526</v>
      </c>
      <c r="I486" s="403">
        <v>1035</v>
      </c>
      <c r="J486" s="1506"/>
      <c r="AX486" s="519">
        <v>952.83</v>
      </c>
      <c r="AY486" s="920">
        <v>0.05</v>
      </c>
      <c r="AZ486" s="925">
        <f t="shared" si="121"/>
        <v>1000.4715000000001</v>
      </c>
    </row>
    <row r="487" spans="1:61" s="519" customFormat="1" hidden="1">
      <c r="A487" s="112"/>
      <c r="B487" s="203"/>
      <c r="C487" s="133"/>
      <c r="D487" s="133"/>
      <c r="E487" s="115"/>
      <c r="F487" s="196" t="s">
        <v>373</v>
      </c>
      <c r="G487" s="384" t="s">
        <v>580</v>
      </c>
      <c r="H487" s="384" t="s">
        <v>581</v>
      </c>
      <c r="I487" s="403">
        <v>21</v>
      </c>
      <c r="J487" s="1506"/>
      <c r="K487" s="912"/>
      <c r="AX487" s="519">
        <v>12</v>
      </c>
      <c r="AY487" s="920">
        <v>0.05</v>
      </c>
      <c r="AZ487" s="925">
        <f t="shared" si="121"/>
        <v>12.600000000000001</v>
      </c>
      <c r="BF487" s="912"/>
      <c r="BI487" s="201"/>
    </row>
    <row r="488" spans="1:61" s="519" customFormat="1" hidden="1">
      <c r="A488" s="112"/>
      <c r="B488" s="203"/>
      <c r="C488" s="133"/>
      <c r="D488" s="133"/>
      <c r="E488" s="115"/>
      <c r="F488" s="196" t="s">
        <v>1422</v>
      </c>
      <c r="G488" s="384" t="s">
        <v>582</v>
      </c>
      <c r="H488" s="384" t="s">
        <v>1421</v>
      </c>
      <c r="I488" s="403">
        <v>887</v>
      </c>
      <c r="J488" s="1506"/>
      <c r="K488" s="912"/>
      <c r="AF488" s="519" t="s">
        <v>656</v>
      </c>
      <c r="AG488" s="519" t="s">
        <v>403</v>
      </c>
      <c r="AL488" s="519" t="s">
        <v>656</v>
      </c>
      <c r="AM488" s="519" t="s">
        <v>403</v>
      </c>
      <c r="AX488" s="519">
        <v>626</v>
      </c>
      <c r="AY488" s="920">
        <v>0.05</v>
      </c>
      <c r="AZ488" s="925">
        <f t="shared" si="121"/>
        <v>657.30000000000007</v>
      </c>
      <c r="BF488" s="912"/>
      <c r="BI488" s="201"/>
    </row>
    <row r="489" spans="1:61" s="519" customFormat="1" hidden="1">
      <c r="A489" s="112"/>
      <c r="B489" s="203"/>
      <c r="C489" s="133"/>
      <c r="D489" s="133"/>
      <c r="E489" s="115"/>
      <c r="F489" s="196" t="s">
        <v>1423</v>
      </c>
      <c r="G489" s="384" t="s">
        <v>1425</v>
      </c>
      <c r="H489" s="384" t="s">
        <v>1424</v>
      </c>
      <c r="I489" s="403">
        <v>1242</v>
      </c>
      <c r="J489" s="1506"/>
      <c r="K489" s="912"/>
      <c r="AY489" s="920"/>
      <c r="AZ489" s="925"/>
      <c r="BF489" s="912"/>
      <c r="BI489" s="201"/>
    </row>
    <row r="490" spans="1:61" s="519" customFormat="1" hidden="1">
      <c r="A490" s="112"/>
      <c r="B490" s="203"/>
      <c r="C490" s="133"/>
      <c r="D490" s="133"/>
      <c r="E490" s="115"/>
      <c r="F490" s="196" t="s">
        <v>369</v>
      </c>
      <c r="G490" s="383" t="s">
        <v>545</v>
      </c>
      <c r="H490" s="384" t="s">
        <v>546</v>
      </c>
      <c r="I490" s="403">
        <v>108</v>
      </c>
      <c r="J490" s="1506"/>
      <c r="K490" s="912"/>
      <c r="AC490" s="1498">
        <v>1</v>
      </c>
      <c r="AD490" s="519" t="str">
        <f>$L$19</f>
        <v>8910 IP55 MIDI 2M (High Speed) </v>
      </c>
      <c r="AE490" s="519" t="str">
        <f>AC490&amp;AD490</f>
        <v>18910 IP55 MIDI 2M (High Speed) </v>
      </c>
      <c r="AF490" s="519" t="str">
        <f>IFERROR(VLOOKUP(AE490,SSSS!$E$6:$F$285,2,FALSE),"")</f>
        <v/>
      </c>
      <c r="AG490" s="519" t="str">
        <f>IFERROR(VLOOKUP(AF490,$F$534:$O$551,10,FALSE),"")</f>
        <v/>
      </c>
      <c r="AI490" s="1498">
        <v>1</v>
      </c>
      <c r="AJ490" s="519" t="str">
        <f>$L$27</f>
        <v>Ultima Mk7 2M</v>
      </c>
      <c r="AK490" s="519" t="str">
        <f>AI490&amp;AJ490</f>
        <v>1Ultima Mk7 2M</v>
      </c>
      <c r="AL490" s="519" t="str">
        <f>IFERROR(VLOOKUP(AK490,SSSS!$E$6:$F$285,2,FALSE),"")</f>
        <v>Ink 1010 Black 10 X 500Ml</v>
      </c>
      <c r="AM490" s="519" t="str">
        <f>IFERROR(VLOOKUP(AL490,$F$534:$O$551,10,FALSE),"")</f>
        <v>Startup Kit - 1010 Ink &amp; 0.3 Solvent</v>
      </c>
      <c r="AX490" s="519">
        <v>83</v>
      </c>
      <c r="AY490" s="920">
        <v>0.05</v>
      </c>
      <c r="AZ490" s="925">
        <f t="shared" si="121"/>
        <v>87.15</v>
      </c>
      <c r="BF490" s="912"/>
      <c r="BI490" s="201"/>
    </row>
    <row r="491" spans="1:61" s="519" customFormat="1" hidden="1">
      <c r="A491" s="112"/>
      <c r="B491" s="203"/>
      <c r="C491" s="133"/>
      <c r="D491" s="133"/>
      <c r="E491" s="115"/>
      <c r="F491" s="196" t="s">
        <v>1066</v>
      </c>
      <c r="G491" s="383" t="s">
        <v>1067</v>
      </c>
      <c r="H491" s="384" t="s">
        <v>1067</v>
      </c>
      <c r="I491" s="403">
        <v>951</v>
      </c>
      <c r="J491" s="1506"/>
      <c r="K491" s="912"/>
      <c r="AC491" s="1498">
        <f>AC490+1</f>
        <v>2</v>
      </c>
      <c r="AD491" s="519" t="str">
        <f t="shared" ref="AD491:AD514" si="122">$L$19</f>
        <v>8910 IP55 MIDI 2M (High Speed) </v>
      </c>
      <c r="AE491" s="519" t="str">
        <f t="shared" ref="AE491:AE514" si="123">AC491&amp;AD491</f>
        <v>28910 IP55 MIDI 2M (High Speed) </v>
      </c>
      <c r="AF491" s="519" t="str">
        <f>IFERROR(VLOOKUP(AE491,SSSS!$E$6:$F$285,2,FALSE),"")</f>
        <v/>
      </c>
      <c r="AG491" s="519" t="str">
        <f>IFERROR(VLOOKUP(AF491,$F$534:$O$551,10,FALSE),"")</f>
        <v/>
      </c>
      <c r="AI491" s="1498">
        <f>AI490+1</f>
        <v>2</v>
      </c>
      <c r="AJ491" s="519" t="str">
        <f t="shared" ref="AJ491:AJ514" si="124">$L$27</f>
        <v>Ultima Mk7 2M</v>
      </c>
      <c r="AK491" s="519" t="str">
        <f t="shared" ref="AK491:AK514" si="125">AI491&amp;AJ491</f>
        <v>2Ultima Mk7 2M</v>
      </c>
      <c r="AL491" s="519" t="str">
        <f>IFERROR(VLOOKUP(AK491,SSSS!$E$6:$F$285,2,FALSE),"")</f>
        <v>Ink 1014 Blk Easypack 2X500Ml</v>
      </c>
      <c r="AM491" s="519" t="str">
        <f>IFERROR(VLOOKUP(AL491,$F$534:$O$551,10,FALSE),"")</f>
        <v>Startup Kit - 1014 Ink &amp; 1.5 Solvent</v>
      </c>
      <c r="AY491" s="1498"/>
      <c r="AZ491" s="925"/>
      <c r="BF491" s="912"/>
      <c r="BI491" s="201"/>
    </row>
    <row r="492" spans="1:61" s="519" customFormat="1" hidden="1">
      <c r="A492" s="112"/>
      <c r="B492" s="203"/>
      <c r="C492" s="133"/>
      <c r="D492" s="133"/>
      <c r="E492" s="115"/>
      <c r="F492" s="196" t="s">
        <v>1349</v>
      </c>
      <c r="G492" s="384" t="s">
        <v>1362</v>
      </c>
      <c r="H492" s="384">
        <v>12041701</v>
      </c>
      <c r="I492" s="403">
        <v>160</v>
      </c>
      <c r="J492" s="1506"/>
      <c r="K492" s="912"/>
      <c r="AC492" s="1498">
        <f>AC491+1</f>
        <v>3</v>
      </c>
      <c r="AD492" s="519" t="str">
        <f t="shared" si="122"/>
        <v>8910 IP55 MIDI 2M (High Speed) </v>
      </c>
      <c r="AE492" s="519" t="str">
        <f t="shared" si="123"/>
        <v>38910 IP55 MIDI 2M (High Speed) </v>
      </c>
      <c r="AF492" s="519" t="str">
        <f>IFERROR(VLOOKUP(AE492,SSSS!$E$6:$F$285,2,FALSE),"")</f>
        <v/>
      </c>
      <c r="AG492" s="519" t="str">
        <f t="shared" ref="AG492:AG514" si="126">IFERROR(VLOOKUP(AF492,$F$534:$O$551,10,FALSE),"")</f>
        <v/>
      </c>
      <c r="AI492" s="1498">
        <f>AI491+1</f>
        <v>3</v>
      </c>
      <c r="AJ492" s="519" t="str">
        <f t="shared" si="124"/>
        <v>Ultima Mk7 2M</v>
      </c>
      <c r="AK492" s="519" t="str">
        <f t="shared" si="125"/>
        <v>3Ultima Mk7 2M</v>
      </c>
      <c r="AL492" s="519" t="str">
        <f>IFERROR(VLOOKUP(AK492,SSSS!$E$6:$F$285,2,FALSE),"")</f>
        <v>Ink 1016 Blk 10 X 500Ml</v>
      </c>
      <c r="AM492" s="519" t="str">
        <f t="shared" ref="AM492:AM514" si="127">IFERROR(VLOOKUP(AL492,$F$534:$O$551,10,FALSE),"")</f>
        <v>Startup Kit - 1016 Ink &amp; 0.3 Solvent</v>
      </c>
      <c r="AY492" s="1498"/>
      <c r="AZ492" s="925"/>
      <c r="BF492" s="912"/>
      <c r="BI492" s="201"/>
    </row>
    <row r="493" spans="1:61" s="519" customFormat="1" hidden="1">
      <c r="A493" s="112"/>
      <c r="B493" s="203"/>
      <c r="C493" s="133"/>
      <c r="D493" s="133"/>
      <c r="E493" s="115"/>
      <c r="F493" s="196" t="s">
        <v>773</v>
      </c>
      <c r="G493" s="383" t="s">
        <v>1084</v>
      </c>
      <c r="H493" s="384" t="s">
        <v>1083</v>
      </c>
      <c r="I493" s="403"/>
      <c r="J493" s="1506"/>
      <c r="K493" s="912"/>
      <c r="AC493" s="1498">
        <f t="shared" ref="AC493:AC514" si="128">AC492+1</f>
        <v>4</v>
      </c>
      <c r="AD493" s="519" t="str">
        <f t="shared" si="122"/>
        <v>8910 IP55 MIDI 2M (High Speed) </v>
      </c>
      <c r="AE493" s="519" t="str">
        <f t="shared" si="123"/>
        <v>48910 IP55 MIDI 2M (High Speed) </v>
      </c>
      <c r="AF493" s="519" t="str">
        <f>IFERROR(VLOOKUP(AE493,SSSS!$E$6:$F$285,2,FALSE),"")</f>
        <v/>
      </c>
      <c r="AG493" s="519" t="str">
        <f t="shared" si="126"/>
        <v/>
      </c>
      <c r="AI493" s="1498">
        <f t="shared" ref="AI493:AI514" si="129">AI492+1</f>
        <v>4</v>
      </c>
      <c r="AJ493" s="519" t="str">
        <f t="shared" si="124"/>
        <v>Ultima Mk7 2M</v>
      </c>
      <c r="AK493" s="519" t="str">
        <f t="shared" si="125"/>
        <v>4Ultima Mk7 2M</v>
      </c>
      <c r="AL493" s="519" t="str">
        <f>IFERROR(VLOOKUP(AK493,SSSS!$E$6:$F$285,2,FALSE),"")</f>
        <v>Ink 1056 Blk 10 X 500Ml</v>
      </c>
      <c r="AM493" s="519" t="str">
        <f t="shared" si="127"/>
        <v>Startup Kit - 1056 Ink &amp; 0.3 Solvent</v>
      </c>
      <c r="AY493" s="1498"/>
      <c r="AZ493" s="925"/>
      <c r="BF493" s="912"/>
      <c r="BI493" s="201"/>
    </row>
    <row r="494" spans="1:61" s="519" customFormat="1" hidden="1">
      <c r="A494" s="112"/>
      <c r="B494" s="203"/>
      <c r="C494" s="133"/>
      <c r="D494" s="133"/>
      <c r="E494" s="115"/>
      <c r="F494" s="196" t="s">
        <v>1073</v>
      </c>
      <c r="G494" s="383" t="s">
        <v>1091</v>
      </c>
      <c r="H494" s="384" t="s">
        <v>1089</v>
      </c>
      <c r="I494" s="403">
        <v>880</v>
      </c>
      <c r="J494" s="1506"/>
      <c r="K494" s="912"/>
      <c r="AC494" s="1498">
        <f t="shared" si="128"/>
        <v>5</v>
      </c>
      <c r="AD494" s="519" t="str">
        <f t="shared" si="122"/>
        <v>8910 IP55 MIDI 2M (High Speed) </v>
      </c>
      <c r="AE494" s="519" t="str">
        <f t="shared" si="123"/>
        <v>58910 IP55 MIDI 2M (High Speed) </v>
      </c>
      <c r="AF494" s="519" t="str">
        <f>IFERROR(VLOOKUP(AE494,SSSS!$E$6:$F$285,2,FALSE),"")</f>
        <v/>
      </c>
      <c r="AG494" s="519" t="str">
        <f t="shared" si="126"/>
        <v/>
      </c>
      <c r="AI494" s="1498">
        <f t="shared" si="129"/>
        <v>5</v>
      </c>
      <c r="AJ494" s="519" t="str">
        <f t="shared" si="124"/>
        <v>Ultima Mk7 2M</v>
      </c>
      <c r="AK494" s="519" t="str">
        <f t="shared" si="125"/>
        <v>5Ultima Mk7 2M</v>
      </c>
      <c r="AL494" s="519" t="str">
        <f>IFERROR(VLOOKUP(AK494,SSSS!$E$6:$F$285,2,FALSE),"")</f>
        <v>Ink 1240 Blk 10 X 500Ml</v>
      </c>
      <c r="AM494" s="519" t="str">
        <f t="shared" si="127"/>
        <v>Startup Kit - 1240 Ink &amp; 0.3 Solvent</v>
      </c>
      <c r="AY494" s="1498"/>
      <c r="AZ494" s="925"/>
      <c r="BF494" s="912"/>
      <c r="BI494" s="201"/>
    </row>
    <row r="495" spans="1:61" s="519" customFormat="1" hidden="1">
      <c r="A495" s="112"/>
      <c r="B495" s="203"/>
      <c r="C495" s="133"/>
      <c r="D495" s="133"/>
      <c r="E495" s="115"/>
      <c r="F495" s="196" t="s">
        <v>1074</v>
      </c>
      <c r="G495" s="386" t="s">
        <v>1092</v>
      </c>
      <c r="H495" s="387" t="s">
        <v>1090</v>
      </c>
      <c r="I495" s="419">
        <v>1400</v>
      </c>
      <c r="J495" s="1506"/>
      <c r="K495" s="912"/>
      <c r="AC495" s="1498">
        <f t="shared" si="128"/>
        <v>6</v>
      </c>
      <c r="AD495" s="519" t="str">
        <f t="shared" si="122"/>
        <v>8910 IP55 MIDI 2M (High Speed) </v>
      </c>
      <c r="AE495" s="519" t="str">
        <f t="shared" si="123"/>
        <v>68910 IP55 MIDI 2M (High Speed) </v>
      </c>
      <c r="AF495" s="519" t="str">
        <f>IFERROR(VLOOKUP(AE495,SSSS!$E$6:$F$285,2,FALSE),"")</f>
        <v/>
      </c>
      <c r="AG495" s="519" t="str">
        <f t="shared" si="126"/>
        <v/>
      </c>
      <c r="AI495" s="1498">
        <f t="shared" si="129"/>
        <v>6</v>
      </c>
      <c r="AJ495" s="519" t="str">
        <f t="shared" si="124"/>
        <v>Ultima Mk7 2M</v>
      </c>
      <c r="AK495" s="519" t="str">
        <f t="shared" si="125"/>
        <v>6Ultima Mk7 2M</v>
      </c>
      <c r="AL495" s="519" t="str">
        <f>IFERROR(VLOOKUP(AK495,SSSS!$E$6:$F$285,2,FALSE),"")</f>
        <v>Ink 1405 Blk 10 X 500Ml</v>
      </c>
      <c r="AM495" s="519" t="str">
        <f t="shared" si="127"/>
        <v>Startup Kit - 1405 Ink &amp; 0.3 Solvent</v>
      </c>
      <c r="AZ495" s="925"/>
      <c r="BF495" s="912"/>
      <c r="BI495" s="201"/>
    </row>
    <row r="496" spans="1:61" s="519" customFormat="1" hidden="1">
      <c r="A496" s="112"/>
      <c r="B496" s="203"/>
      <c r="C496" s="133"/>
      <c r="D496" s="133"/>
      <c r="E496" s="115"/>
      <c r="F496" s="204"/>
      <c r="G496" s="199"/>
      <c r="H496" s="199"/>
      <c r="I496" s="333"/>
      <c r="J496" s="1506"/>
      <c r="K496" s="912"/>
      <c r="AC496" s="1498">
        <f t="shared" si="128"/>
        <v>7</v>
      </c>
      <c r="AD496" s="519" t="str">
        <f t="shared" si="122"/>
        <v>8910 IP55 MIDI 2M (High Speed) </v>
      </c>
      <c r="AE496" s="519" t="str">
        <f t="shared" si="123"/>
        <v>78910 IP55 MIDI 2M (High Speed) </v>
      </c>
      <c r="AF496" s="519" t="str">
        <f>IFERROR(VLOOKUP(AE496,SSSS!$E$6:$F$285,2,FALSE),"")</f>
        <v/>
      </c>
      <c r="AG496" s="519" t="str">
        <f t="shared" si="126"/>
        <v/>
      </c>
      <c r="AI496" s="1498">
        <f t="shared" si="129"/>
        <v>7</v>
      </c>
      <c r="AJ496" s="519" t="str">
        <f t="shared" si="124"/>
        <v>Ultima Mk7 2M</v>
      </c>
      <c r="AK496" s="519" t="str">
        <f t="shared" si="125"/>
        <v>7Ultima Mk7 2M</v>
      </c>
      <c r="AL496" s="519" t="str">
        <f>IFERROR(VLOOKUP(AK496,SSSS!$E$6:$F$285,2,FALSE),"")</f>
        <v>Ink 2250 Blk 10 X 500Ml</v>
      </c>
      <c r="AM496" s="519" t="str">
        <f t="shared" si="127"/>
        <v>Startup Kit - 2250 Ink &amp; 0.3 Solvent</v>
      </c>
      <c r="AZ496" s="925"/>
      <c r="BF496" s="912"/>
      <c r="BI496" s="201"/>
    </row>
    <row r="497" spans="1:61" s="519" customFormat="1" hidden="1">
      <c r="A497" s="112"/>
      <c r="B497" s="203"/>
      <c r="C497" s="133"/>
      <c r="D497" s="133"/>
      <c r="E497" s="115"/>
      <c r="F497" s="109"/>
      <c r="G497" s="28"/>
      <c r="H497" s="109"/>
      <c r="I497" s="334"/>
      <c r="J497" s="1506"/>
      <c r="K497" s="912"/>
      <c r="AC497" s="1498">
        <f t="shared" si="128"/>
        <v>8</v>
      </c>
      <c r="AD497" s="519" t="str">
        <f t="shared" si="122"/>
        <v>8910 IP55 MIDI 2M (High Speed) </v>
      </c>
      <c r="AE497" s="519" t="str">
        <f t="shared" si="123"/>
        <v>88910 IP55 MIDI 2M (High Speed) </v>
      </c>
      <c r="AF497" s="519" t="str">
        <f>IFERROR(VLOOKUP(AE497,SSSS!$E$6:$F$285,2,FALSE),"")</f>
        <v/>
      </c>
      <c r="AG497" s="519" t="str">
        <f t="shared" si="126"/>
        <v/>
      </c>
      <c r="AI497" s="1498">
        <f t="shared" si="129"/>
        <v>8</v>
      </c>
      <c r="AJ497" s="519" t="str">
        <f t="shared" si="124"/>
        <v>Ultima Mk7 2M</v>
      </c>
      <c r="AK497" s="519" t="str">
        <f t="shared" si="125"/>
        <v>8Ultima Mk7 2M</v>
      </c>
      <c r="AL497" s="519" t="str">
        <f>IFERROR(VLOOKUP(AK497,SSSS!$E$6:$F$285,2,FALSE),"")</f>
        <v>Ink 3103 Black 10 X 500Ml</v>
      </c>
      <c r="AM497" s="519" t="str">
        <f t="shared" si="127"/>
        <v>Startup Kit - 3103 Ink &amp; 0.3 Solvent</v>
      </c>
      <c r="AZ497" s="925"/>
      <c r="BF497" s="912"/>
      <c r="BI497" s="201"/>
    </row>
    <row r="498" spans="1:61" s="519" customFormat="1" hidden="1">
      <c r="A498" s="112"/>
      <c r="B498" s="203"/>
      <c r="C498" s="132"/>
      <c r="D498" s="132" t="s">
        <v>40</v>
      </c>
      <c r="E498" s="115"/>
      <c r="F498" s="382"/>
      <c r="G498" s="28"/>
      <c r="H498" s="109"/>
      <c r="I498" s="335"/>
      <c r="J498" s="1506"/>
      <c r="K498" s="912"/>
      <c r="AC498" s="1498">
        <f t="shared" si="128"/>
        <v>9</v>
      </c>
      <c r="AD498" s="519" t="str">
        <f t="shared" si="122"/>
        <v>8910 IP55 MIDI 2M (High Speed) </v>
      </c>
      <c r="AE498" s="519" t="str">
        <f t="shared" si="123"/>
        <v>98910 IP55 MIDI 2M (High Speed) </v>
      </c>
      <c r="AF498" s="519" t="str">
        <f>IFERROR(VLOOKUP(AE498,SSSS!$E$6:$F$285,2,FALSE),"")</f>
        <v/>
      </c>
      <c r="AG498" s="519" t="str">
        <f t="shared" si="126"/>
        <v/>
      </c>
      <c r="AI498" s="1498">
        <f t="shared" si="129"/>
        <v>9</v>
      </c>
      <c r="AJ498" s="519" t="str">
        <f t="shared" si="124"/>
        <v>Ultima Mk7 2M</v>
      </c>
      <c r="AK498" s="519" t="str">
        <f t="shared" si="125"/>
        <v>9Ultima Mk7 2M</v>
      </c>
      <c r="AL498" s="519" t="str">
        <f>IFERROR(VLOOKUP(AK498,SSSS!$E$6:$F$285,2,FALSE),"")</f>
        <v>Ink 3123 Blu Easypack 2X500Ml</v>
      </c>
      <c r="AM498" s="519" t="str">
        <f t="shared" si="127"/>
        <v>Startup Kit - 3123 Ink &amp; 1.5 Solvent</v>
      </c>
      <c r="AZ498" s="925"/>
      <c r="BF498" s="912"/>
      <c r="BI498" s="201"/>
    </row>
    <row r="499" spans="1:61" s="519" customFormat="1" hidden="1">
      <c r="A499" s="112"/>
      <c r="B499" s="203"/>
      <c r="C499" s="133"/>
      <c r="D499" s="133"/>
      <c r="E499" s="115"/>
      <c r="F499" s="108"/>
      <c r="G499" s="206"/>
      <c r="H499" s="28"/>
      <c r="I499" s="334"/>
      <c r="J499" s="1506"/>
      <c r="K499" s="912"/>
      <c r="AC499" s="1498">
        <f t="shared" si="128"/>
        <v>10</v>
      </c>
      <c r="AD499" s="519" t="str">
        <f t="shared" si="122"/>
        <v>8910 IP55 MIDI 2M (High Speed) </v>
      </c>
      <c r="AE499" s="519" t="str">
        <f t="shared" si="123"/>
        <v>108910 IP55 MIDI 2M (High Speed) </v>
      </c>
      <c r="AF499" s="519" t="str">
        <f>IFERROR(VLOOKUP(AE499,SSSS!$E$6:$F$285,2,FALSE),"")</f>
        <v/>
      </c>
      <c r="AG499" s="519" t="str">
        <f t="shared" si="126"/>
        <v/>
      </c>
      <c r="AI499" s="1498">
        <f t="shared" si="129"/>
        <v>10</v>
      </c>
      <c r="AJ499" s="519" t="str">
        <f t="shared" si="124"/>
        <v>Ultima Mk7 2M</v>
      </c>
      <c r="AK499" s="519" t="str">
        <f t="shared" si="125"/>
        <v>10Ultima Mk7 2M</v>
      </c>
      <c r="AL499" s="519" t="str">
        <f>IFERROR(VLOOKUP(AK499,SSSS!$E$6:$F$285,2,FALSE),"")</f>
        <v/>
      </c>
      <c r="AM499" s="519" t="str">
        <f t="shared" si="127"/>
        <v/>
      </c>
      <c r="AZ499" s="925"/>
      <c r="BF499" s="912"/>
      <c r="BI499" s="201"/>
    </row>
    <row r="500" spans="1:61" s="519" customFormat="1" hidden="1">
      <c r="A500" s="112"/>
      <c r="B500" s="203"/>
      <c r="C500" s="133"/>
      <c r="D500" s="133"/>
      <c r="E500" s="115"/>
      <c r="F500" s="108"/>
      <c r="G500" s="206"/>
      <c r="H500" s="28"/>
      <c r="I500" s="334"/>
      <c r="J500" s="1506"/>
      <c r="K500" s="912"/>
      <c r="AC500" s="1498">
        <f t="shared" si="128"/>
        <v>11</v>
      </c>
      <c r="AD500" s="519" t="str">
        <f t="shared" si="122"/>
        <v>8910 IP55 MIDI 2M (High Speed) </v>
      </c>
      <c r="AE500" s="519" t="str">
        <f t="shared" si="123"/>
        <v>118910 IP55 MIDI 2M (High Speed) </v>
      </c>
      <c r="AF500" s="519" t="str">
        <f>IFERROR(VLOOKUP(AE500,SSSS!$E$6:$F$285,2,FALSE),"")</f>
        <v/>
      </c>
      <c r="AG500" s="519" t="str">
        <f t="shared" si="126"/>
        <v/>
      </c>
      <c r="AI500" s="1498">
        <f t="shared" si="129"/>
        <v>11</v>
      </c>
      <c r="AJ500" s="519" t="str">
        <f t="shared" si="124"/>
        <v>Ultima Mk7 2M</v>
      </c>
      <c r="AK500" s="519" t="str">
        <f t="shared" si="125"/>
        <v>11Ultima Mk7 2M</v>
      </c>
      <c r="AL500" s="519" t="str">
        <f>IFERROR(VLOOKUP(AK500,SSSS!$E$6:$F$285,2,FALSE),"")</f>
        <v/>
      </c>
      <c r="AM500" s="519" t="str">
        <f t="shared" si="127"/>
        <v/>
      </c>
      <c r="AZ500" s="925"/>
      <c r="BF500" s="912"/>
      <c r="BI500" s="201"/>
    </row>
    <row r="501" spans="1:61" s="519" customFormat="1" hidden="1">
      <c r="A501" s="112"/>
      <c r="B501" s="203"/>
      <c r="C501" s="133"/>
      <c r="D501" s="133"/>
      <c r="E501" s="115"/>
      <c r="F501" s="108"/>
      <c r="G501" s="206"/>
      <c r="H501" s="28"/>
      <c r="I501" s="334"/>
      <c r="J501" s="1506"/>
      <c r="K501" s="912"/>
      <c r="AC501" s="1498">
        <f t="shared" si="128"/>
        <v>12</v>
      </c>
      <c r="AD501" s="519" t="str">
        <f t="shared" si="122"/>
        <v>8910 IP55 MIDI 2M (High Speed) </v>
      </c>
      <c r="AE501" s="519" t="str">
        <f t="shared" si="123"/>
        <v>128910 IP55 MIDI 2M (High Speed) </v>
      </c>
      <c r="AF501" s="519" t="str">
        <f>IFERROR(VLOOKUP(AE501,SSSS!$E$6:$F$285,2,FALSE),"")</f>
        <v/>
      </c>
      <c r="AG501" s="519" t="str">
        <f t="shared" si="126"/>
        <v/>
      </c>
      <c r="AI501" s="1498">
        <f t="shared" si="129"/>
        <v>12</v>
      </c>
      <c r="AJ501" s="519" t="str">
        <f t="shared" si="124"/>
        <v>Ultima Mk7 2M</v>
      </c>
      <c r="AK501" s="519" t="str">
        <f t="shared" si="125"/>
        <v>12Ultima Mk7 2M</v>
      </c>
      <c r="AL501" s="519" t="str">
        <f>IFERROR(VLOOKUP(AK501,SSSS!$E$6:$F$285,2,FALSE),"")</f>
        <v/>
      </c>
      <c r="AM501" s="519" t="str">
        <f t="shared" si="127"/>
        <v/>
      </c>
      <c r="AZ501" s="925"/>
      <c r="BF501" s="912"/>
      <c r="BI501" s="201"/>
    </row>
    <row r="502" spans="1:61" s="519" customFormat="1" hidden="1">
      <c r="A502" s="112"/>
      <c r="B502" s="203"/>
      <c r="C502" s="468"/>
      <c r="D502" s="468" t="s">
        <v>403</v>
      </c>
      <c r="E502" s="115"/>
      <c r="F502" s="382" t="s">
        <v>561</v>
      </c>
      <c r="G502" s="206"/>
      <c r="H502" s="28"/>
      <c r="I502" s="334"/>
      <c r="J502" s="1506"/>
      <c r="K502" s="912"/>
      <c r="L502" s="1498"/>
      <c r="M502" s="519" t="s">
        <v>619</v>
      </c>
      <c r="P502" s="519" t="s">
        <v>618</v>
      </c>
      <c r="W502" s="519" t="s">
        <v>617</v>
      </c>
      <c r="X502" s="1498" t="s">
        <v>562</v>
      </c>
      <c r="AC502" s="1498">
        <f t="shared" si="128"/>
        <v>13</v>
      </c>
      <c r="AD502" s="519" t="str">
        <f t="shared" si="122"/>
        <v>8910 IP55 MIDI 2M (High Speed) </v>
      </c>
      <c r="AE502" s="519" t="str">
        <f t="shared" si="123"/>
        <v>138910 IP55 MIDI 2M (High Speed) </v>
      </c>
      <c r="AF502" s="519" t="str">
        <f>IFERROR(VLOOKUP(AE502,SSSS!$E$6:$F$285,2,FALSE),"")</f>
        <v/>
      </c>
      <c r="AG502" s="519" t="str">
        <f t="shared" si="126"/>
        <v/>
      </c>
      <c r="AI502" s="1498">
        <f t="shared" si="129"/>
        <v>13</v>
      </c>
      <c r="AJ502" s="519" t="str">
        <f t="shared" si="124"/>
        <v>Ultima Mk7 2M</v>
      </c>
      <c r="AK502" s="519" t="str">
        <f t="shared" si="125"/>
        <v>13Ultima Mk7 2M</v>
      </c>
      <c r="AL502" s="519" t="str">
        <f>IFERROR(VLOOKUP(AK502,SSSS!$E$6:$F$285,2,FALSE),"")</f>
        <v/>
      </c>
      <c r="AM502" s="519" t="str">
        <f t="shared" si="127"/>
        <v/>
      </c>
      <c r="AZ502" s="925"/>
      <c r="BF502" s="912"/>
      <c r="BI502" s="201"/>
    </row>
    <row r="503" spans="1:61" s="519" customFormat="1" hidden="1">
      <c r="A503" s="112"/>
      <c r="B503" s="203"/>
      <c r="C503" s="133"/>
      <c r="D503" s="133"/>
      <c r="E503" s="115"/>
      <c r="F503" s="157" t="s">
        <v>620</v>
      </c>
      <c r="G503" s="448" t="e">
        <f>VLOOKUP(F503,$O$534:$AA$551,12,FALSE)</f>
        <v>#N/A</v>
      </c>
      <c r="H503" s="376"/>
      <c r="I503" s="402">
        <v>424</v>
      </c>
      <c r="J503" s="1506"/>
      <c r="K503" s="912"/>
      <c r="L503" s="1498"/>
      <c r="M503" s="519" t="s">
        <v>404</v>
      </c>
      <c r="P503" s="519" t="s">
        <v>588</v>
      </c>
      <c r="W503" s="926">
        <v>1.5</v>
      </c>
      <c r="X503" s="1498">
        <v>1505</v>
      </c>
      <c r="AC503" s="1498">
        <f t="shared" si="128"/>
        <v>14</v>
      </c>
      <c r="AD503" s="519" t="str">
        <f t="shared" si="122"/>
        <v>8910 IP55 MIDI 2M (High Speed) </v>
      </c>
      <c r="AE503" s="519" t="str">
        <f t="shared" si="123"/>
        <v>148910 IP55 MIDI 2M (High Speed) </v>
      </c>
      <c r="AF503" s="519" t="str">
        <f>IFERROR(VLOOKUP(AE503,SSSS!$E$6:$F$285,2,FALSE),"")</f>
        <v/>
      </c>
      <c r="AG503" s="519" t="str">
        <f t="shared" si="126"/>
        <v/>
      </c>
      <c r="AI503" s="1498">
        <f t="shared" si="129"/>
        <v>14</v>
      </c>
      <c r="AJ503" s="519" t="str">
        <f t="shared" si="124"/>
        <v>Ultima Mk7 2M</v>
      </c>
      <c r="AK503" s="519" t="str">
        <f t="shared" si="125"/>
        <v>14Ultima Mk7 2M</v>
      </c>
      <c r="AL503" s="519" t="str">
        <f>IFERROR(VLOOKUP(AK503,SSSS!$E$6:$F$285,2,FALSE),"")</f>
        <v/>
      </c>
      <c r="AM503" s="519" t="str">
        <f t="shared" si="127"/>
        <v/>
      </c>
      <c r="AZ503" s="925"/>
      <c r="BF503" s="912"/>
      <c r="BI503" s="201"/>
    </row>
    <row r="504" spans="1:61" s="519" customFormat="1" hidden="1">
      <c r="A504" s="112"/>
      <c r="B504" s="203"/>
      <c r="C504" s="133"/>
      <c r="D504" s="133"/>
      <c r="E504" s="115"/>
      <c r="F504" s="157" t="s">
        <v>621</v>
      </c>
      <c r="G504" s="448" t="e">
        <f t="shared" ref="G504:G520" si="130">VLOOKUP(F504,$O$534:$AA$551,12,FALSE)</f>
        <v>#N/A</v>
      </c>
      <c r="H504" s="376"/>
      <c r="I504" s="402">
        <v>424</v>
      </c>
      <c r="J504" s="1506"/>
      <c r="K504" s="912"/>
      <c r="L504" s="1498"/>
      <c r="M504" s="519" t="s">
        <v>405</v>
      </c>
      <c r="P504" s="519" t="s">
        <v>589</v>
      </c>
      <c r="W504" s="926">
        <v>0.3</v>
      </c>
      <c r="X504" s="1498">
        <v>1505</v>
      </c>
      <c r="AC504" s="1498">
        <f t="shared" si="128"/>
        <v>15</v>
      </c>
      <c r="AD504" s="519" t="str">
        <f t="shared" si="122"/>
        <v>8910 IP55 MIDI 2M (High Speed) </v>
      </c>
      <c r="AE504" s="519" t="str">
        <f t="shared" si="123"/>
        <v>158910 IP55 MIDI 2M (High Speed) </v>
      </c>
      <c r="AF504" s="519" t="str">
        <f>IFERROR(VLOOKUP(AE504,SSSS!$E$6:$F$285,2,FALSE),"")</f>
        <v/>
      </c>
      <c r="AG504" s="519" t="str">
        <f t="shared" si="126"/>
        <v/>
      </c>
      <c r="AI504" s="1498">
        <f t="shared" si="129"/>
        <v>15</v>
      </c>
      <c r="AJ504" s="519" t="str">
        <f t="shared" si="124"/>
        <v>Ultima Mk7 2M</v>
      </c>
      <c r="AK504" s="519" t="str">
        <f t="shared" si="125"/>
        <v>15Ultima Mk7 2M</v>
      </c>
      <c r="AL504" s="519" t="str">
        <f>IFERROR(VLOOKUP(AK504,SSSS!$E$6:$F$285,2,FALSE),"")</f>
        <v/>
      </c>
      <c r="AM504" s="519" t="str">
        <f t="shared" si="127"/>
        <v/>
      </c>
      <c r="AZ504" s="925"/>
      <c r="BF504" s="912"/>
      <c r="BI504" s="201"/>
    </row>
    <row r="505" spans="1:61" s="519" customFormat="1" hidden="1">
      <c r="A505" s="112"/>
      <c r="B505" s="203"/>
      <c r="C505" s="133"/>
      <c r="D505" s="133"/>
      <c r="E505" s="115"/>
      <c r="F505" s="157" t="s">
        <v>622</v>
      </c>
      <c r="G505" s="448" t="e">
        <f t="shared" si="130"/>
        <v>#N/A</v>
      </c>
      <c r="H505" s="376"/>
      <c r="I505" s="402">
        <v>424</v>
      </c>
      <c r="J505" s="1506"/>
      <c r="K505" s="912"/>
      <c r="L505" s="1498"/>
      <c r="M505" s="519" t="s">
        <v>406</v>
      </c>
      <c r="P505" s="519" t="s">
        <v>590</v>
      </c>
      <c r="W505" s="926">
        <v>1.5</v>
      </c>
      <c r="X505" s="1498">
        <v>1505</v>
      </c>
      <c r="AC505" s="1498">
        <f t="shared" si="128"/>
        <v>16</v>
      </c>
      <c r="AD505" s="519" t="str">
        <f t="shared" si="122"/>
        <v>8910 IP55 MIDI 2M (High Speed) </v>
      </c>
      <c r="AE505" s="519" t="str">
        <f t="shared" si="123"/>
        <v>168910 IP55 MIDI 2M (High Speed) </v>
      </c>
      <c r="AF505" s="519" t="str">
        <f>IFERROR(VLOOKUP(AE505,SSSS!$E$6:$F$285,2,FALSE),"")</f>
        <v/>
      </c>
      <c r="AG505" s="519" t="str">
        <f t="shared" si="126"/>
        <v/>
      </c>
      <c r="AI505" s="1498">
        <f t="shared" si="129"/>
        <v>16</v>
      </c>
      <c r="AJ505" s="519" t="str">
        <f t="shared" si="124"/>
        <v>Ultima Mk7 2M</v>
      </c>
      <c r="AK505" s="519" t="str">
        <f t="shared" si="125"/>
        <v>16Ultima Mk7 2M</v>
      </c>
      <c r="AL505" s="519" t="str">
        <f>IFERROR(VLOOKUP(AK505,SSSS!$E$6:$F$285,2,FALSE),"")</f>
        <v/>
      </c>
      <c r="AM505" s="519" t="str">
        <f t="shared" si="127"/>
        <v/>
      </c>
      <c r="AZ505" s="925"/>
      <c r="BF505" s="912"/>
      <c r="BI505" s="201"/>
    </row>
    <row r="506" spans="1:61" s="519" customFormat="1" hidden="1">
      <c r="A506" s="112"/>
      <c r="B506" s="203"/>
      <c r="C506" s="133"/>
      <c r="D506" s="133"/>
      <c r="E506" s="115"/>
      <c r="F506" s="157" t="s">
        <v>623</v>
      </c>
      <c r="G506" s="448" t="e">
        <f t="shared" si="130"/>
        <v>#N/A</v>
      </c>
      <c r="H506" s="376"/>
      <c r="I506" s="402">
        <v>424</v>
      </c>
      <c r="J506" s="1506"/>
      <c r="K506" s="912"/>
      <c r="L506" s="1498"/>
      <c r="M506" s="519" t="s">
        <v>407</v>
      </c>
      <c r="P506" s="519" t="s">
        <v>591</v>
      </c>
      <c r="W506" s="926">
        <v>0.3</v>
      </c>
      <c r="X506" s="1498">
        <v>1506</v>
      </c>
      <c r="AC506" s="1498">
        <f t="shared" si="128"/>
        <v>17</v>
      </c>
      <c r="AD506" s="519" t="str">
        <f t="shared" si="122"/>
        <v>8910 IP55 MIDI 2M (High Speed) </v>
      </c>
      <c r="AE506" s="519" t="str">
        <f t="shared" si="123"/>
        <v>178910 IP55 MIDI 2M (High Speed) </v>
      </c>
      <c r="AF506" s="519" t="str">
        <f>IFERROR(VLOOKUP(AE506,SSSS!$E$6:$F$285,2,FALSE),"")</f>
        <v/>
      </c>
      <c r="AG506" s="519" t="str">
        <f t="shared" si="126"/>
        <v/>
      </c>
      <c r="AI506" s="1498">
        <f t="shared" si="129"/>
        <v>17</v>
      </c>
      <c r="AJ506" s="519" t="str">
        <f t="shared" si="124"/>
        <v>Ultima Mk7 2M</v>
      </c>
      <c r="AK506" s="519" t="str">
        <f t="shared" si="125"/>
        <v>17Ultima Mk7 2M</v>
      </c>
      <c r="AL506" s="519" t="str">
        <f>IFERROR(VLOOKUP(AK506,SSSS!$E$6:$F$285,2,FALSE),"")</f>
        <v/>
      </c>
      <c r="AM506" s="519" t="str">
        <f t="shared" si="127"/>
        <v/>
      </c>
      <c r="AZ506" s="925"/>
      <c r="BF506" s="912"/>
      <c r="BI506" s="201"/>
    </row>
    <row r="507" spans="1:61" s="519" customFormat="1" hidden="1">
      <c r="A507" s="112"/>
      <c r="B507" s="203"/>
      <c r="C507" s="133"/>
      <c r="D507" s="133"/>
      <c r="E507" s="115"/>
      <c r="F507" s="157" t="s">
        <v>624</v>
      </c>
      <c r="G507" s="448" t="e">
        <f t="shared" si="130"/>
        <v>#N/A</v>
      </c>
      <c r="H507" s="376"/>
      <c r="I507" s="402">
        <v>424</v>
      </c>
      <c r="J507" s="1506"/>
      <c r="K507" s="912"/>
      <c r="L507" s="1498"/>
      <c r="M507" s="519" t="s">
        <v>408</v>
      </c>
      <c r="P507" s="519" t="s">
        <v>592</v>
      </c>
      <c r="W507" s="926">
        <v>0.3</v>
      </c>
      <c r="X507" s="1498">
        <v>1555</v>
      </c>
      <c r="AC507" s="1498">
        <f t="shared" si="128"/>
        <v>18</v>
      </c>
      <c r="AD507" s="519" t="str">
        <f t="shared" si="122"/>
        <v>8910 IP55 MIDI 2M (High Speed) </v>
      </c>
      <c r="AE507" s="519" t="str">
        <f t="shared" si="123"/>
        <v>188910 IP55 MIDI 2M (High Speed) </v>
      </c>
      <c r="AF507" s="519" t="str">
        <f>IFERROR(VLOOKUP(AE507,SSSS!$E$6:$F$285,2,FALSE),"")</f>
        <v/>
      </c>
      <c r="AG507" s="519" t="str">
        <f t="shared" si="126"/>
        <v/>
      </c>
      <c r="AI507" s="1498">
        <f t="shared" si="129"/>
        <v>18</v>
      </c>
      <c r="AJ507" s="519" t="str">
        <f t="shared" si="124"/>
        <v>Ultima Mk7 2M</v>
      </c>
      <c r="AK507" s="519" t="str">
        <f t="shared" si="125"/>
        <v>18Ultima Mk7 2M</v>
      </c>
      <c r="AL507" s="519" t="str">
        <f>IFERROR(VLOOKUP(AK507,SSSS!$E$6:$F$285,2,FALSE),"")</f>
        <v/>
      </c>
      <c r="AM507" s="519" t="str">
        <f t="shared" si="127"/>
        <v/>
      </c>
      <c r="AZ507" s="925"/>
      <c r="BF507" s="912"/>
      <c r="BI507" s="201"/>
    </row>
    <row r="508" spans="1:61" s="519" customFormat="1" hidden="1">
      <c r="A508" s="112"/>
      <c r="B508" s="203"/>
      <c r="C508" s="133"/>
      <c r="D508" s="133"/>
      <c r="E508" s="115"/>
      <c r="F508" s="157" t="s">
        <v>625</v>
      </c>
      <c r="G508" s="448" t="e">
        <f t="shared" si="130"/>
        <v>#N/A</v>
      </c>
      <c r="H508" s="376"/>
      <c r="I508" s="402">
        <v>424</v>
      </c>
      <c r="J508" s="1506"/>
      <c r="K508" s="912"/>
      <c r="L508" s="1498"/>
      <c r="M508" s="519" t="s">
        <v>409</v>
      </c>
      <c r="P508" s="519" t="s">
        <v>593</v>
      </c>
      <c r="W508" s="926">
        <v>1.5</v>
      </c>
      <c r="X508" s="1498">
        <v>1505</v>
      </c>
      <c r="AC508" s="1498">
        <f t="shared" si="128"/>
        <v>19</v>
      </c>
      <c r="AD508" s="519" t="str">
        <f t="shared" si="122"/>
        <v>8910 IP55 MIDI 2M (High Speed) </v>
      </c>
      <c r="AE508" s="519" t="str">
        <f t="shared" si="123"/>
        <v>198910 IP55 MIDI 2M (High Speed) </v>
      </c>
      <c r="AF508" s="519" t="str">
        <f>IFERROR(VLOOKUP(AE508,SSSS!$E$6:$F$285,2,FALSE),"")</f>
        <v/>
      </c>
      <c r="AG508" s="519" t="str">
        <f t="shared" si="126"/>
        <v/>
      </c>
      <c r="AI508" s="1498">
        <f t="shared" si="129"/>
        <v>19</v>
      </c>
      <c r="AJ508" s="519" t="str">
        <f t="shared" si="124"/>
        <v>Ultima Mk7 2M</v>
      </c>
      <c r="AK508" s="519" t="str">
        <f t="shared" si="125"/>
        <v>19Ultima Mk7 2M</v>
      </c>
      <c r="AL508" s="519" t="str">
        <f>IFERROR(VLOOKUP(AK508,SSSS!$E$6:$F$285,2,FALSE),"")</f>
        <v/>
      </c>
      <c r="AM508" s="519" t="str">
        <f t="shared" si="127"/>
        <v/>
      </c>
      <c r="AZ508" s="925"/>
      <c r="BF508" s="912"/>
      <c r="BI508" s="201"/>
    </row>
    <row r="509" spans="1:61" s="519" customFormat="1" hidden="1">
      <c r="A509" s="112"/>
      <c r="B509" s="203"/>
      <c r="C509" s="133"/>
      <c r="D509" s="133"/>
      <c r="E509" s="115"/>
      <c r="F509" s="157" t="s">
        <v>626</v>
      </c>
      <c r="G509" s="448" t="e">
        <f t="shared" si="130"/>
        <v>#N/A</v>
      </c>
      <c r="H509" s="376"/>
      <c r="I509" s="402">
        <v>424</v>
      </c>
      <c r="J509" s="1506"/>
      <c r="K509" s="912"/>
      <c r="L509" s="1498"/>
      <c r="M509" s="519" t="s">
        <v>410</v>
      </c>
      <c r="P509" s="519" t="s">
        <v>594</v>
      </c>
      <c r="W509" s="926">
        <v>0.3</v>
      </c>
      <c r="X509" s="1498">
        <v>1560</v>
      </c>
      <c r="AC509" s="1498">
        <f t="shared" si="128"/>
        <v>20</v>
      </c>
      <c r="AD509" s="519" t="str">
        <f t="shared" si="122"/>
        <v>8910 IP55 MIDI 2M (High Speed) </v>
      </c>
      <c r="AE509" s="519" t="str">
        <f t="shared" si="123"/>
        <v>208910 IP55 MIDI 2M (High Speed) </v>
      </c>
      <c r="AF509" s="519" t="str">
        <f>IFERROR(VLOOKUP(AE509,SSSS!$E$6:$F$285,2,FALSE),"")</f>
        <v/>
      </c>
      <c r="AG509" s="519" t="str">
        <f t="shared" si="126"/>
        <v/>
      </c>
      <c r="AI509" s="1498">
        <f t="shared" si="129"/>
        <v>20</v>
      </c>
      <c r="AJ509" s="519" t="str">
        <f t="shared" si="124"/>
        <v>Ultima Mk7 2M</v>
      </c>
      <c r="AK509" s="519" t="str">
        <f t="shared" si="125"/>
        <v>20Ultima Mk7 2M</v>
      </c>
      <c r="AL509" s="519" t="str">
        <f>IFERROR(VLOOKUP(AK509,SSSS!$E$6:$F$285,2,FALSE),"")</f>
        <v/>
      </c>
      <c r="AM509" s="519" t="str">
        <f t="shared" si="127"/>
        <v/>
      </c>
      <c r="AZ509" s="925"/>
      <c r="BF509" s="912"/>
      <c r="BI509" s="201"/>
    </row>
    <row r="510" spans="1:61" s="519" customFormat="1" hidden="1">
      <c r="A510" s="112"/>
      <c r="B510" s="203"/>
      <c r="C510" s="133"/>
      <c r="D510" s="133"/>
      <c r="E510" s="115"/>
      <c r="F510" s="157" t="s">
        <v>627</v>
      </c>
      <c r="G510" s="448" t="e">
        <f t="shared" si="130"/>
        <v>#N/A</v>
      </c>
      <c r="H510" s="376"/>
      <c r="I510" s="402">
        <v>424</v>
      </c>
      <c r="J510" s="1506"/>
      <c r="K510" s="912"/>
      <c r="L510" s="1498"/>
      <c r="M510" s="519" t="s">
        <v>411</v>
      </c>
      <c r="P510" s="519" t="s">
        <v>595</v>
      </c>
      <c r="W510" s="926">
        <v>0.3</v>
      </c>
      <c r="X510" s="1498">
        <v>1512</v>
      </c>
      <c r="AC510" s="1498">
        <f t="shared" si="128"/>
        <v>21</v>
      </c>
      <c r="AD510" s="519" t="str">
        <f t="shared" si="122"/>
        <v>8910 IP55 MIDI 2M (High Speed) </v>
      </c>
      <c r="AE510" s="519" t="str">
        <f t="shared" si="123"/>
        <v>218910 IP55 MIDI 2M (High Speed) </v>
      </c>
      <c r="AF510" s="519" t="str">
        <f>IFERROR(VLOOKUP(AE510,SSSS!$E$6:$F$285,2,FALSE),"")</f>
        <v/>
      </c>
      <c r="AG510" s="519" t="str">
        <f t="shared" si="126"/>
        <v/>
      </c>
      <c r="AI510" s="1498">
        <f t="shared" si="129"/>
        <v>21</v>
      </c>
      <c r="AJ510" s="519" t="str">
        <f t="shared" si="124"/>
        <v>Ultima Mk7 2M</v>
      </c>
      <c r="AK510" s="519" t="str">
        <f t="shared" si="125"/>
        <v>21Ultima Mk7 2M</v>
      </c>
      <c r="AL510" s="519" t="str">
        <f>IFERROR(VLOOKUP(AK510,SSSS!$E$6:$F$285,2,FALSE),"")</f>
        <v/>
      </c>
      <c r="AM510" s="519" t="str">
        <f t="shared" si="127"/>
        <v/>
      </c>
      <c r="AZ510" s="925"/>
      <c r="BF510" s="912"/>
      <c r="BI510" s="201"/>
    </row>
    <row r="511" spans="1:61" s="519" customFormat="1" hidden="1">
      <c r="A511" s="112"/>
      <c r="B511" s="203"/>
      <c r="C511" s="133"/>
      <c r="D511" s="133"/>
      <c r="E511" s="115"/>
      <c r="F511" s="157" t="s">
        <v>628</v>
      </c>
      <c r="G511" s="448" t="e">
        <f t="shared" si="130"/>
        <v>#N/A</v>
      </c>
      <c r="H511" s="376"/>
      <c r="I511" s="402">
        <v>424</v>
      </c>
      <c r="J511" s="1506"/>
      <c r="K511" s="912"/>
      <c r="L511" s="1498"/>
      <c r="M511" s="519" t="s">
        <v>412</v>
      </c>
      <c r="P511" s="519" t="s">
        <v>596</v>
      </c>
      <c r="W511" s="926">
        <v>0.3</v>
      </c>
      <c r="X511" s="1498">
        <v>1540</v>
      </c>
      <c r="AC511" s="1498">
        <f t="shared" si="128"/>
        <v>22</v>
      </c>
      <c r="AD511" s="519" t="str">
        <f t="shared" si="122"/>
        <v>8910 IP55 MIDI 2M (High Speed) </v>
      </c>
      <c r="AE511" s="519" t="str">
        <f t="shared" si="123"/>
        <v>228910 IP55 MIDI 2M (High Speed) </v>
      </c>
      <c r="AF511" s="519" t="str">
        <f>IFERROR(VLOOKUP(AE511,SSSS!$E$6:$F$285,2,FALSE),"")</f>
        <v/>
      </c>
      <c r="AG511" s="519" t="str">
        <f t="shared" si="126"/>
        <v/>
      </c>
      <c r="AI511" s="1498">
        <f t="shared" si="129"/>
        <v>22</v>
      </c>
      <c r="AJ511" s="519" t="str">
        <f t="shared" si="124"/>
        <v>Ultima Mk7 2M</v>
      </c>
      <c r="AK511" s="519" t="str">
        <f t="shared" si="125"/>
        <v>22Ultima Mk7 2M</v>
      </c>
      <c r="AL511" s="519" t="str">
        <f>IFERROR(VLOOKUP(AK511,SSSS!$E$6:$F$285,2,FALSE),"")</f>
        <v/>
      </c>
      <c r="AM511" s="519" t="str">
        <f t="shared" si="127"/>
        <v/>
      </c>
      <c r="AZ511" s="925"/>
      <c r="BF511" s="912"/>
      <c r="BI511" s="201"/>
    </row>
    <row r="512" spans="1:61" s="519" customFormat="1" hidden="1">
      <c r="A512" s="112"/>
      <c r="B512" s="203"/>
      <c r="C512" s="133"/>
      <c r="D512" s="133"/>
      <c r="E512" s="115"/>
      <c r="F512" s="157" t="s">
        <v>629</v>
      </c>
      <c r="G512" s="448" t="e">
        <f t="shared" si="130"/>
        <v>#N/A</v>
      </c>
      <c r="H512" s="376"/>
      <c r="I512" s="402">
        <v>424</v>
      </c>
      <c r="J512" s="1506"/>
      <c r="K512" s="912"/>
      <c r="L512" s="1498"/>
      <c r="M512" s="519" t="s">
        <v>413</v>
      </c>
      <c r="P512" s="519" t="s">
        <v>597</v>
      </c>
      <c r="W512" s="926">
        <v>0.3</v>
      </c>
      <c r="X512" s="1498">
        <v>1705</v>
      </c>
      <c r="AC512" s="1498">
        <f t="shared" si="128"/>
        <v>23</v>
      </c>
      <c r="AD512" s="519" t="str">
        <f t="shared" si="122"/>
        <v>8910 IP55 MIDI 2M (High Speed) </v>
      </c>
      <c r="AE512" s="519" t="str">
        <f t="shared" si="123"/>
        <v>238910 IP55 MIDI 2M (High Speed) </v>
      </c>
      <c r="AG512" s="519" t="str">
        <f t="shared" si="126"/>
        <v/>
      </c>
      <c r="AI512" s="1498">
        <f t="shared" si="129"/>
        <v>23</v>
      </c>
      <c r="AJ512" s="519" t="str">
        <f t="shared" si="124"/>
        <v>Ultima Mk7 2M</v>
      </c>
      <c r="AK512" s="519" t="str">
        <f t="shared" si="125"/>
        <v>23Ultima Mk7 2M</v>
      </c>
      <c r="AL512" s="519" t="str">
        <f>IFERROR(VLOOKUP(AK512,SSSS!$E$6:$F$285,2,FALSE),"")</f>
        <v/>
      </c>
      <c r="AM512" s="519" t="str">
        <f t="shared" si="127"/>
        <v/>
      </c>
      <c r="AZ512" s="925"/>
      <c r="BF512" s="912"/>
      <c r="BI512" s="201"/>
    </row>
    <row r="513" spans="1:61" s="519" customFormat="1" hidden="1">
      <c r="A513" s="112"/>
      <c r="B513" s="203"/>
      <c r="C513" s="133"/>
      <c r="D513" s="133"/>
      <c r="E513" s="115"/>
      <c r="F513" s="157" t="s">
        <v>630</v>
      </c>
      <c r="G513" s="448" t="e">
        <f t="shared" si="130"/>
        <v>#N/A</v>
      </c>
      <c r="H513" s="376"/>
      <c r="I513" s="402">
        <v>424</v>
      </c>
      <c r="J513" s="1506"/>
      <c r="K513" s="912"/>
      <c r="L513" s="1498"/>
      <c r="M513" s="519" t="s">
        <v>414</v>
      </c>
      <c r="P513" s="519" t="s">
        <v>598</v>
      </c>
      <c r="W513" s="926">
        <v>0.3</v>
      </c>
      <c r="X513" s="1498">
        <v>3501</v>
      </c>
      <c r="AC513" s="1498">
        <f t="shared" si="128"/>
        <v>24</v>
      </c>
      <c r="AD513" s="519" t="str">
        <f t="shared" si="122"/>
        <v>8910 IP55 MIDI 2M (High Speed) </v>
      </c>
      <c r="AE513" s="519" t="str">
        <f t="shared" si="123"/>
        <v>248910 IP55 MIDI 2M (High Speed) </v>
      </c>
      <c r="AG513" s="519" t="str">
        <f t="shared" si="126"/>
        <v/>
      </c>
      <c r="AI513" s="1498">
        <f t="shared" si="129"/>
        <v>24</v>
      </c>
      <c r="AJ513" s="519" t="str">
        <f t="shared" si="124"/>
        <v>Ultima Mk7 2M</v>
      </c>
      <c r="AK513" s="519" t="str">
        <f t="shared" si="125"/>
        <v>24Ultima Mk7 2M</v>
      </c>
      <c r="AL513" s="519" t="str">
        <f>IFERROR(VLOOKUP(AK513,SSSS!$E$6:$F$285,2,FALSE),"")</f>
        <v/>
      </c>
      <c r="AM513" s="519" t="str">
        <f t="shared" si="127"/>
        <v/>
      </c>
      <c r="AZ513" s="925"/>
      <c r="BF513" s="912"/>
      <c r="BI513" s="201"/>
    </row>
    <row r="514" spans="1:61" s="519" customFormat="1" hidden="1">
      <c r="A514" s="112"/>
      <c r="B514" s="203"/>
      <c r="C514" s="133"/>
      <c r="D514" s="133"/>
      <c r="E514" s="115"/>
      <c r="F514" s="157" t="s">
        <v>631</v>
      </c>
      <c r="G514" s="448" t="e">
        <f t="shared" si="130"/>
        <v>#N/A</v>
      </c>
      <c r="H514" s="376"/>
      <c r="I514" s="402">
        <v>424</v>
      </c>
      <c r="J514" s="1506"/>
      <c r="K514" s="912"/>
      <c r="L514" s="1498"/>
      <c r="M514" s="519" t="s">
        <v>415</v>
      </c>
      <c r="P514" s="519" t="s">
        <v>599</v>
      </c>
      <c r="W514" s="926">
        <v>1.5</v>
      </c>
      <c r="X514" s="1498">
        <v>3501</v>
      </c>
      <c r="AC514" s="1498">
        <f t="shared" si="128"/>
        <v>25</v>
      </c>
      <c r="AD514" s="519" t="str">
        <f t="shared" si="122"/>
        <v>8910 IP55 MIDI 2M (High Speed) </v>
      </c>
      <c r="AE514" s="519" t="str">
        <f t="shared" si="123"/>
        <v>258910 IP55 MIDI 2M (High Speed) </v>
      </c>
      <c r="AG514" s="519" t="str">
        <f t="shared" si="126"/>
        <v/>
      </c>
      <c r="AI514" s="1498">
        <f t="shared" si="129"/>
        <v>25</v>
      </c>
      <c r="AJ514" s="519" t="str">
        <f t="shared" si="124"/>
        <v>Ultima Mk7 2M</v>
      </c>
      <c r="AK514" s="519" t="str">
        <f t="shared" si="125"/>
        <v>25Ultima Mk7 2M</v>
      </c>
      <c r="AL514" s="519" t="str">
        <f>IFERROR(VLOOKUP(AK514,SSSS!$E$6:$F$285,2,FALSE),"")</f>
        <v/>
      </c>
      <c r="AM514" s="519" t="str">
        <f t="shared" si="127"/>
        <v/>
      </c>
      <c r="AZ514" s="925"/>
      <c r="BF514" s="912"/>
      <c r="BI514" s="201"/>
    </row>
    <row r="515" spans="1:61" s="519" customFormat="1" hidden="1">
      <c r="A515" s="112"/>
      <c r="B515" s="203"/>
      <c r="C515" s="133"/>
      <c r="D515" s="133"/>
      <c r="E515" s="115"/>
      <c r="F515" s="157" t="s">
        <v>632</v>
      </c>
      <c r="G515" s="448" t="e">
        <f t="shared" si="130"/>
        <v>#N/A</v>
      </c>
      <c r="H515" s="376"/>
      <c r="I515" s="402">
        <v>424</v>
      </c>
      <c r="J515" s="1506"/>
      <c r="K515" s="912"/>
      <c r="L515" s="1498"/>
      <c r="M515" s="519" t="s">
        <v>416</v>
      </c>
      <c r="P515" s="519" t="s">
        <v>600</v>
      </c>
      <c r="W515" s="926">
        <v>1.5</v>
      </c>
      <c r="X515" s="1498">
        <v>1505</v>
      </c>
      <c r="AZ515" s="925"/>
      <c r="BF515" s="912"/>
      <c r="BI515" s="201"/>
    </row>
    <row r="516" spans="1:61" s="519" customFormat="1" hidden="1">
      <c r="A516" s="112"/>
      <c r="B516" s="203"/>
      <c r="C516" s="133"/>
      <c r="D516" s="133"/>
      <c r="E516" s="115"/>
      <c r="F516" s="157" t="s">
        <v>633</v>
      </c>
      <c r="G516" s="448" t="e">
        <f t="shared" si="130"/>
        <v>#N/A</v>
      </c>
      <c r="H516" s="376"/>
      <c r="I516" s="402">
        <v>424</v>
      </c>
      <c r="J516" s="1506"/>
      <c r="K516" s="912"/>
      <c r="L516" s="1498"/>
      <c r="M516" s="519" t="s">
        <v>417</v>
      </c>
      <c r="P516" s="519" t="s">
        <v>601</v>
      </c>
      <c r="W516" s="926">
        <v>0.3</v>
      </c>
      <c r="X516" s="1498">
        <v>1558</v>
      </c>
      <c r="AZ516" s="925"/>
      <c r="BF516" s="912"/>
      <c r="BI516" s="201"/>
    </row>
    <row r="517" spans="1:61" s="519" customFormat="1" hidden="1">
      <c r="A517" s="112"/>
      <c r="B517" s="203"/>
      <c r="C517" s="133"/>
      <c r="D517" s="133"/>
      <c r="E517" s="115"/>
      <c r="F517" s="157" t="s">
        <v>634</v>
      </c>
      <c r="G517" s="448" t="e">
        <f t="shared" si="130"/>
        <v>#N/A</v>
      </c>
      <c r="H517" s="376"/>
      <c r="I517" s="402">
        <v>424</v>
      </c>
      <c r="J517" s="1506"/>
      <c r="K517" s="912"/>
      <c r="L517" s="1498"/>
      <c r="M517" s="519" t="s">
        <v>418</v>
      </c>
      <c r="P517" s="519" t="s">
        <v>602</v>
      </c>
      <c r="W517" s="926">
        <v>0.3</v>
      </c>
      <c r="X517" s="1498">
        <v>2750</v>
      </c>
      <c r="AZ517" s="925"/>
      <c r="BF517" s="912"/>
      <c r="BI517" s="201"/>
    </row>
    <row r="518" spans="1:61" s="519" customFormat="1" hidden="1">
      <c r="A518" s="112"/>
      <c r="B518" s="203"/>
      <c r="C518" s="133"/>
      <c r="D518" s="133"/>
      <c r="E518" s="115"/>
      <c r="F518" s="157" t="s">
        <v>635</v>
      </c>
      <c r="G518" s="448" t="e">
        <f t="shared" si="130"/>
        <v>#N/A</v>
      </c>
      <c r="H518" s="376"/>
      <c r="I518" s="402">
        <v>424</v>
      </c>
      <c r="J518" s="1506"/>
      <c r="K518" s="912"/>
      <c r="L518" s="1498"/>
      <c r="M518" s="519" t="s">
        <v>419</v>
      </c>
      <c r="P518" s="519" t="s">
        <v>603</v>
      </c>
      <c r="W518" s="926">
        <v>0.3</v>
      </c>
      <c r="X518" s="1498">
        <v>1540</v>
      </c>
      <c r="AZ518" s="925"/>
      <c r="BF518" s="912"/>
      <c r="BI518" s="201"/>
    </row>
    <row r="519" spans="1:61" s="519" customFormat="1" hidden="1">
      <c r="A519" s="112"/>
      <c r="B519" s="203"/>
      <c r="C519" s="133"/>
      <c r="D519" s="133"/>
      <c r="E519" s="115"/>
      <c r="F519" s="157" t="s">
        <v>636</v>
      </c>
      <c r="G519" s="448" t="e">
        <f t="shared" si="130"/>
        <v>#N/A</v>
      </c>
      <c r="H519" s="376"/>
      <c r="I519" s="402">
        <v>424</v>
      </c>
      <c r="J519" s="1506"/>
      <c r="K519" s="912"/>
      <c r="L519" s="1498"/>
      <c r="M519" s="519" t="s">
        <v>420</v>
      </c>
      <c r="P519" s="519" t="s">
        <v>604</v>
      </c>
      <c r="W519" s="926">
        <v>1.5</v>
      </c>
      <c r="X519" s="1498">
        <v>1606</v>
      </c>
      <c r="AZ519" s="925"/>
      <c r="BF519" s="912"/>
      <c r="BI519" s="201"/>
    </row>
    <row r="520" spans="1:61" s="519" customFormat="1" hidden="1">
      <c r="A520" s="112"/>
      <c r="B520" s="203"/>
      <c r="C520" s="133"/>
      <c r="D520" s="133"/>
      <c r="E520" s="115"/>
      <c r="F520" s="157" t="s">
        <v>637</v>
      </c>
      <c r="G520" s="448" t="e">
        <f t="shared" si="130"/>
        <v>#N/A</v>
      </c>
      <c r="H520" s="376"/>
      <c r="I520" s="402">
        <v>424</v>
      </c>
      <c r="J520" s="1506"/>
      <c r="K520" s="912"/>
      <c r="L520" s="1498"/>
      <c r="M520" s="519" t="s">
        <v>421</v>
      </c>
      <c r="P520" s="519" t="s">
        <v>605</v>
      </c>
      <c r="W520" s="926">
        <v>1.5</v>
      </c>
      <c r="X520" s="1498">
        <v>1606</v>
      </c>
      <c r="AZ520" s="925"/>
      <c r="BF520" s="912"/>
      <c r="BI520" s="201"/>
    </row>
    <row r="521" spans="1:61" s="519" customFormat="1" hidden="1">
      <c r="A521" s="112"/>
      <c r="B521" s="203"/>
      <c r="C521" s="468"/>
      <c r="D521" s="468" t="s">
        <v>641</v>
      </c>
      <c r="E521" s="115"/>
      <c r="F521" s="157"/>
      <c r="G521" s="376"/>
      <c r="H521" s="376"/>
      <c r="I521" s="402"/>
      <c r="J521" s="1506"/>
      <c r="K521" s="912"/>
      <c r="W521" s="926"/>
      <c r="AZ521" s="925"/>
      <c r="BF521" s="912"/>
      <c r="BI521" s="201"/>
    </row>
    <row r="522" spans="1:61" s="519" customFormat="1" hidden="1">
      <c r="A522" s="112"/>
      <c r="B522" s="203"/>
      <c r="C522" s="133"/>
      <c r="D522" s="133"/>
      <c r="E522" s="115">
        <v>1505</v>
      </c>
      <c r="F522" s="157" t="s">
        <v>606</v>
      </c>
      <c r="G522" s="376" t="s">
        <v>450</v>
      </c>
      <c r="H522" s="376" t="s">
        <v>1064</v>
      </c>
      <c r="I522" s="402">
        <v>270</v>
      </c>
      <c r="J522" s="1506"/>
      <c r="K522" s="912">
        <v>254</v>
      </c>
      <c r="M522" s="519" t="s">
        <v>422</v>
      </c>
      <c r="P522" s="519" t="s">
        <v>606</v>
      </c>
      <c r="W522" s="926">
        <v>0.3</v>
      </c>
      <c r="AZ522" s="925"/>
      <c r="BF522" s="912"/>
      <c r="BI522" s="201"/>
    </row>
    <row r="523" spans="1:61" s="519" customFormat="1" hidden="1">
      <c r="A523" s="112"/>
      <c r="B523" s="203"/>
      <c r="C523" s="133"/>
      <c r="D523" s="133"/>
      <c r="E523" s="115">
        <v>1506</v>
      </c>
      <c r="F523" s="157" t="s">
        <v>607</v>
      </c>
      <c r="G523" s="376" t="s">
        <v>451</v>
      </c>
      <c r="H523" s="376" t="s">
        <v>1063</v>
      </c>
      <c r="I523" s="402">
        <v>280</v>
      </c>
      <c r="J523" s="1506"/>
      <c r="K523" s="912">
        <v>254</v>
      </c>
      <c r="M523" s="519" t="s">
        <v>423</v>
      </c>
      <c r="P523" s="519" t="s">
        <v>607</v>
      </c>
      <c r="W523" s="926">
        <v>0.3</v>
      </c>
      <c r="AZ523" s="925"/>
      <c r="BF523" s="912"/>
      <c r="BI523" s="201"/>
    </row>
    <row r="524" spans="1:61" s="519" customFormat="1" hidden="1">
      <c r="A524" s="112"/>
      <c r="B524" s="203"/>
      <c r="C524" s="133"/>
      <c r="D524" s="133"/>
      <c r="E524" s="115">
        <v>1512</v>
      </c>
      <c r="F524" s="157" t="s">
        <v>608</v>
      </c>
      <c r="G524" s="376" t="s">
        <v>452</v>
      </c>
      <c r="H524" s="376" t="s">
        <v>1062</v>
      </c>
      <c r="I524" s="402">
        <v>233</v>
      </c>
      <c r="J524" s="1506"/>
      <c r="K524" s="912">
        <v>219</v>
      </c>
      <c r="M524" s="519" t="s">
        <v>424</v>
      </c>
      <c r="P524" s="519" t="s">
        <v>608</v>
      </c>
      <c r="W524" s="926">
        <v>0.3</v>
      </c>
      <c r="AZ524" s="925"/>
      <c r="BF524" s="912"/>
      <c r="BI524" s="201"/>
    </row>
    <row r="525" spans="1:61" s="519" customFormat="1" hidden="1">
      <c r="A525" s="112"/>
      <c r="B525" s="203"/>
      <c r="C525" s="133"/>
      <c r="D525" s="133"/>
      <c r="E525" s="115">
        <v>1540</v>
      </c>
      <c r="F525" s="157" t="s">
        <v>609</v>
      </c>
      <c r="G525" s="376" t="s">
        <v>453</v>
      </c>
      <c r="H525" s="376" t="s">
        <v>1061</v>
      </c>
      <c r="I525" s="402">
        <v>612</v>
      </c>
      <c r="J525" s="1506"/>
      <c r="K525" s="912">
        <v>570</v>
      </c>
      <c r="M525" s="519" t="s">
        <v>425</v>
      </c>
      <c r="P525" s="519" t="s">
        <v>609</v>
      </c>
      <c r="W525" s="926">
        <v>0.3</v>
      </c>
      <c r="AZ525" s="925"/>
      <c r="BF525" s="912"/>
      <c r="BI525" s="201"/>
    </row>
    <row r="526" spans="1:61" s="519" customFormat="1" hidden="1">
      <c r="A526" s="112"/>
      <c r="B526" s="203"/>
      <c r="C526" s="133"/>
      <c r="D526" s="133"/>
      <c r="E526" s="115">
        <v>1555</v>
      </c>
      <c r="F526" s="157" t="s">
        <v>610</v>
      </c>
      <c r="G526" s="376" t="s">
        <v>454</v>
      </c>
      <c r="H526" s="376" t="s">
        <v>1060</v>
      </c>
      <c r="I526" s="402">
        <v>270</v>
      </c>
      <c r="J526" s="1506"/>
      <c r="K526" s="912">
        <v>254</v>
      </c>
      <c r="M526" s="519" t="s">
        <v>426</v>
      </c>
      <c r="P526" s="519" t="s">
        <v>610</v>
      </c>
      <c r="W526" s="926">
        <v>0.3</v>
      </c>
      <c r="AZ526" s="925"/>
      <c r="BF526" s="912"/>
      <c r="BI526" s="201"/>
    </row>
    <row r="527" spans="1:61" s="519" customFormat="1" hidden="1">
      <c r="A527" s="112"/>
      <c r="B527" s="203"/>
      <c r="C527" s="133"/>
      <c r="D527" s="133"/>
      <c r="E527" s="115">
        <v>1560</v>
      </c>
      <c r="F527" s="157" t="s">
        <v>611</v>
      </c>
      <c r="G527" s="376" t="s">
        <v>455</v>
      </c>
      <c r="H527" s="376" t="s">
        <v>484</v>
      </c>
      <c r="I527" s="402">
        <v>606</v>
      </c>
      <c r="J527" s="1506"/>
      <c r="K527" s="912">
        <v>570</v>
      </c>
      <c r="M527" s="519" t="s">
        <v>427</v>
      </c>
      <c r="P527" s="519" t="s">
        <v>611</v>
      </c>
      <c r="W527" s="926">
        <v>0.3</v>
      </c>
      <c r="AZ527" s="925"/>
      <c r="BF527" s="912"/>
      <c r="BI527" s="201"/>
    </row>
    <row r="528" spans="1:61" s="519" customFormat="1" hidden="1">
      <c r="A528" s="112"/>
      <c r="B528" s="203"/>
      <c r="C528" s="133"/>
      <c r="D528" s="133"/>
      <c r="E528" s="115">
        <v>1705</v>
      </c>
      <c r="F528" s="157" t="s">
        <v>612</v>
      </c>
      <c r="G528" s="376" t="s">
        <v>456</v>
      </c>
      <c r="H528" s="376" t="s">
        <v>485</v>
      </c>
      <c r="I528" s="402">
        <v>180</v>
      </c>
      <c r="J528" s="1506"/>
      <c r="K528" s="912">
        <v>171</v>
      </c>
      <c r="M528" s="519" t="s">
        <v>428</v>
      </c>
      <c r="P528" s="519" t="s">
        <v>612</v>
      </c>
      <c r="W528" s="926">
        <v>0.3</v>
      </c>
      <c r="AZ528" s="925"/>
      <c r="BF528" s="912"/>
      <c r="BI528" s="201"/>
    </row>
    <row r="529" spans="1:61" s="519" customFormat="1" hidden="1">
      <c r="A529" s="112"/>
      <c r="B529" s="203"/>
      <c r="C529" s="133"/>
      <c r="D529" s="133"/>
      <c r="E529" s="115">
        <v>3501</v>
      </c>
      <c r="F529" s="157" t="s">
        <v>613</v>
      </c>
      <c r="G529" s="376" t="s">
        <v>457</v>
      </c>
      <c r="H529" s="376" t="s">
        <v>1052</v>
      </c>
      <c r="I529" s="402">
        <v>233</v>
      </c>
      <c r="J529" s="1506"/>
      <c r="K529" s="912">
        <v>219</v>
      </c>
      <c r="M529" s="519" t="s">
        <v>429</v>
      </c>
      <c r="P529" s="519" t="s">
        <v>613</v>
      </c>
      <c r="W529" s="926">
        <v>0.3</v>
      </c>
      <c r="AZ529" s="925"/>
      <c r="BF529" s="912"/>
      <c r="BI529" s="201"/>
    </row>
    <row r="530" spans="1:61" s="519" customFormat="1" hidden="1">
      <c r="A530" s="112"/>
      <c r="B530" s="203"/>
      <c r="C530" s="133"/>
      <c r="D530" s="133"/>
      <c r="E530" s="115">
        <v>1606</v>
      </c>
      <c r="F530" s="157" t="s">
        <v>614</v>
      </c>
      <c r="G530" s="376" t="s">
        <v>458</v>
      </c>
      <c r="H530" s="376" t="s">
        <v>487</v>
      </c>
      <c r="I530" s="402">
        <v>270</v>
      </c>
      <c r="J530" s="1506"/>
      <c r="K530" s="912">
        <v>254</v>
      </c>
      <c r="M530" s="519" t="s">
        <v>430</v>
      </c>
      <c r="P530" s="519" t="s">
        <v>614</v>
      </c>
      <c r="W530" s="926">
        <v>0.3</v>
      </c>
      <c r="AZ530" s="925"/>
      <c r="BF530" s="912"/>
      <c r="BI530" s="201"/>
    </row>
    <row r="531" spans="1:61" s="519" customFormat="1" hidden="1">
      <c r="A531" s="112"/>
      <c r="B531" s="203"/>
      <c r="C531" s="133"/>
      <c r="D531" s="133"/>
      <c r="E531" s="115">
        <v>1558</v>
      </c>
      <c r="F531" s="157" t="s">
        <v>615</v>
      </c>
      <c r="G531" s="376" t="s">
        <v>459</v>
      </c>
      <c r="H531" s="376" t="s">
        <v>488</v>
      </c>
      <c r="I531" s="402">
        <v>286</v>
      </c>
      <c r="J531" s="1506"/>
      <c r="K531" s="912">
        <v>268</v>
      </c>
      <c r="M531" s="519" t="s">
        <v>431</v>
      </c>
      <c r="P531" s="519" t="s">
        <v>615</v>
      </c>
      <c r="W531" s="926">
        <v>0.3</v>
      </c>
      <c r="AZ531" s="925"/>
      <c r="BF531" s="912"/>
      <c r="BI531" s="201"/>
    </row>
    <row r="532" spans="1:61" s="519" customFormat="1" hidden="1">
      <c r="A532" s="112"/>
      <c r="B532" s="203"/>
      <c r="C532" s="133"/>
      <c r="D532" s="133"/>
      <c r="E532" s="115">
        <v>2750</v>
      </c>
      <c r="F532" s="157" t="s">
        <v>616</v>
      </c>
      <c r="G532" s="376" t="s">
        <v>460</v>
      </c>
      <c r="H532" s="376" t="s">
        <v>1053</v>
      </c>
      <c r="I532" s="402">
        <v>346</v>
      </c>
      <c r="J532" s="1506"/>
      <c r="K532" s="912">
        <v>325</v>
      </c>
      <c r="M532" s="519" t="s">
        <v>432</v>
      </c>
      <c r="P532" s="519" t="s">
        <v>616</v>
      </c>
      <c r="W532" s="926">
        <v>0.3</v>
      </c>
      <c r="AZ532" s="925"/>
      <c r="BF532" s="912"/>
      <c r="BI532" s="201"/>
    </row>
    <row r="533" spans="1:61" s="519" customFormat="1" hidden="1">
      <c r="A533" s="112"/>
      <c r="B533" s="203"/>
      <c r="C533" s="133"/>
      <c r="D533" s="133"/>
      <c r="E533" s="115"/>
      <c r="F533" s="157"/>
      <c r="G533" s="376"/>
      <c r="H533" s="376"/>
      <c r="I533" s="402"/>
      <c r="J533" s="1506"/>
      <c r="K533" s="912"/>
      <c r="AZ533" s="925"/>
      <c r="BF533" s="912"/>
      <c r="BI533" s="201"/>
    </row>
    <row r="534" spans="1:61" s="519" customFormat="1" hidden="1">
      <c r="A534" s="112"/>
      <c r="B534" s="203"/>
      <c r="C534" s="133"/>
      <c r="D534" s="133"/>
      <c r="E534" s="115">
        <v>1039</v>
      </c>
      <c r="F534" s="157" t="s">
        <v>588</v>
      </c>
      <c r="G534" s="376">
        <v>15140020</v>
      </c>
      <c r="H534" s="376" t="s">
        <v>1054</v>
      </c>
      <c r="I534" s="402">
        <v>522</v>
      </c>
      <c r="J534" s="1506"/>
      <c r="K534" s="912">
        <v>491</v>
      </c>
      <c r="L534" s="1498">
        <f>VLOOKUP(F534,$P$503:$X$520,8,FALSE)</f>
        <v>1.5</v>
      </c>
      <c r="M534" s="519" t="e">
        <f>VLOOKUP(L534,$E$522:$H$532,3,FALSE)</f>
        <v>#N/A</v>
      </c>
      <c r="N534" s="519" t="e">
        <f>VLOOKUP(L534,$E$522:$H$532,4,FALSE)</f>
        <v>#N/A</v>
      </c>
      <c r="O534" s="519" t="str">
        <f>"Startup Kit "&amp;"- "&amp;E534&amp;" Ink &amp; "&amp;L534&amp;" Solvent"</f>
        <v>Startup Kit - 1039 Ink &amp; 1.5 Solvent</v>
      </c>
      <c r="W534" s="1498">
        <f>VLOOKUP(F534,$P$503:$W$532,7,FALSE)</f>
        <v>0</v>
      </c>
      <c r="X534" s="1498" t="e">
        <f>VLOOKUP(L534,$E$522:$W$532,18,FALSE)</f>
        <v>#N/A</v>
      </c>
      <c r="Y534" s="519" t="str">
        <f>G534&amp;" x "&amp;W534</f>
        <v>15140020 x 0</v>
      </c>
      <c r="Z534" s="519" t="e">
        <f>M534&amp;" x "&amp;X534</f>
        <v>#N/A</v>
      </c>
      <c r="AA534" s="927" t="e">
        <f>Y534&amp;", "&amp;Z534</f>
        <v>#N/A</v>
      </c>
      <c r="AF534" s="519" t="e">
        <f>VLOOKUP(L534,$E$522:$F$532,2,FALSE)</f>
        <v>#N/A</v>
      </c>
      <c r="AZ534" s="925"/>
      <c r="BF534" s="912"/>
      <c r="BI534" s="201"/>
    </row>
    <row r="535" spans="1:61" s="519" customFormat="1" hidden="1">
      <c r="A535" s="112"/>
      <c r="B535" s="203"/>
      <c r="C535" s="133"/>
      <c r="D535" s="133"/>
      <c r="E535" s="115">
        <v>1010</v>
      </c>
      <c r="F535" s="157" t="s">
        <v>589</v>
      </c>
      <c r="G535" s="376" t="s">
        <v>433</v>
      </c>
      <c r="H535" s="376" t="s">
        <v>462</v>
      </c>
      <c r="I535" s="402">
        <v>1104</v>
      </c>
      <c r="J535" s="1506"/>
      <c r="K535" s="912">
        <v>1040</v>
      </c>
      <c r="L535" s="1498">
        <f t="shared" ref="L535:L551" si="131">VLOOKUP(F535,$P$503:$X$520,8,FALSE)</f>
        <v>0.3</v>
      </c>
      <c r="M535" s="519" t="e">
        <f t="shared" ref="M535:M551" si="132">VLOOKUP(L535,$E$522:$H$532,3,FALSE)</f>
        <v>#N/A</v>
      </c>
      <c r="N535" s="519" t="e">
        <f t="shared" ref="N535:N551" si="133">VLOOKUP(L535,$E$522:$H$532,4,FALSE)</f>
        <v>#N/A</v>
      </c>
      <c r="O535" s="519" t="str">
        <f t="shared" ref="O535:O551" si="134">"Startup Kit "&amp;"- "&amp;E535&amp;" Ink &amp; "&amp;L535&amp;" Solvent"</f>
        <v>Startup Kit - 1010 Ink &amp; 0.3 Solvent</v>
      </c>
      <c r="W535" s="1498">
        <f t="shared" ref="W535:W551" si="135">VLOOKUP(F535,$P$503:$W$532,7,FALSE)</f>
        <v>0</v>
      </c>
      <c r="X535" s="1498" t="e">
        <f t="shared" ref="X535:X551" si="136">VLOOKUP(L535,$E$522:$W$532,18,FALSE)</f>
        <v>#N/A</v>
      </c>
      <c r="Y535" s="519" t="str">
        <f t="shared" ref="Y535:Y551" si="137">G535&amp;" x "&amp;W535</f>
        <v>15140022 x 0</v>
      </c>
      <c r="Z535" s="519" t="e">
        <f t="shared" ref="Z535:Z551" si="138">M535&amp;" x "&amp;X535</f>
        <v>#N/A</v>
      </c>
      <c r="AA535" s="927" t="e">
        <f t="shared" ref="AA535:AA551" si="139">Y535&amp;", "&amp;Z535</f>
        <v>#N/A</v>
      </c>
      <c r="AF535" s="519" t="e">
        <f t="shared" ref="AF535:AF551" si="140">VLOOKUP(L535,$E$522:$F$532,2,FALSE)</f>
        <v>#N/A</v>
      </c>
      <c r="AZ535" s="925"/>
      <c r="BF535" s="912"/>
      <c r="BI535" s="201"/>
    </row>
    <row r="536" spans="1:61" s="519" customFormat="1" hidden="1">
      <c r="A536" s="112"/>
      <c r="B536" s="203"/>
      <c r="C536" s="133"/>
      <c r="D536" s="133"/>
      <c r="E536" s="115">
        <v>1014</v>
      </c>
      <c r="F536" s="157" t="s">
        <v>590</v>
      </c>
      <c r="G536" s="376" t="s">
        <v>434</v>
      </c>
      <c r="H536" s="376" t="s">
        <v>463</v>
      </c>
      <c r="I536" s="402">
        <v>280</v>
      </c>
      <c r="J536" s="1506"/>
      <c r="K536" s="912">
        <v>264</v>
      </c>
      <c r="L536" s="1498">
        <f t="shared" si="131"/>
        <v>1.5</v>
      </c>
      <c r="M536" s="519" t="e">
        <f t="shared" si="132"/>
        <v>#N/A</v>
      </c>
      <c r="N536" s="519" t="e">
        <f t="shared" si="133"/>
        <v>#N/A</v>
      </c>
      <c r="O536" s="519" t="str">
        <f t="shared" si="134"/>
        <v>Startup Kit - 1014 Ink &amp; 1.5 Solvent</v>
      </c>
      <c r="W536" s="1498">
        <f t="shared" si="135"/>
        <v>0</v>
      </c>
      <c r="X536" s="1498" t="e">
        <f t="shared" si="136"/>
        <v>#N/A</v>
      </c>
      <c r="Y536" s="519" t="str">
        <f t="shared" si="137"/>
        <v>15140024 x 0</v>
      </c>
      <c r="Z536" s="519" t="e">
        <f t="shared" si="138"/>
        <v>#N/A</v>
      </c>
      <c r="AA536" s="927" t="e">
        <f t="shared" si="139"/>
        <v>#N/A</v>
      </c>
      <c r="AF536" s="519" t="e">
        <f t="shared" si="140"/>
        <v>#N/A</v>
      </c>
      <c r="AZ536" s="925"/>
      <c r="BF536" s="912"/>
      <c r="BI536" s="201"/>
    </row>
    <row r="537" spans="1:61" s="519" customFormat="1" hidden="1">
      <c r="A537" s="112"/>
      <c r="B537" s="203"/>
      <c r="C537" s="133"/>
      <c r="D537" s="133"/>
      <c r="E537" s="115">
        <v>1016</v>
      </c>
      <c r="F537" s="157" t="s">
        <v>591</v>
      </c>
      <c r="G537" s="376" t="s">
        <v>435</v>
      </c>
      <c r="H537" s="376" t="s">
        <v>1055</v>
      </c>
      <c r="I537" s="402">
        <v>1323</v>
      </c>
      <c r="J537" s="1506"/>
      <c r="K537" s="912">
        <v>1208</v>
      </c>
      <c r="L537" s="1498">
        <f t="shared" si="131"/>
        <v>0.3</v>
      </c>
      <c r="M537" s="519" t="e">
        <f t="shared" si="132"/>
        <v>#N/A</v>
      </c>
      <c r="N537" s="519" t="e">
        <f t="shared" si="133"/>
        <v>#N/A</v>
      </c>
      <c r="O537" s="519" t="str">
        <f t="shared" si="134"/>
        <v>Startup Kit - 1016 Ink &amp; 0.3 Solvent</v>
      </c>
      <c r="W537" s="1498">
        <f t="shared" si="135"/>
        <v>0</v>
      </c>
      <c r="X537" s="1498" t="e">
        <f t="shared" si="136"/>
        <v>#N/A</v>
      </c>
      <c r="Y537" s="519" t="str">
        <f t="shared" si="137"/>
        <v>15140025 x 0</v>
      </c>
      <c r="Z537" s="519" t="e">
        <f t="shared" si="138"/>
        <v>#N/A</v>
      </c>
      <c r="AA537" s="927" t="e">
        <f t="shared" si="139"/>
        <v>#N/A</v>
      </c>
      <c r="AF537" s="519" t="e">
        <f t="shared" si="140"/>
        <v>#N/A</v>
      </c>
      <c r="AZ537" s="925"/>
      <c r="BF537" s="912"/>
      <c r="BI537" s="201"/>
    </row>
    <row r="538" spans="1:61" s="519" customFormat="1" hidden="1">
      <c r="A538" s="112"/>
      <c r="B538" s="203"/>
      <c r="C538" s="133"/>
      <c r="D538" s="133"/>
      <c r="E538" s="115">
        <v>1056</v>
      </c>
      <c r="F538" s="157" t="s">
        <v>592</v>
      </c>
      <c r="G538" s="376" t="s">
        <v>436</v>
      </c>
      <c r="H538" s="376" t="s">
        <v>465</v>
      </c>
      <c r="I538" s="402">
        <v>1242</v>
      </c>
      <c r="J538" s="1506"/>
      <c r="K538" s="912">
        <v>1164</v>
      </c>
      <c r="L538" s="1498">
        <f t="shared" si="131"/>
        <v>0.3</v>
      </c>
      <c r="M538" s="519" t="e">
        <f t="shared" si="132"/>
        <v>#N/A</v>
      </c>
      <c r="N538" s="519" t="e">
        <f t="shared" si="133"/>
        <v>#N/A</v>
      </c>
      <c r="O538" s="519" t="str">
        <f t="shared" si="134"/>
        <v>Startup Kit - 1056 Ink &amp; 0.3 Solvent</v>
      </c>
      <c r="W538" s="1498">
        <f t="shared" si="135"/>
        <v>0</v>
      </c>
      <c r="X538" s="1498" t="e">
        <f t="shared" si="136"/>
        <v>#N/A</v>
      </c>
      <c r="Y538" s="519" t="str">
        <f t="shared" si="137"/>
        <v>15140033 x 0</v>
      </c>
      <c r="Z538" s="519" t="e">
        <f t="shared" si="138"/>
        <v>#N/A</v>
      </c>
      <c r="AA538" s="927" t="e">
        <f t="shared" si="139"/>
        <v>#N/A</v>
      </c>
      <c r="AF538" s="519" t="e">
        <f t="shared" si="140"/>
        <v>#N/A</v>
      </c>
      <c r="AZ538" s="925"/>
      <c r="BF538" s="912"/>
      <c r="BI538" s="201"/>
    </row>
    <row r="539" spans="1:61" s="519" customFormat="1" hidden="1">
      <c r="A539" s="112"/>
      <c r="B539" s="203"/>
      <c r="C539" s="133"/>
      <c r="D539" s="133"/>
      <c r="E539" s="115">
        <v>1059</v>
      </c>
      <c r="F539" s="157" t="s">
        <v>593</v>
      </c>
      <c r="G539" s="376" t="s">
        <v>437</v>
      </c>
      <c r="H539" s="376" t="s">
        <v>466</v>
      </c>
      <c r="I539" s="402">
        <v>509</v>
      </c>
      <c r="J539" s="1506"/>
      <c r="K539" s="912">
        <v>479</v>
      </c>
      <c r="L539" s="1498">
        <f t="shared" si="131"/>
        <v>1.5</v>
      </c>
      <c r="M539" s="519" t="e">
        <f t="shared" si="132"/>
        <v>#N/A</v>
      </c>
      <c r="N539" s="519" t="e">
        <f t="shared" si="133"/>
        <v>#N/A</v>
      </c>
      <c r="O539" s="519" t="str">
        <f t="shared" si="134"/>
        <v>Startup Kit - 1059 Ink &amp; 1.5 Solvent</v>
      </c>
      <c r="W539" s="1498">
        <f t="shared" si="135"/>
        <v>0</v>
      </c>
      <c r="X539" s="1498" t="e">
        <f t="shared" si="136"/>
        <v>#N/A</v>
      </c>
      <c r="Y539" s="519" t="str">
        <f t="shared" si="137"/>
        <v>15140034 x 0</v>
      </c>
      <c r="Z539" s="519" t="e">
        <f t="shared" si="138"/>
        <v>#N/A</v>
      </c>
      <c r="AA539" s="927" t="e">
        <f t="shared" si="139"/>
        <v>#N/A</v>
      </c>
      <c r="AF539" s="519" t="e">
        <f t="shared" si="140"/>
        <v>#N/A</v>
      </c>
      <c r="AZ539" s="925"/>
      <c r="BF539" s="912"/>
      <c r="BI539" s="201"/>
    </row>
    <row r="540" spans="1:61" s="519" customFormat="1" hidden="1">
      <c r="A540" s="112"/>
      <c r="B540" s="203"/>
      <c r="C540" s="133"/>
      <c r="D540" s="133"/>
      <c r="E540" s="115">
        <v>1070</v>
      </c>
      <c r="F540" s="157" t="s">
        <v>594</v>
      </c>
      <c r="G540" s="376" t="s">
        <v>438</v>
      </c>
      <c r="H540" s="376" t="s">
        <v>467</v>
      </c>
      <c r="I540" s="402">
        <v>1323</v>
      </c>
      <c r="J540" s="1506"/>
      <c r="K540" s="912">
        <v>1290</v>
      </c>
      <c r="L540" s="1498">
        <f t="shared" si="131"/>
        <v>0.3</v>
      </c>
      <c r="M540" s="519" t="e">
        <f t="shared" si="132"/>
        <v>#N/A</v>
      </c>
      <c r="N540" s="519" t="e">
        <f t="shared" si="133"/>
        <v>#N/A</v>
      </c>
      <c r="O540" s="519" t="str">
        <f t="shared" si="134"/>
        <v>Startup Kit - 1070 Ink &amp; 0.3 Solvent</v>
      </c>
      <c r="W540" s="1498">
        <f t="shared" si="135"/>
        <v>0</v>
      </c>
      <c r="X540" s="1498" t="e">
        <f t="shared" si="136"/>
        <v>#N/A</v>
      </c>
      <c r="Y540" s="519" t="str">
        <f t="shared" si="137"/>
        <v>15140035 x 0</v>
      </c>
      <c r="Z540" s="519" t="e">
        <f t="shared" si="138"/>
        <v>#N/A</v>
      </c>
      <c r="AA540" s="927" t="e">
        <f t="shared" si="139"/>
        <v>#N/A</v>
      </c>
      <c r="AF540" s="519" t="e">
        <f t="shared" si="140"/>
        <v>#N/A</v>
      </c>
      <c r="AZ540" s="925"/>
      <c r="BF540" s="912"/>
      <c r="BI540" s="201"/>
    </row>
    <row r="541" spans="1:61" s="519" customFormat="1" hidden="1">
      <c r="A541" s="112"/>
      <c r="B541" s="203"/>
      <c r="C541" s="133"/>
      <c r="D541" s="133"/>
      <c r="E541" s="115">
        <v>1240</v>
      </c>
      <c r="F541" s="157" t="s">
        <v>595</v>
      </c>
      <c r="G541" s="376" t="s">
        <v>439</v>
      </c>
      <c r="H541" s="376" t="s">
        <v>1056</v>
      </c>
      <c r="I541" s="402">
        <v>861</v>
      </c>
      <c r="J541" s="1506"/>
      <c r="K541" s="912">
        <v>811</v>
      </c>
      <c r="L541" s="1498">
        <f t="shared" si="131"/>
        <v>0.3</v>
      </c>
      <c r="M541" s="519" t="e">
        <f t="shared" si="132"/>
        <v>#N/A</v>
      </c>
      <c r="N541" s="519" t="e">
        <f t="shared" si="133"/>
        <v>#N/A</v>
      </c>
      <c r="O541" s="519" t="str">
        <f t="shared" si="134"/>
        <v>Startup Kit - 1240 Ink &amp; 0.3 Solvent</v>
      </c>
      <c r="W541" s="1498">
        <f t="shared" si="135"/>
        <v>0</v>
      </c>
      <c r="X541" s="1498" t="e">
        <f t="shared" si="136"/>
        <v>#N/A</v>
      </c>
      <c r="Y541" s="519" t="str">
        <f t="shared" si="137"/>
        <v>15140036 x 0</v>
      </c>
      <c r="Z541" s="519" t="e">
        <f t="shared" si="138"/>
        <v>#N/A</v>
      </c>
      <c r="AA541" s="927" t="e">
        <f t="shared" si="139"/>
        <v>#N/A</v>
      </c>
      <c r="AF541" s="519" t="e">
        <f t="shared" si="140"/>
        <v>#N/A</v>
      </c>
      <c r="AZ541" s="925"/>
      <c r="BF541" s="912"/>
      <c r="BI541" s="201"/>
    </row>
    <row r="542" spans="1:61" s="519" customFormat="1" hidden="1">
      <c r="A542" s="112"/>
      <c r="B542" s="203"/>
      <c r="C542" s="133"/>
      <c r="D542" s="133"/>
      <c r="E542" s="115">
        <v>1290</v>
      </c>
      <c r="F542" s="157" t="s">
        <v>596</v>
      </c>
      <c r="G542" s="376" t="s">
        <v>440</v>
      </c>
      <c r="H542" s="376" t="s">
        <v>1057</v>
      </c>
      <c r="I542" s="402">
        <v>1270</v>
      </c>
      <c r="J542" s="1506"/>
      <c r="K542" s="912">
        <v>1169</v>
      </c>
      <c r="L542" s="1498">
        <f t="shared" si="131"/>
        <v>0.3</v>
      </c>
      <c r="M542" s="519" t="e">
        <f t="shared" si="132"/>
        <v>#N/A</v>
      </c>
      <c r="N542" s="519" t="e">
        <f t="shared" si="133"/>
        <v>#N/A</v>
      </c>
      <c r="O542" s="519" t="str">
        <f t="shared" si="134"/>
        <v>Startup Kit - 1290 Ink &amp; 0.3 Solvent</v>
      </c>
      <c r="W542" s="1498">
        <f t="shared" si="135"/>
        <v>0</v>
      </c>
      <c r="X542" s="1498" t="e">
        <f t="shared" si="136"/>
        <v>#N/A</v>
      </c>
      <c r="Y542" s="519" t="str">
        <f t="shared" si="137"/>
        <v>15140037 x 0</v>
      </c>
      <c r="Z542" s="519" t="e">
        <f t="shared" si="138"/>
        <v>#N/A</v>
      </c>
      <c r="AA542" s="927" t="e">
        <f t="shared" si="139"/>
        <v>#N/A</v>
      </c>
      <c r="AF542" s="519" t="e">
        <f t="shared" si="140"/>
        <v>#N/A</v>
      </c>
      <c r="AZ542" s="925"/>
      <c r="BF542" s="912"/>
      <c r="BI542" s="201"/>
    </row>
    <row r="543" spans="1:61" s="519" customFormat="1" hidden="1">
      <c r="A543" s="112"/>
      <c r="B543" s="203"/>
      <c r="C543" s="133"/>
      <c r="D543" s="133"/>
      <c r="E543" s="115">
        <v>1405</v>
      </c>
      <c r="F543" s="157" t="s">
        <v>597</v>
      </c>
      <c r="G543" s="376" t="s">
        <v>441</v>
      </c>
      <c r="H543" s="376" t="s">
        <v>470</v>
      </c>
      <c r="I543" s="402">
        <v>857</v>
      </c>
      <c r="J543" s="1506"/>
      <c r="K543" s="912">
        <v>770</v>
      </c>
      <c r="L543" s="1498">
        <f t="shared" si="131"/>
        <v>0.3</v>
      </c>
      <c r="M543" s="519" t="e">
        <f t="shared" si="132"/>
        <v>#N/A</v>
      </c>
      <c r="N543" s="519" t="e">
        <f t="shared" si="133"/>
        <v>#N/A</v>
      </c>
      <c r="O543" s="519" t="str">
        <f t="shared" si="134"/>
        <v>Startup Kit - 1405 Ink &amp; 0.3 Solvent</v>
      </c>
      <c r="W543" s="1498">
        <f t="shared" si="135"/>
        <v>0</v>
      </c>
      <c r="X543" s="1498" t="e">
        <f t="shared" si="136"/>
        <v>#N/A</v>
      </c>
      <c r="Y543" s="519" t="str">
        <f t="shared" si="137"/>
        <v>15140040 x 0</v>
      </c>
      <c r="Z543" s="519" t="e">
        <f t="shared" si="138"/>
        <v>#N/A</v>
      </c>
      <c r="AA543" s="927" t="e">
        <f t="shared" si="139"/>
        <v>#N/A</v>
      </c>
      <c r="AF543" s="519" t="e">
        <f t="shared" si="140"/>
        <v>#N/A</v>
      </c>
      <c r="AZ543" s="925"/>
      <c r="BF543" s="912"/>
      <c r="BI543" s="201"/>
    </row>
    <row r="544" spans="1:61" s="519" customFormat="1" hidden="1">
      <c r="A544" s="112"/>
      <c r="B544" s="203"/>
      <c r="C544" s="133"/>
      <c r="D544" s="133"/>
      <c r="E544" s="115">
        <v>3103</v>
      </c>
      <c r="F544" s="157" t="s">
        <v>598</v>
      </c>
      <c r="G544" s="376" t="s">
        <v>442</v>
      </c>
      <c r="H544" s="376" t="s">
        <v>1058</v>
      </c>
      <c r="I544" s="402">
        <v>880</v>
      </c>
      <c r="J544" s="1506"/>
      <c r="K544" s="912">
        <v>830</v>
      </c>
      <c r="L544" s="1498">
        <f t="shared" si="131"/>
        <v>0.3</v>
      </c>
      <c r="M544" s="519" t="e">
        <f t="shared" si="132"/>
        <v>#N/A</v>
      </c>
      <c r="N544" s="519" t="e">
        <f t="shared" si="133"/>
        <v>#N/A</v>
      </c>
      <c r="O544" s="519" t="str">
        <f t="shared" si="134"/>
        <v>Startup Kit - 3103 Ink &amp; 0.3 Solvent</v>
      </c>
      <c r="W544" s="1498">
        <f t="shared" si="135"/>
        <v>0</v>
      </c>
      <c r="X544" s="1498" t="e">
        <f t="shared" si="136"/>
        <v>#N/A</v>
      </c>
      <c r="Y544" s="519" t="str">
        <f t="shared" si="137"/>
        <v>15140042 x 0</v>
      </c>
      <c r="Z544" s="519" t="e">
        <f t="shared" si="138"/>
        <v>#N/A</v>
      </c>
      <c r="AA544" s="927" t="e">
        <f t="shared" si="139"/>
        <v>#N/A</v>
      </c>
      <c r="AF544" s="519" t="e">
        <f t="shared" si="140"/>
        <v>#N/A</v>
      </c>
      <c r="AZ544" s="925"/>
      <c r="BF544" s="912"/>
      <c r="BI544" s="201"/>
    </row>
    <row r="545" spans="1:61" s="519" customFormat="1" hidden="1">
      <c r="A545" s="112"/>
      <c r="B545" s="203"/>
      <c r="C545" s="133"/>
      <c r="D545" s="133"/>
      <c r="E545" s="115">
        <v>3123</v>
      </c>
      <c r="F545" s="157" t="s">
        <v>599</v>
      </c>
      <c r="G545" s="376" t="s">
        <v>443</v>
      </c>
      <c r="H545" s="376" t="s">
        <v>472</v>
      </c>
      <c r="I545" s="402">
        <v>288</v>
      </c>
      <c r="J545" s="1506"/>
      <c r="K545" s="912">
        <v>270</v>
      </c>
      <c r="L545" s="1498">
        <f t="shared" si="131"/>
        <v>1.5</v>
      </c>
      <c r="M545" s="519" t="e">
        <f t="shared" si="132"/>
        <v>#N/A</v>
      </c>
      <c r="N545" s="519" t="e">
        <f t="shared" si="133"/>
        <v>#N/A</v>
      </c>
      <c r="O545" s="519" t="str">
        <f t="shared" si="134"/>
        <v>Startup Kit - 3123 Ink &amp; 1.5 Solvent</v>
      </c>
      <c r="W545" s="1498">
        <f t="shared" si="135"/>
        <v>0</v>
      </c>
      <c r="X545" s="1498" t="e">
        <f t="shared" si="136"/>
        <v>#N/A</v>
      </c>
      <c r="Y545" s="519" t="str">
        <f t="shared" si="137"/>
        <v>15140043 x 0</v>
      </c>
      <c r="Z545" s="519" t="e">
        <f t="shared" si="138"/>
        <v>#N/A</v>
      </c>
      <c r="AA545" s="927" t="e">
        <f t="shared" si="139"/>
        <v>#N/A</v>
      </c>
      <c r="AF545" s="519" t="e">
        <f t="shared" si="140"/>
        <v>#N/A</v>
      </c>
      <c r="AZ545" s="925"/>
      <c r="BF545" s="912"/>
      <c r="BI545" s="201"/>
    </row>
    <row r="546" spans="1:61" s="519" customFormat="1" hidden="1">
      <c r="A546" s="112"/>
      <c r="B546" s="203"/>
      <c r="C546" s="133"/>
      <c r="D546" s="133"/>
      <c r="E546" s="115">
        <v>1043</v>
      </c>
      <c r="F546" s="157" t="s">
        <v>600</v>
      </c>
      <c r="G546" s="376" t="s">
        <v>444</v>
      </c>
      <c r="H546" s="376" t="s">
        <v>473</v>
      </c>
      <c r="I546" s="402">
        <v>586</v>
      </c>
      <c r="J546" s="1506"/>
      <c r="K546" s="912">
        <v>547</v>
      </c>
      <c r="L546" s="1498">
        <f t="shared" si="131"/>
        <v>1.5</v>
      </c>
      <c r="M546" s="519" t="e">
        <f t="shared" si="132"/>
        <v>#N/A</v>
      </c>
      <c r="N546" s="519" t="e">
        <f t="shared" si="133"/>
        <v>#N/A</v>
      </c>
      <c r="O546" s="519" t="str">
        <f t="shared" si="134"/>
        <v>Startup Kit - 1043 Ink &amp; 1.5 Solvent</v>
      </c>
      <c r="W546" s="1498">
        <f t="shared" si="135"/>
        <v>0</v>
      </c>
      <c r="X546" s="1498" t="e">
        <f t="shared" si="136"/>
        <v>#N/A</v>
      </c>
      <c r="Y546" s="519" t="str">
        <f t="shared" si="137"/>
        <v>15140054 x 0</v>
      </c>
      <c r="Z546" s="519" t="e">
        <f t="shared" si="138"/>
        <v>#N/A</v>
      </c>
      <c r="AA546" s="927" t="e">
        <f t="shared" si="139"/>
        <v>#N/A</v>
      </c>
      <c r="AF546" s="519" t="e">
        <f t="shared" si="140"/>
        <v>#N/A</v>
      </c>
      <c r="AZ546" s="925"/>
      <c r="BF546" s="912"/>
      <c r="BI546" s="201"/>
    </row>
    <row r="547" spans="1:61" s="519" customFormat="1" hidden="1">
      <c r="A547" s="112"/>
      <c r="B547" s="203"/>
      <c r="C547" s="133"/>
      <c r="D547" s="133"/>
      <c r="E547" s="115">
        <v>1058</v>
      </c>
      <c r="F547" s="157" t="s">
        <v>601</v>
      </c>
      <c r="G547" s="376" t="s">
        <v>445</v>
      </c>
      <c r="H547" s="376" t="s">
        <v>474</v>
      </c>
      <c r="I547" s="402">
        <v>1220</v>
      </c>
      <c r="J547" s="1506"/>
      <c r="K547" s="912">
        <v>1152</v>
      </c>
      <c r="L547" s="1498">
        <f t="shared" si="131"/>
        <v>0.3</v>
      </c>
      <c r="M547" s="519" t="e">
        <f t="shared" si="132"/>
        <v>#N/A</v>
      </c>
      <c r="N547" s="519" t="e">
        <f t="shared" si="133"/>
        <v>#N/A</v>
      </c>
      <c r="O547" s="519" t="str">
        <f t="shared" si="134"/>
        <v>Startup Kit - 1058 Ink &amp; 0.3 Solvent</v>
      </c>
      <c r="W547" s="1498">
        <f t="shared" si="135"/>
        <v>0</v>
      </c>
      <c r="X547" s="1498" t="e">
        <f t="shared" si="136"/>
        <v>#N/A</v>
      </c>
      <c r="Y547" s="519" t="str">
        <f t="shared" si="137"/>
        <v>15140055 x 0</v>
      </c>
      <c r="Z547" s="519" t="e">
        <f t="shared" si="138"/>
        <v>#N/A</v>
      </c>
      <c r="AA547" s="927" t="e">
        <f t="shared" si="139"/>
        <v>#N/A</v>
      </c>
      <c r="AF547" s="519" t="e">
        <f t="shared" si="140"/>
        <v>#N/A</v>
      </c>
      <c r="AZ547" s="925"/>
      <c r="BF547" s="912"/>
      <c r="BI547" s="201"/>
    </row>
    <row r="548" spans="1:61" s="519" customFormat="1" hidden="1">
      <c r="A548" s="112"/>
      <c r="B548" s="203"/>
      <c r="C548" s="133"/>
      <c r="D548" s="133"/>
      <c r="E548" s="115">
        <v>2250</v>
      </c>
      <c r="F548" s="157" t="s">
        <v>602</v>
      </c>
      <c r="G548" s="376" t="s">
        <v>446</v>
      </c>
      <c r="H548" s="376" t="s">
        <v>1059</v>
      </c>
      <c r="I548" s="402">
        <v>925</v>
      </c>
      <c r="J548" s="1506"/>
      <c r="K548" s="912">
        <v>859</v>
      </c>
      <c r="L548" s="1498">
        <f t="shared" si="131"/>
        <v>0.3</v>
      </c>
      <c r="M548" s="519" t="e">
        <f t="shared" si="132"/>
        <v>#N/A</v>
      </c>
      <c r="N548" s="519" t="e">
        <f t="shared" si="133"/>
        <v>#N/A</v>
      </c>
      <c r="O548" s="519" t="str">
        <f t="shared" si="134"/>
        <v>Startup Kit - 2250 Ink &amp; 0.3 Solvent</v>
      </c>
      <c r="W548" s="1498">
        <f t="shared" si="135"/>
        <v>0</v>
      </c>
      <c r="X548" s="1498" t="e">
        <f t="shared" si="136"/>
        <v>#N/A</v>
      </c>
      <c r="Y548" s="519" t="str">
        <f t="shared" si="137"/>
        <v>15140057 x 0</v>
      </c>
      <c r="Z548" s="519" t="e">
        <f t="shared" si="138"/>
        <v>#N/A</v>
      </c>
      <c r="AA548" s="927" t="e">
        <f t="shared" si="139"/>
        <v>#N/A</v>
      </c>
      <c r="AF548" s="519" t="e">
        <f t="shared" si="140"/>
        <v>#N/A</v>
      </c>
      <c r="AZ548" s="925"/>
      <c r="BF548" s="912"/>
      <c r="BI548" s="201"/>
    </row>
    <row r="549" spans="1:61" s="519" customFormat="1" hidden="1">
      <c r="A549" s="112"/>
      <c r="B549" s="203"/>
      <c r="C549" s="133"/>
      <c r="D549" s="133"/>
      <c r="E549" s="115">
        <v>1280</v>
      </c>
      <c r="F549" s="157" t="s">
        <v>603</v>
      </c>
      <c r="G549" s="376" t="s">
        <v>447</v>
      </c>
      <c r="H549" s="376" t="s">
        <v>476</v>
      </c>
      <c r="I549" s="402">
        <v>1270</v>
      </c>
      <c r="J549" s="1506"/>
      <c r="K549" s="912">
        <v>1169</v>
      </c>
      <c r="L549" s="1498">
        <f t="shared" si="131"/>
        <v>0.3</v>
      </c>
      <c r="M549" s="519" t="e">
        <f t="shared" si="132"/>
        <v>#N/A</v>
      </c>
      <c r="N549" s="519" t="e">
        <f t="shared" si="133"/>
        <v>#N/A</v>
      </c>
      <c r="O549" s="519" t="str">
        <f t="shared" si="134"/>
        <v>Startup Kit - 1280 Ink &amp; 0.3 Solvent</v>
      </c>
      <c r="W549" s="1498">
        <f t="shared" si="135"/>
        <v>0</v>
      </c>
      <c r="X549" s="1498" t="e">
        <f t="shared" si="136"/>
        <v>#N/A</v>
      </c>
      <c r="Y549" s="519" t="str">
        <f t="shared" si="137"/>
        <v>15140058 x 0</v>
      </c>
      <c r="Z549" s="519" t="e">
        <f t="shared" si="138"/>
        <v>#N/A</v>
      </c>
      <c r="AA549" s="927" t="e">
        <f t="shared" si="139"/>
        <v>#N/A</v>
      </c>
      <c r="AF549" s="519" t="e">
        <f t="shared" si="140"/>
        <v>#N/A</v>
      </c>
      <c r="AZ549" s="925"/>
      <c r="BF549" s="912"/>
      <c r="BI549" s="201"/>
    </row>
    <row r="550" spans="1:61" s="519" customFormat="1" hidden="1">
      <c r="A550" s="112"/>
      <c r="B550" s="203"/>
      <c r="C550" s="133"/>
      <c r="D550" s="133"/>
      <c r="E550" s="115">
        <v>1306</v>
      </c>
      <c r="F550" s="157" t="s">
        <v>604</v>
      </c>
      <c r="G550" s="376" t="s">
        <v>448</v>
      </c>
      <c r="H550" s="376" t="s">
        <v>477</v>
      </c>
      <c r="I550" s="402">
        <v>574</v>
      </c>
      <c r="J550" s="1506"/>
      <c r="K550" s="912">
        <v>2317</v>
      </c>
      <c r="L550" s="1498">
        <f t="shared" si="131"/>
        <v>1.5</v>
      </c>
      <c r="M550" s="519" t="e">
        <f t="shared" si="132"/>
        <v>#N/A</v>
      </c>
      <c r="N550" s="519" t="e">
        <f t="shared" si="133"/>
        <v>#N/A</v>
      </c>
      <c r="O550" s="519" t="str">
        <f t="shared" si="134"/>
        <v>Startup Kit - 1306 Ink &amp; 1.5 Solvent</v>
      </c>
      <c r="W550" s="1498">
        <f t="shared" si="135"/>
        <v>0</v>
      </c>
      <c r="X550" s="1498" t="e">
        <f t="shared" si="136"/>
        <v>#N/A</v>
      </c>
      <c r="Y550" s="519" t="str">
        <f t="shared" si="137"/>
        <v>15140061 x 0</v>
      </c>
      <c r="Z550" s="519" t="e">
        <f t="shared" si="138"/>
        <v>#N/A</v>
      </c>
      <c r="AA550" s="927" t="e">
        <f t="shared" si="139"/>
        <v>#N/A</v>
      </c>
      <c r="AF550" s="519" t="e">
        <f t="shared" si="140"/>
        <v>#N/A</v>
      </c>
      <c r="AZ550" s="925"/>
      <c r="BF550" s="912"/>
      <c r="BI550" s="201"/>
    </row>
    <row r="551" spans="1:61" s="519" customFormat="1" hidden="1">
      <c r="A551" s="112"/>
      <c r="B551" s="203"/>
      <c r="C551" s="133"/>
      <c r="D551" s="133"/>
      <c r="E551" s="115">
        <v>1311</v>
      </c>
      <c r="F551" s="157" t="s">
        <v>605</v>
      </c>
      <c r="G551" s="376" t="s">
        <v>449</v>
      </c>
      <c r="H551" s="376" t="s">
        <v>478</v>
      </c>
      <c r="I551" s="402">
        <v>570</v>
      </c>
      <c r="J551" s="1506"/>
      <c r="K551" s="912">
        <v>2317</v>
      </c>
      <c r="L551" s="1498">
        <f t="shared" si="131"/>
        <v>1.5</v>
      </c>
      <c r="M551" s="519" t="e">
        <f t="shared" si="132"/>
        <v>#N/A</v>
      </c>
      <c r="N551" s="519" t="e">
        <f t="shared" si="133"/>
        <v>#N/A</v>
      </c>
      <c r="O551" s="519" t="str">
        <f t="shared" si="134"/>
        <v>Startup Kit - 1311 Ink &amp; 1.5 Solvent</v>
      </c>
      <c r="W551" s="1498">
        <f t="shared" si="135"/>
        <v>0</v>
      </c>
      <c r="X551" s="1498" t="e">
        <f t="shared" si="136"/>
        <v>#N/A</v>
      </c>
      <c r="Y551" s="519" t="str">
        <f t="shared" si="137"/>
        <v>15140062 x 0</v>
      </c>
      <c r="Z551" s="519" t="e">
        <f t="shared" si="138"/>
        <v>#N/A</v>
      </c>
      <c r="AA551" s="927" t="e">
        <f t="shared" si="139"/>
        <v>#N/A</v>
      </c>
      <c r="AF551" s="519" t="e">
        <f t="shared" si="140"/>
        <v>#N/A</v>
      </c>
      <c r="AZ551" s="925"/>
      <c r="BF551" s="912"/>
      <c r="BI551" s="201"/>
    </row>
    <row r="552" spans="1:61" s="519" customFormat="1" hidden="1">
      <c r="A552" s="112"/>
      <c r="B552" s="203"/>
      <c r="C552" s="133"/>
      <c r="D552" s="133"/>
      <c r="E552" s="115"/>
      <c r="F552" s="157"/>
      <c r="G552" s="376"/>
      <c r="H552" s="376"/>
      <c r="I552" s="402"/>
      <c r="J552" s="1506"/>
      <c r="K552" s="912"/>
      <c r="L552" s="1498"/>
      <c r="W552" s="1498"/>
      <c r="X552" s="1498"/>
      <c r="AA552" s="927"/>
      <c r="AZ552" s="925"/>
      <c r="BF552" s="912"/>
      <c r="BI552" s="201"/>
    </row>
    <row r="553" spans="1:61" s="519" customFormat="1" hidden="1">
      <c r="A553" s="112"/>
      <c r="B553" s="203"/>
      <c r="C553" s="133"/>
      <c r="D553" s="133"/>
      <c r="E553" s="1376"/>
      <c r="F553" s="157"/>
      <c r="G553" s="376"/>
      <c r="H553" s="376"/>
      <c r="I553" s="402"/>
      <c r="J553" s="1506"/>
      <c r="K553" s="912"/>
      <c r="L553" s="1498"/>
      <c r="W553" s="1498"/>
      <c r="X553" s="1498"/>
      <c r="AA553" s="927"/>
      <c r="AZ553" s="925"/>
      <c r="BF553" s="912"/>
      <c r="BI553" s="201"/>
    </row>
    <row r="554" spans="1:61" s="519" customFormat="1" hidden="1">
      <c r="A554" s="112"/>
      <c r="B554" s="203"/>
      <c r="C554" s="133"/>
      <c r="D554" s="133"/>
      <c r="E554" s="1376"/>
      <c r="F554" s="157"/>
      <c r="G554" s="207"/>
      <c r="H554" s="207"/>
      <c r="I554" s="402"/>
      <c r="J554" s="1506"/>
      <c r="K554" s="1510" t="s">
        <v>1299</v>
      </c>
      <c r="L554" s="1526" t="s">
        <v>1298</v>
      </c>
      <c r="AZ554" s="925"/>
      <c r="BF554" s="912"/>
      <c r="BI554" s="201"/>
    </row>
    <row r="555" spans="1:61" s="519" customFormat="1" hidden="1">
      <c r="A555" s="112"/>
      <c r="B555" s="203"/>
      <c r="C555" s="204" t="s">
        <v>1295</v>
      </c>
      <c r="D555" s="204" t="s">
        <v>1296</v>
      </c>
      <c r="E555" s="1376"/>
      <c r="F555" s="157" t="s">
        <v>1244</v>
      </c>
      <c r="G555" s="376">
        <v>15140077</v>
      </c>
      <c r="H555" s="376" t="s">
        <v>1220</v>
      </c>
      <c r="I555" s="1372">
        <v>1254</v>
      </c>
      <c r="J555" s="1506"/>
      <c r="K555" s="912" t="s">
        <v>1243</v>
      </c>
      <c r="L555" s="1527" t="s">
        <v>1309</v>
      </c>
      <c r="AZ555" s="925"/>
      <c r="BF555" s="912"/>
      <c r="BI555" s="201"/>
    </row>
    <row r="556" spans="1:61" s="519" customFormat="1" hidden="1">
      <c r="A556" s="112"/>
      <c r="B556" s="203"/>
      <c r="C556" s="204"/>
      <c r="D556" s="204"/>
      <c r="E556" s="1376"/>
      <c r="F556" s="157" t="s">
        <v>1243</v>
      </c>
      <c r="G556" s="376">
        <v>16140057</v>
      </c>
      <c r="H556" s="376" t="s">
        <v>1221</v>
      </c>
      <c r="I556" s="402">
        <v>379</v>
      </c>
      <c r="J556" s="1506"/>
      <c r="K556" s="912"/>
      <c r="L556" s="1527"/>
      <c r="AZ556" s="925"/>
      <c r="BF556" s="912"/>
      <c r="BI556" s="201"/>
    </row>
    <row r="557" spans="1:61" s="519" customFormat="1" hidden="1">
      <c r="A557" s="112"/>
      <c r="B557" s="203"/>
      <c r="C557" s="204"/>
      <c r="D557" s="204"/>
      <c r="E557" s="1376"/>
      <c r="F557" s="196" t="s">
        <v>1297</v>
      </c>
      <c r="G557" s="376">
        <v>15140082</v>
      </c>
      <c r="H557" s="376" t="s">
        <v>1300</v>
      </c>
      <c r="I557" s="1372">
        <v>1804</v>
      </c>
      <c r="J557" s="1506"/>
      <c r="K557" s="912" t="s">
        <v>1288</v>
      </c>
      <c r="L557" s="1527" t="s">
        <v>1311</v>
      </c>
      <c r="AZ557" s="925"/>
      <c r="BF557" s="912"/>
      <c r="BI557" s="201"/>
    </row>
    <row r="558" spans="1:61" s="519" customFormat="1" hidden="1">
      <c r="A558" s="112"/>
      <c r="B558" s="203"/>
      <c r="C558" s="204"/>
      <c r="D558" s="204"/>
      <c r="E558" s="1376"/>
      <c r="F558" s="192" t="s">
        <v>1288</v>
      </c>
      <c r="G558" s="376">
        <v>16140060</v>
      </c>
      <c r="H558" s="376" t="s">
        <v>1303</v>
      </c>
      <c r="I558" s="1372">
        <v>1296</v>
      </c>
      <c r="J558" s="1506"/>
      <c r="K558" s="912"/>
      <c r="L558" s="1527"/>
      <c r="AZ558" s="925"/>
      <c r="BF558" s="912"/>
      <c r="BI558" s="201"/>
    </row>
    <row r="559" spans="1:61" s="519" customFormat="1" hidden="1">
      <c r="A559" s="112"/>
      <c r="B559" s="203"/>
      <c r="C559" s="204"/>
      <c r="D559" s="204"/>
      <c r="E559" s="1376"/>
      <c r="F559" s="192" t="s">
        <v>1289</v>
      </c>
      <c r="G559" s="376">
        <v>15140084</v>
      </c>
      <c r="H559" s="376" t="s">
        <v>1307</v>
      </c>
      <c r="I559" s="1372">
        <v>1252</v>
      </c>
      <c r="J559" s="1506"/>
      <c r="K559" s="912" t="s">
        <v>1290</v>
      </c>
      <c r="L559" s="1527" t="s">
        <v>1313</v>
      </c>
      <c r="AZ559" s="925"/>
      <c r="BF559" s="912"/>
      <c r="BI559" s="201"/>
    </row>
    <row r="560" spans="1:61" s="519" customFormat="1" hidden="1">
      <c r="A560" s="112"/>
      <c r="B560" s="203"/>
      <c r="C560" s="204"/>
      <c r="D560" s="204"/>
      <c r="E560" s="1376"/>
      <c r="F560" s="192" t="s">
        <v>1290</v>
      </c>
      <c r="G560" s="376">
        <v>16140063</v>
      </c>
      <c r="H560" s="376" t="s">
        <v>1304</v>
      </c>
      <c r="I560" s="1372">
        <v>368</v>
      </c>
      <c r="J560" s="1506"/>
      <c r="K560" s="912"/>
      <c r="L560" s="1527"/>
      <c r="AZ560" s="925"/>
      <c r="BF560" s="912"/>
      <c r="BI560" s="201"/>
    </row>
    <row r="561" spans="1:61" s="519" customFormat="1" hidden="1">
      <c r="A561" s="112"/>
      <c r="B561" s="203"/>
      <c r="C561" s="204"/>
      <c r="D561" s="204"/>
      <c r="E561" s="1376"/>
      <c r="F561" s="1127" t="s">
        <v>1457</v>
      </c>
      <c r="G561" s="376">
        <v>15140083</v>
      </c>
      <c r="H561" s="376" t="s">
        <v>1301</v>
      </c>
      <c r="I561" s="1372">
        <v>1870</v>
      </c>
      <c r="J561" s="1506"/>
      <c r="K561" s="912" t="s">
        <v>1291</v>
      </c>
      <c r="L561" s="1527" t="s">
        <v>1309</v>
      </c>
      <c r="AZ561" s="925"/>
      <c r="BF561" s="912"/>
      <c r="BI561" s="201"/>
    </row>
    <row r="562" spans="1:61" s="519" customFormat="1" hidden="1">
      <c r="A562" s="112"/>
      <c r="B562" s="203"/>
      <c r="C562" s="204"/>
      <c r="D562" s="204"/>
      <c r="E562" s="1376"/>
      <c r="F562" s="192" t="s">
        <v>1291</v>
      </c>
      <c r="G562" s="376">
        <v>16140061</v>
      </c>
      <c r="H562" s="376" t="s">
        <v>1305</v>
      </c>
      <c r="I562" s="1372">
        <v>574</v>
      </c>
      <c r="J562" s="1506"/>
      <c r="K562" s="912"/>
      <c r="L562" s="1527"/>
      <c r="AZ562" s="925"/>
      <c r="BF562" s="912"/>
      <c r="BI562" s="201"/>
    </row>
    <row r="563" spans="1:61" s="519" customFormat="1" hidden="1">
      <c r="A563" s="112"/>
      <c r="B563" s="203"/>
      <c r="C563" s="204"/>
      <c r="D563" s="204"/>
      <c r="E563" s="1376"/>
      <c r="F563" s="192" t="s">
        <v>1292</v>
      </c>
      <c r="G563" s="376">
        <v>15140088</v>
      </c>
      <c r="H563" s="376" t="s">
        <v>1306</v>
      </c>
      <c r="I563" s="1372">
        <v>1810</v>
      </c>
      <c r="J563" s="1506"/>
      <c r="K563" s="912" t="s">
        <v>1293</v>
      </c>
      <c r="L563" s="1527" t="s">
        <v>1311</v>
      </c>
      <c r="AZ563" s="925"/>
      <c r="BF563" s="912"/>
      <c r="BI563" s="201"/>
    </row>
    <row r="564" spans="1:61" s="519" customFormat="1" hidden="1">
      <c r="A564" s="112"/>
      <c r="B564" s="203"/>
      <c r="C564" s="204"/>
      <c r="D564" s="204"/>
      <c r="E564" s="1376"/>
      <c r="F564" s="192" t="s">
        <v>1293</v>
      </c>
      <c r="G564" s="376">
        <v>16140068</v>
      </c>
      <c r="H564" s="376" t="s">
        <v>1302</v>
      </c>
      <c r="I564" s="1372">
        <v>573</v>
      </c>
      <c r="J564" s="1506"/>
      <c r="K564" s="912"/>
      <c r="L564" s="1527"/>
      <c r="AZ564" s="925"/>
      <c r="BF564" s="912"/>
      <c r="BI564" s="201"/>
    </row>
    <row r="565" spans="1:61" s="519" customFormat="1" hidden="1">
      <c r="A565" s="112"/>
      <c r="B565" s="203"/>
      <c r="C565" s="204"/>
      <c r="D565" s="204"/>
      <c r="E565" s="1376"/>
      <c r="F565" s="192" t="s">
        <v>1294</v>
      </c>
      <c r="G565" s="376">
        <v>15140057</v>
      </c>
      <c r="H565" s="376" t="s">
        <v>1308</v>
      </c>
      <c r="I565" s="1372">
        <v>1125</v>
      </c>
      <c r="J565" s="1506"/>
      <c r="K565" s="912" t="s">
        <v>432</v>
      </c>
      <c r="L565" s="1527" t="s">
        <v>1311</v>
      </c>
      <c r="AZ565" s="925"/>
      <c r="BF565" s="912"/>
      <c r="BI565" s="201"/>
    </row>
    <row r="566" spans="1:61" s="519" customFormat="1" hidden="1">
      <c r="A566" s="112"/>
      <c r="B566" s="203"/>
      <c r="C566" s="204"/>
      <c r="D566" s="204"/>
      <c r="E566" s="1376"/>
      <c r="F566" s="192" t="s">
        <v>432</v>
      </c>
      <c r="G566" s="376">
        <v>16140052</v>
      </c>
      <c r="H566" s="376" t="s">
        <v>1053</v>
      </c>
      <c r="I566" s="1372">
        <v>423</v>
      </c>
      <c r="J566" s="1506"/>
      <c r="K566" s="912"/>
      <c r="AZ566" s="925"/>
      <c r="BF566" s="912"/>
      <c r="BI566" s="201"/>
    </row>
    <row r="567" spans="1:61" s="519" customFormat="1" hidden="1">
      <c r="A567" s="112"/>
      <c r="B567" s="203"/>
      <c r="C567" s="204"/>
      <c r="D567" s="204"/>
      <c r="E567" s="1376"/>
      <c r="F567" s="192"/>
      <c r="G567" s="376"/>
      <c r="H567" s="376"/>
      <c r="I567" s="1372"/>
      <c r="J567" s="1506"/>
      <c r="K567" s="912"/>
      <c r="AZ567" s="925"/>
      <c r="BF567" s="912"/>
      <c r="BI567" s="201"/>
    </row>
    <row r="568" spans="1:61" s="519" customFormat="1" hidden="1">
      <c r="A568" s="112"/>
      <c r="B568" s="203"/>
      <c r="C568" s="204"/>
      <c r="D568" s="204"/>
      <c r="E568" s="1376"/>
      <c r="F568" s="1377" t="s">
        <v>1467</v>
      </c>
      <c r="G568" s="376">
        <v>15140086</v>
      </c>
      <c r="H568" s="1128" t="s">
        <v>1468</v>
      </c>
      <c r="I568" s="1128">
        <v>1609</v>
      </c>
      <c r="J568" s="1506"/>
      <c r="K568" s="912" t="s">
        <v>1291</v>
      </c>
      <c r="L568" s="1527" t="s">
        <v>1309</v>
      </c>
      <c r="AZ568" s="925"/>
      <c r="BF568" s="912"/>
      <c r="BI568" s="201"/>
    </row>
    <row r="569" spans="1:61" s="519" customFormat="1" hidden="1">
      <c r="A569" s="112"/>
      <c r="B569" s="203"/>
      <c r="C569" s="204"/>
      <c r="D569" s="204"/>
      <c r="E569" s="1376"/>
      <c r="F569" s="192" t="s">
        <v>1291</v>
      </c>
      <c r="G569" s="376">
        <v>16140061</v>
      </c>
      <c r="H569" s="376" t="s">
        <v>1305</v>
      </c>
      <c r="I569" s="1372">
        <v>574</v>
      </c>
      <c r="J569" s="1506"/>
      <c r="K569" s="912"/>
      <c r="AZ569" s="925"/>
      <c r="BF569" s="912"/>
      <c r="BI569" s="201"/>
    </row>
    <row r="570" spans="1:61" s="519" customFormat="1" hidden="1">
      <c r="A570" s="112"/>
      <c r="B570" s="203"/>
      <c r="C570" s="204"/>
      <c r="D570" s="204"/>
      <c r="E570" s="1376"/>
      <c r="F570" s="1377" t="s">
        <v>1469</v>
      </c>
      <c r="G570" s="376">
        <v>15140080</v>
      </c>
      <c r="H570" s="1128" t="s">
        <v>1470</v>
      </c>
      <c r="I570" s="1128">
        <v>2003</v>
      </c>
      <c r="J570" s="1506"/>
      <c r="K570" s="912" t="s">
        <v>1288</v>
      </c>
      <c r="L570" s="1527" t="s">
        <v>1311</v>
      </c>
      <c r="AZ570" s="925"/>
      <c r="BF570" s="912"/>
      <c r="BI570" s="201"/>
    </row>
    <row r="571" spans="1:61" s="519" customFormat="1" hidden="1">
      <c r="A571" s="112"/>
      <c r="B571" s="203"/>
      <c r="C571" s="204"/>
      <c r="D571" s="204"/>
      <c r="E571" s="1376"/>
      <c r="F571" s="192" t="s">
        <v>1288</v>
      </c>
      <c r="G571" s="376">
        <v>16140060</v>
      </c>
      <c r="H571" s="376" t="s">
        <v>1303</v>
      </c>
      <c r="I571" s="1372">
        <v>1296</v>
      </c>
      <c r="J571" s="1506"/>
      <c r="K571" s="912"/>
      <c r="AZ571" s="925"/>
      <c r="BF571" s="912"/>
      <c r="BI571" s="201"/>
    </row>
    <row r="572" spans="1:61" s="519" customFormat="1" hidden="1">
      <c r="A572" s="112"/>
      <c r="B572" s="203"/>
      <c r="C572" s="204"/>
      <c r="D572" s="204"/>
      <c r="E572" s="1376"/>
      <c r="F572" s="1377" t="s">
        <v>1471</v>
      </c>
      <c r="G572" s="376">
        <v>15140093</v>
      </c>
      <c r="H572" s="1128" t="s">
        <v>1472</v>
      </c>
      <c r="I572" s="1128">
        <v>1172</v>
      </c>
      <c r="J572" s="1506"/>
      <c r="K572" s="912" t="s">
        <v>1473</v>
      </c>
      <c r="L572" s="519" t="s">
        <v>1475</v>
      </c>
      <c r="AZ572" s="925"/>
      <c r="BF572" s="912"/>
      <c r="BI572" s="201"/>
    </row>
    <row r="573" spans="1:61" s="519" customFormat="1" hidden="1">
      <c r="A573" s="112"/>
      <c r="B573" s="203"/>
      <c r="C573" s="204"/>
      <c r="D573" s="204"/>
      <c r="E573" s="1376"/>
      <c r="F573" s="192" t="s">
        <v>1473</v>
      </c>
      <c r="G573" s="376">
        <v>16140076</v>
      </c>
      <c r="H573" s="1128" t="s">
        <v>1474</v>
      </c>
      <c r="I573" s="1128">
        <v>342</v>
      </c>
      <c r="J573" s="1506"/>
      <c r="K573" s="912"/>
      <c r="AZ573" s="925"/>
      <c r="BF573" s="912"/>
      <c r="BI573" s="201"/>
    </row>
    <row r="574" spans="1:61" s="519" customFormat="1" hidden="1">
      <c r="A574" s="112"/>
      <c r="B574" s="203"/>
      <c r="C574" s="204"/>
      <c r="D574" s="204"/>
      <c r="E574" s="1376"/>
      <c r="F574" s="376"/>
      <c r="G574" s="376"/>
      <c r="H574" s="1128"/>
      <c r="I574" s="1128"/>
      <c r="J574" s="1506"/>
      <c r="K574" s="912"/>
      <c r="AZ574" s="925"/>
      <c r="BF574" s="912"/>
      <c r="BI574" s="201"/>
    </row>
    <row r="575" spans="1:61" s="519" customFormat="1" hidden="1">
      <c r="A575" s="112"/>
      <c r="B575" s="203"/>
      <c r="C575" s="204"/>
      <c r="D575" s="204"/>
      <c r="E575" s="1376"/>
      <c r="F575" s="376"/>
      <c r="G575" s="376"/>
      <c r="H575" s="1128"/>
      <c r="I575" s="1128"/>
      <c r="J575" s="1506"/>
      <c r="K575" s="912"/>
      <c r="AZ575" s="925"/>
      <c r="BF575" s="912"/>
      <c r="BI575" s="201"/>
    </row>
    <row r="576" spans="1:61" s="519" customFormat="1" hidden="1">
      <c r="A576" s="112"/>
      <c r="B576" s="203"/>
      <c r="C576" s="204"/>
      <c r="D576" s="204"/>
      <c r="E576" s="1376"/>
      <c r="F576" s="157"/>
      <c r="G576" s="376"/>
      <c r="H576" s="376"/>
      <c r="I576" s="402"/>
      <c r="J576" s="1506"/>
      <c r="K576" s="912"/>
      <c r="AZ576" s="925"/>
      <c r="BF576" s="912"/>
      <c r="BI576" s="201"/>
    </row>
    <row r="577" spans="1:61" s="519" customFormat="1" hidden="1">
      <c r="A577" s="112"/>
      <c r="B577" s="203"/>
      <c r="C577" s="204"/>
      <c r="D577" s="1133" t="s">
        <v>1316</v>
      </c>
      <c r="E577" s="1376"/>
      <c r="F577" s="157" t="s">
        <v>1244</v>
      </c>
      <c r="G577" s="376">
        <f>VLOOKUP(F577,$F$555:$G$566,2,FALSE)</f>
        <v>15140077</v>
      </c>
      <c r="H577" s="1128" t="str">
        <f>VLOOKUP($F577,$F$555:$I$566,3,FALSE)</f>
        <v>FAC1240/5L</v>
      </c>
      <c r="I577" s="1373">
        <f>VLOOKUP($F577,$F$555:$I$566,4,FALSE)</f>
        <v>1254</v>
      </c>
      <c r="J577" s="1506"/>
      <c r="K577" s="912"/>
      <c r="AZ577" s="925"/>
      <c r="BF577" s="912"/>
      <c r="BI577" s="201"/>
    </row>
    <row r="578" spans="1:61" s="519" customFormat="1" hidden="1">
      <c r="A578" s="112"/>
      <c r="B578" s="203"/>
      <c r="C578" s="204"/>
      <c r="D578" s="204"/>
      <c r="E578" s="1376"/>
      <c r="F578" s="196" t="s">
        <v>1297</v>
      </c>
      <c r="G578" s="376">
        <f t="shared" ref="G578:G584" si="141">VLOOKUP(F578,$F$555:$G$566,2,FALSE)</f>
        <v>15140082</v>
      </c>
      <c r="H578" s="1128" t="str">
        <f t="shared" ref="H578:H584" si="142">VLOOKUP($F578,$F$555:$I$566,3,FALSE)</f>
        <v xml:space="preserve">FAC1291/5L </v>
      </c>
      <c r="I578" s="1373">
        <v>1804</v>
      </c>
      <c r="J578" s="1506"/>
      <c r="K578" s="912"/>
      <c r="AZ578" s="925"/>
      <c r="BF578" s="912"/>
      <c r="BI578" s="201"/>
    </row>
    <row r="579" spans="1:61" s="519" customFormat="1" hidden="1">
      <c r="A579" s="112"/>
      <c r="B579" s="203"/>
      <c r="C579" s="204"/>
      <c r="D579" s="204"/>
      <c r="E579" s="1376"/>
      <c r="F579" s="192" t="s">
        <v>1289</v>
      </c>
      <c r="G579" s="376">
        <f t="shared" si="141"/>
        <v>15140084</v>
      </c>
      <c r="H579" s="1128" t="str">
        <f t="shared" si="142"/>
        <v>FAC3103/5</v>
      </c>
      <c r="I579" s="1128">
        <f t="shared" ref="I579:I584" si="143">VLOOKUP($F579,$F$555:$I$566,4,FALSE)</f>
        <v>1252</v>
      </c>
      <c r="J579" s="1506"/>
      <c r="K579" s="912"/>
      <c r="AZ579" s="925"/>
      <c r="BF579" s="912"/>
      <c r="BI579" s="201"/>
    </row>
    <row r="580" spans="1:61" s="519" customFormat="1" hidden="1">
      <c r="A580" s="112"/>
      <c r="B580" s="203"/>
      <c r="C580" s="204"/>
      <c r="D580" s="204"/>
      <c r="E580" s="1376"/>
      <c r="F580" s="1377" t="s">
        <v>1467</v>
      </c>
      <c r="G580" s="376">
        <v>15140086</v>
      </c>
      <c r="H580" s="1128" t="s">
        <v>1468</v>
      </c>
      <c r="I580" s="1128">
        <v>1609</v>
      </c>
      <c r="J580" s="1506"/>
      <c r="K580" s="912"/>
      <c r="AZ580" s="925"/>
      <c r="BF580" s="912"/>
      <c r="BI580" s="201"/>
    </row>
    <row r="581" spans="1:61" s="519" customFormat="1" hidden="1">
      <c r="A581" s="112"/>
      <c r="B581" s="203"/>
      <c r="C581" s="204"/>
      <c r="D581" s="204"/>
      <c r="E581" s="1376"/>
      <c r="F581" s="192" t="s">
        <v>1292</v>
      </c>
      <c r="G581" s="376">
        <f t="shared" si="141"/>
        <v>15140088</v>
      </c>
      <c r="H581" s="1128" t="str">
        <f t="shared" si="142"/>
        <v>FAC1056/5L</v>
      </c>
      <c r="I581" s="1128">
        <f t="shared" si="143"/>
        <v>1810</v>
      </c>
      <c r="J581" s="1506"/>
      <c r="K581" s="912"/>
      <c r="AZ581" s="925"/>
      <c r="BF581" s="912"/>
      <c r="BI581" s="201"/>
    </row>
    <row r="582" spans="1:61" s="519" customFormat="1" hidden="1">
      <c r="A582" s="112"/>
      <c r="B582" s="203"/>
      <c r="C582" s="204"/>
      <c r="D582" s="204"/>
      <c r="E582" s="1376"/>
      <c r="F582" s="1377" t="s">
        <v>1469</v>
      </c>
      <c r="G582" s="376">
        <v>15140080</v>
      </c>
      <c r="H582" s="1128" t="s">
        <v>1470</v>
      </c>
      <c r="I582" s="1128">
        <v>2003</v>
      </c>
      <c r="J582" s="1506"/>
      <c r="K582" s="912"/>
      <c r="AZ582" s="925"/>
      <c r="BF582" s="912"/>
      <c r="BI582" s="201"/>
    </row>
    <row r="583" spans="1:61" s="519" customFormat="1" hidden="1">
      <c r="A583" s="112"/>
      <c r="B583" s="203"/>
      <c r="C583" s="204"/>
      <c r="D583" s="204"/>
      <c r="E583" s="1376"/>
      <c r="F583" s="1377" t="s">
        <v>1471</v>
      </c>
      <c r="G583" s="376">
        <v>15140093</v>
      </c>
      <c r="H583" s="1128" t="s">
        <v>1472</v>
      </c>
      <c r="I583" s="1128">
        <v>1172</v>
      </c>
      <c r="J583" s="1506"/>
      <c r="K583" s="912"/>
      <c r="AZ583" s="925"/>
      <c r="BF583" s="912"/>
      <c r="BI583" s="201"/>
    </row>
    <row r="584" spans="1:61" s="519" customFormat="1" hidden="1">
      <c r="A584" s="112"/>
      <c r="B584" s="203"/>
      <c r="C584" s="204"/>
      <c r="D584" s="204"/>
      <c r="E584" s="1376"/>
      <c r="F584" s="192" t="s">
        <v>1294</v>
      </c>
      <c r="G584" s="376">
        <f t="shared" si="141"/>
        <v>15140057</v>
      </c>
      <c r="H584" s="1128" t="str">
        <f t="shared" si="142"/>
        <v xml:space="preserve">FA92250/5L </v>
      </c>
      <c r="I584" s="1128">
        <f t="shared" si="143"/>
        <v>1125</v>
      </c>
      <c r="J584" s="1506"/>
      <c r="K584" s="912"/>
      <c r="AZ584" s="925"/>
      <c r="BF584" s="912"/>
      <c r="BI584" s="201"/>
    </row>
    <row r="585" spans="1:61" s="519" customFormat="1" hidden="1">
      <c r="A585" s="112"/>
      <c r="B585" s="203"/>
      <c r="C585" s="204"/>
      <c r="D585" s="204"/>
      <c r="E585" s="1376"/>
      <c r="F585" s="157"/>
      <c r="G585" s="376"/>
      <c r="H585" s="376"/>
      <c r="I585" s="402"/>
      <c r="J585" s="1506"/>
      <c r="K585" s="912"/>
      <c r="AZ585" s="925"/>
      <c r="BF585" s="912"/>
      <c r="BI585" s="201"/>
    </row>
    <row r="586" spans="1:61" s="519" customFormat="1" hidden="1">
      <c r="A586" s="112"/>
      <c r="B586" s="203"/>
      <c r="C586" s="204"/>
      <c r="D586" s="204"/>
      <c r="E586" s="1376"/>
      <c r="F586" s="1127" t="s">
        <v>1457</v>
      </c>
      <c r="G586" s="376">
        <f>VLOOKUP(F586,$F$555:$G$566,2,FALSE)</f>
        <v>15140083</v>
      </c>
      <c r="H586" s="1128" t="str">
        <f>VLOOKUP($F586,$F$555:$I$566,3,FALSE)</f>
        <v>FAC1014/5L</v>
      </c>
      <c r="I586" s="1128">
        <f>VLOOKUP($F586,$F$555:$I$566,4,FALSE)</f>
        <v>1870</v>
      </c>
      <c r="J586" s="1506"/>
      <c r="K586" s="912"/>
      <c r="AZ586" s="925"/>
      <c r="BF586" s="912"/>
      <c r="BI586" s="201"/>
    </row>
    <row r="587" spans="1:61" s="519" customFormat="1" hidden="1">
      <c r="A587" s="112"/>
      <c r="B587" s="203"/>
      <c r="C587" s="204"/>
      <c r="D587" s="204"/>
      <c r="E587" s="1376"/>
      <c r="F587" s="1127"/>
      <c r="G587" s="376"/>
      <c r="H587" s="1128"/>
      <c r="I587" s="1128"/>
      <c r="J587" s="1506"/>
      <c r="K587" s="912"/>
      <c r="AZ587" s="925"/>
      <c r="BF587" s="912"/>
      <c r="BI587" s="201"/>
    </row>
    <row r="588" spans="1:61" s="519" customFormat="1" hidden="1">
      <c r="A588" s="112"/>
      <c r="B588" s="203"/>
      <c r="C588" s="204"/>
      <c r="D588" s="204"/>
      <c r="E588" s="1376"/>
      <c r="F588" s="1127" t="s">
        <v>1364</v>
      </c>
      <c r="G588" s="376">
        <v>15140091</v>
      </c>
      <c r="H588" s="1128" t="s">
        <v>1366</v>
      </c>
      <c r="I588" s="1128">
        <v>3631</v>
      </c>
      <c r="J588" s="1506"/>
      <c r="K588" s="912"/>
      <c r="AZ588" s="925"/>
      <c r="BF588" s="912"/>
      <c r="BI588" s="201"/>
    </row>
    <row r="589" spans="1:61" s="519" customFormat="1" hidden="1">
      <c r="A589" s="112"/>
      <c r="B589" s="203"/>
      <c r="C589" s="204"/>
      <c r="D589" s="204"/>
      <c r="E589" s="1376"/>
      <c r="F589" s="196" t="s">
        <v>1365</v>
      </c>
      <c r="G589" s="376">
        <v>16140061</v>
      </c>
      <c r="H589" s="1128" t="s">
        <v>1305</v>
      </c>
      <c r="I589" s="1128">
        <v>574</v>
      </c>
      <c r="J589" s="1506"/>
      <c r="K589" s="912"/>
      <c r="AZ589" s="925"/>
      <c r="BF589" s="912"/>
      <c r="BI589" s="201"/>
    </row>
    <row r="590" spans="1:61" s="519" customFormat="1" hidden="1">
      <c r="A590" s="112"/>
      <c r="B590" s="203"/>
      <c r="C590" s="204"/>
      <c r="D590" s="204"/>
      <c r="E590" s="204"/>
      <c r="F590" s="1127"/>
      <c r="G590" s="376"/>
      <c r="H590" s="1128"/>
      <c r="I590" s="1128"/>
      <c r="J590" s="1506"/>
      <c r="K590" s="912"/>
      <c r="AZ590" s="925"/>
      <c r="BF590" s="912"/>
      <c r="BI590" s="201"/>
    </row>
    <row r="591" spans="1:61" s="519" customFormat="1" hidden="1">
      <c r="A591" s="112"/>
      <c r="B591" s="203"/>
      <c r="C591" s="204"/>
      <c r="D591" s="204"/>
      <c r="E591" s="204"/>
      <c r="F591" s="1127"/>
      <c r="G591" s="376"/>
      <c r="H591" s="1128"/>
      <c r="I591" s="1128"/>
      <c r="J591" s="1506"/>
      <c r="K591" s="912"/>
      <c r="AZ591" s="925"/>
      <c r="BF591" s="912"/>
      <c r="BI591" s="201"/>
    </row>
    <row r="592" spans="1:61" s="519" customFormat="1" hidden="1">
      <c r="A592" s="112"/>
      <c r="B592" s="203"/>
      <c r="C592" s="204"/>
      <c r="D592" s="204"/>
      <c r="E592" s="204"/>
      <c r="F592" s="1127"/>
      <c r="G592" s="376"/>
      <c r="H592" s="1128"/>
      <c r="I592" s="1128"/>
      <c r="J592" s="1506"/>
      <c r="K592" s="912"/>
      <c r="AZ592" s="925"/>
      <c r="BF592" s="912"/>
      <c r="BI592" s="201"/>
    </row>
    <row r="593" spans="1:61" s="519" customFormat="1" hidden="1">
      <c r="A593" s="112"/>
      <c r="B593" s="203"/>
      <c r="C593" s="204"/>
      <c r="D593" s="204"/>
      <c r="E593" s="204"/>
      <c r="F593" s="157"/>
      <c r="G593" s="376"/>
      <c r="H593" s="376"/>
      <c r="I593" s="402"/>
      <c r="J593" s="1506"/>
      <c r="K593" s="912"/>
      <c r="AZ593" s="925"/>
      <c r="BF593" s="912"/>
      <c r="BI593" s="201"/>
    </row>
    <row r="594" spans="1:61" s="519" customFormat="1" hidden="1">
      <c r="A594" s="112"/>
      <c r="B594" s="203"/>
      <c r="C594" s="204"/>
      <c r="D594" s="204"/>
      <c r="E594" s="204"/>
      <c r="F594" s="157"/>
      <c r="G594" s="376"/>
      <c r="H594" s="376"/>
      <c r="I594" s="402"/>
      <c r="J594" s="1506"/>
      <c r="K594" s="912"/>
      <c r="AZ594" s="925"/>
      <c r="BF594" s="912"/>
      <c r="BI594" s="201"/>
    </row>
    <row r="595" spans="1:61" s="519" customFormat="1" hidden="1">
      <c r="A595" s="112"/>
      <c r="B595" s="203"/>
      <c r="C595" s="204"/>
      <c r="D595" s="1133" t="s">
        <v>1315</v>
      </c>
      <c r="E595" s="204"/>
      <c r="F595" s="157" t="s">
        <v>1309</v>
      </c>
      <c r="G595" s="376">
        <v>16140064</v>
      </c>
      <c r="H595" s="376" t="s">
        <v>1310</v>
      </c>
      <c r="I595" s="402">
        <v>52</v>
      </c>
      <c r="J595" s="1506"/>
      <c r="K595" s="912"/>
      <c r="AZ595" s="925"/>
      <c r="BF595" s="912"/>
      <c r="BI595" s="201"/>
    </row>
    <row r="596" spans="1:61" s="519" customFormat="1" hidden="1">
      <c r="A596" s="112"/>
      <c r="B596" s="203"/>
      <c r="C596" s="204"/>
      <c r="D596" s="204"/>
      <c r="E596" s="204"/>
      <c r="F596" s="157" t="s">
        <v>1311</v>
      </c>
      <c r="G596" s="376">
        <v>16140065</v>
      </c>
      <c r="H596" s="376" t="s">
        <v>1312</v>
      </c>
      <c r="I596" s="402">
        <v>61</v>
      </c>
      <c r="J596" s="1506"/>
      <c r="K596" s="912"/>
      <c r="AZ596" s="925"/>
      <c r="BF596" s="912"/>
      <c r="BI596" s="201"/>
    </row>
    <row r="597" spans="1:61" s="519" customFormat="1" hidden="1">
      <c r="A597" s="112"/>
      <c r="B597" s="203"/>
      <c r="C597" s="204"/>
      <c r="D597" s="204"/>
      <c r="E597" s="204"/>
      <c r="F597" s="157" t="s">
        <v>1313</v>
      </c>
      <c r="G597" s="376">
        <v>16140066</v>
      </c>
      <c r="H597" s="376" t="s">
        <v>1314</v>
      </c>
      <c r="I597" s="402">
        <v>48</v>
      </c>
      <c r="J597" s="1506"/>
      <c r="K597" s="912"/>
      <c r="AZ597" s="925"/>
      <c r="BF597" s="912"/>
      <c r="BI597" s="201"/>
    </row>
    <row r="598" spans="1:61" s="519" customFormat="1" hidden="1">
      <c r="A598" s="112"/>
      <c r="B598" s="203"/>
      <c r="C598" s="204"/>
      <c r="D598" s="204"/>
      <c r="E598" s="204"/>
      <c r="F598" s="157"/>
      <c r="G598" s="207"/>
      <c r="H598" s="207"/>
      <c r="I598" s="402"/>
      <c r="J598" s="1506"/>
      <c r="K598" s="912"/>
      <c r="AZ598" s="925"/>
      <c r="BF598" s="912"/>
      <c r="BI598" s="201"/>
    </row>
    <row r="599" spans="1:61" s="519" customFormat="1" hidden="1">
      <c r="A599" s="112"/>
      <c r="B599" s="203"/>
      <c r="C599" s="204"/>
      <c r="D599" s="204"/>
      <c r="E599" s="204"/>
      <c r="F599" s="157"/>
      <c r="G599" s="207"/>
      <c r="H599" s="207"/>
      <c r="I599" s="402"/>
      <c r="J599" s="1506"/>
      <c r="K599" s="912"/>
      <c r="AZ599" s="925"/>
      <c r="BF599" s="912"/>
      <c r="BI599" s="201"/>
    </row>
    <row r="600" spans="1:61" s="519" customFormat="1" hidden="1">
      <c r="A600" s="112"/>
      <c r="B600" s="203"/>
      <c r="C600" s="204"/>
      <c r="D600" s="204"/>
      <c r="E600" s="204"/>
      <c r="F600" s="157" t="s">
        <v>559</v>
      </c>
      <c r="G600" s="376">
        <v>19810039</v>
      </c>
      <c r="H600" s="207"/>
      <c r="I600" s="402">
        <v>150</v>
      </c>
      <c r="J600" s="1506"/>
      <c r="K600" s="912"/>
      <c r="AZ600" s="925"/>
      <c r="BF600" s="912"/>
      <c r="BI600" s="201"/>
    </row>
    <row r="601" spans="1:61" s="519" customFormat="1" hidden="1">
      <c r="A601" s="112"/>
      <c r="B601" s="203"/>
      <c r="C601" s="133"/>
      <c r="D601" s="133"/>
      <c r="E601" s="115"/>
      <c r="F601" s="108"/>
      <c r="G601" s="206"/>
      <c r="H601" s="28"/>
      <c r="I601" s="334"/>
      <c r="J601" s="1506"/>
      <c r="K601" s="912"/>
      <c r="AZ601" s="925"/>
      <c r="BF601" s="912"/>
      <c r="BI601" s="201"/>
    </row>
    <row r="602" spans="1:61" s="519" customFormat="1" hidden="1">
      <c r="A602" s="112"/>
      <c r="B602" s="203"/>
      <c r="C602" s="133"/>
      <c r="D602" s="133"/>
      <c r="E602" s="115"/>
      <c r="F602" s="108"/>
      <c r="G602" s="206"/>
      <c r="H602" s="28"/>
      <c r="I602" s="334"/>
      <c r="J602" s="1506"/>
      <c r="K602" s="912"/>
      <c r="AZ602" s="925"/>
      <c r="BF602" s="912"/>
      <c r="BI602" s="201"/>
    </row>
    <row r="603" spans="1:61" s="519" customFormat="1" hidden="1">
      <c r="A603" s="112"/>
      <c r="B603" s="203"/>
      <c r="C603" s="133"/>
      <c r="D603" s="133"/>
      <c r="E603" s="115"/>
      <c r="F603" s="108"/>
      <c r="G603" s="206"/>
      <c r="H603" s="28"/>
      <c r="I603" s="334"/>
      <c r="J603" s="1506"/>
      <c r="K603" s="912"/>
      <c r="AZ603" s="925"/>
      <c r="BF603" s="912"/>
      <c r="BI603" s="201"/>
    </row>
    <row r="604" spans="1:61" s="519" customFormat="1" hidden="1">
      <c r="A604" s="112"/>
      <c r="B604" s="203"/>
      <c r="C604" s="132"/>
      <c r="D604" s="132" t="s">
        <v>106</v>
      </c>
      <c r="E604" s="115"/>
      <c r="F604" s="157" t="s">
        <v>499</v>
      </c>
      <c r="G604" s="1046" t="s">
        <v>1033</v>
      </c>
      <c r="H604" s="377" t="s">
        <v>491</v>
      </c>
      <c r="I604" s="420">
        <v>99</v>
      </c>
      <c r="J604" s="1506"/>
      <c r="K604" s="912"/>
      <c r="AX604" s="1498">
        <v>74</v>
      </c>
      <c r="AY604" s="916">
        <v>0.05</v>
      </c>
      <c r="AZ604" s="925">
        <f t="shared" ref="AZ604:AZ617" si="144">AX604*(1+AY604)</f>
        <v>77.7</v>
      </c>
      <c r="BF604" s="912"/>
      <c r="BI604" s="201"/>
    </row>
    <row r="605" spans="1:61" s="519" customFormat="1" hidden="1">
      <c r="A605" s="112"/>
      <c r="B605" s="203"/>
      <c r="C605" s="133"/>
      <c r="D605" s="133"/>
      <c r="E605" s="115"/>
      <c r="F605" s="157" t="s">
        <v>500</v>
      </c>
      <c r="G605" s="1046" t="s">
        <v>1034</v>
      </c>
      <c r="H605" s="424" t="s">
        <v>492</v>
      </c>
      <c r="I605" s="420">
        <v>99</v>
      </c>
      <c r="J605" s="1506"/>
      <c r="K605" s="912"/>
      <c r="AX605" s="1498">
        <v>69</v>
      </c>
      <c r="AY605" s="916">
        <v>0.05</v>
      </c>
      <c r="AZ605" s="925">
        <f t="shared" si="144"/>
        <v>72.45</v>
      </c>
      <c r="BF605" s="912"/>
      <c r="BI605" s="201"/>
    </row>
    <row r="606" spans="1:61" s="519" customFormat="1" hidden="1">
      <c r="A606" s="112"/>
      <c r="B606" s="203"/>
      <c r="C606" s="133"/>
      <c r="D606" s="133"/>
      <c r="E606" s="115"/>
      <c r="F606" s="157" t="s">
        <v>501</v>
      </c>
      <c r="G606" s="1046" t="s">
        <v>1035</v>
      </c>
      <c r="H606" s="377" t="s">
        <v>493</v>
      </c>
      <c r="I606" s="420">
        <v>102</v>
      </c>
      <c r="J606" s="1506"/>
      <c r="K606" s="912"/>
      <c r="AX606" s="1498">
        <v>97</v>
      </c>
      <c r="AY606" s="916">
        <v>0.05</v>
      </c>
      <c r="AZ606" s="925">
        <f t="shared" si="144"/>
        <v>101.85000000000001</v>
      </c>
      <c r="BF606" s="912"/>
      <c r="BI606" s="201"/>
    </row>
    <row r="607" spans="1:61" s="519" customFormat="1" hidden="1">
      <c r="A607" s="112"/>
      <c r="B607" s="203"/>
      <c r="C607" s="133"/>
      <c r="D607" s="133"/>
      <c r="E607" s="115"/>
      <c r="F607" s="157" t="s">
        <v>502</v>
      </c>
      <c r="G607" s="1046" t="s">
        <v>1036</v>
      </c>
      <c r="H607" s="377" t="s">
        <v>494</v>
      </c>
      <c r="I607" s="420">
        <v>134</v>
      </c>
      <c r="J607" s="1506"/>
      <c r="K607" s="912"/>
      <c r="AX607" s="1498">
        <v>128</v>
      </c>
      <c r="AY607" s="916">
        <v>0.05</v>
      </c>
      <c r="AZ607" s="925">
        <f t="shared" si="144"/>
        <v>134.4</v>
      </c>
      <c r="BF607" s="912"/>
      <c r="BI607" s="201"/>
    </row>
    <row r="608" spans="1:61" s="519" customFormat="1" hidden="1">
      <c r="A608" s="112"/>
      <c r="B608" s="203"/>
      <c r="C608" s="133"/>
      <c r="D608" s="133"/>
      <c r="E608" s="115"/>
      <c r="F608" s="157" t="s">
        <v>503</v>
      </c>
      <c r="G608" s="1046" t="s">
        <v>668</v>
      </c>
      <c r="H608" s="377" t="s">
        <v>495</v>
      </c>
      <c r="I608" s="420">
        <v>91</v>
      </c>
      <c r="J608" s="1506"/>
      <c r="K608" s="912"/>
      <c r="AX608" s="1498">
        <v>87</v>
      </c>
      <c r="AY608" s="916">
        <v>0.05</v>
      </c>
      <c r="AZ608" s="925">
        <f t="shared" si="144"/>
        <v>91.350000000000009</v>
      </c>
      <c r="BF608" s="912"/>
      <c r="BI608" s="201"/>
    </row>
    <row r="609" spans="1:61" s="519" customFormat="1" hidden="1">
      <c r="A609" s="112"/>
      <c r="B609" s="203"/>
      <c r="C609" s="115"/>
      <c r="D609" s="115"/>
      <c r="E609" s="115"/>
      <c r="F609" s="157" t="s">
        <v>367</v>
      </c>
      <c r="G609" s="377">
        <v>13080029</v>
      </c>
      <c r="H609" s="377" t="s">
        <v>529</v>
      </c>
      <c r="I609" s="420">
        <v>66</v>
      </c>
      <c r="J609" s="1506"/>
      <c r="K609" s="912"/>
      <c r="AX609" s="1498">
        <v>63</v>
      </c>
      <c r="AY609" s="916">
        <v>0.05</v>
      </c>
      <c r="AZ609" s="925">
        <f t="shared" si="144"/>
        <v>66.150000000000006</v>
      </c>
      <c r="BF609" s="912"/>
      <c r="BI609" s="201"/>
    </row>
    <row r="610" spans="1:61" s="519" customFormat="1" hidden="1">
      <c r="A610" s="112"/>
      <c r="B610" s="203"/>
      <c r="C610" s="115"/>
      <c r="D610" s="115"/>
      <c r="E610" s="115"/>
      <c r="F610" s="157" t="s">
        <v>504</v>
      </c>
      <c r="G610" s="377" t="s">
        <v>530</v>
      </c>
      <c r="H610" s="377" t="s">
        <v>496</v>
      </c>
      <c r="I610" s="420">
        <v>347</v>
      </c>
      <c r="J610" s="1506"/>
      <c r="K610" s="912"/>
      <c r="AX610" s="1498">
        <v>330</v>
      </c>
      <c r="AY610" s="916">
        <v>0.05</v>
      </c>
      <c r="AZ610" s="925">
        <f t="shared" si="144"/>
        <v>346.5</v>
      </c>
      <c r="BF610" s="912"/>
      <c r="BI610" s="201"/>
    </row>
    <row r="611" spans="1:61" s="519" customFormat="1" hidden="1">
      <c r="A611" s="112"/>
      <c r="B611" s="203"/>
      <c r="C611" s="115"/>
      <c r="D611" s="115"/>
      <c r="E611" s="115"/>
      <c r="F611" s="157" t="s">
        <v>505</v>
      </c>
      <c r="G611" s="377" t="s">
        <v>531</v>
      </c>
      <c r="H611" s="377" t="s">
        <v>497</v>
      </c>
      <c r="I611" s="420">
        <v>299</v>
      </c>
      <c r="J611" s="1506"/>
      <c r="K611" s="912"/>
      <c r="AX611" s="1498">
        <v>242</v>
      </c>
      <c r="AY611" s="916">
        <v>0.05</v>
      </c>
      <c r="AZ611" s="925">
        <f t="shared" si="144"/>
        <v>254.10000000000002</v>
      </c>
      <c r="BF611" s="912"/>
      <c r="BI611" s="201"/>
    </row>
    <row r="612" spans="1:61" s="519" customFormat="1" hidden="1">
      <c r="A612" s="112"/>
      <c r="B612" s="203"/>
      <c r="C612" s="115"/>
      <c r="D612" s="115"/>
      <c r="E612" s="115"/>
      <c r="F612" s="157" t="s">
        <v>506</v>
      </c>
      <c r="G612" s="377" t="s">
        <v>532</v>
      </c>
      <c r="H612" s="377" t="s">
        <v>498</v>
      </c>
      <c r="I612" s="420">
        <v>332</v>
      </c>
      <c r="J612" s="1506"/>
      <c r="K612" s="912"/>
      <c r="AX612" s="1498">
        <v>189</v>
      </c>
      <c r="AY612" s="916">
        <v>0.05</v>
      </c>
      <c r="AZ612" s="925">
        <f t="shared" si="144"/>
        <v>198.45000000000002</v>
      </c>
      <c r="BF612" s="912"/>
      <c r="BI612" s="201"/>
    </row>
    <row r="613" spans="1:61" s="519" customFormat="1" hidden="1">
      <c r="A613" s="112"/>
      <c r="B613" s="203"/>
      <c r="C613" s="115"/>
      <c r="D613" s="115"/>
      <c r="E613" s="115"/>
      <c r="F613" s="196" t="s">
        <v>1140</v>
      </c>
      <c r="G613" s="377">
        <v>13090026</v>
      </c>
      <c r="H613" s="377" t="s">
        <v>1141</v>
      </c>
      <c r="I613" s="420">
        <v>250</v>
      </c>
      <c r="J613" s="1506"/>
      <c r="K613" s="912"/>
      <c r="AX613" s="1498"/>
      <c r="AY613" s="916"/>
      <c r="AZ613" s="925"/>
      <c r="BF613" s="912"/>
      <c r="BI613" s="201"/>
    </row>
    <row r="614" spans="1:61" hidden="1">
      <c r="B614" s="203"/>
      <c r="C614" s="115"/>
      <c r="D614" s="115"/>
      <c r="E614" s="115"/>
      <c r="F614" s="157" t="s">
        <v>366</v>
      </c>
      <c r="G614" s="377" t="s">
        <v>533</v>
      </c>
      <c r="H614" s="377" t="s">
        <v>534</v>
      </c>
      <c r="I614" s="420">
        <v>50</v>
      </c>
      <c r="J614" s="1506"/>
      <c r="AX614" s="1498">
        <v>48</v>
      </c>
      <c r="AY614" s="916">
        <v>0.05</v>
      </c>
      <c r="AZ614" s="925">
        <f t="shared" si="144"/>
        <v>50.400000000000006</v>
      </c>
    </row>
    <row r="615" spans="1:61" hidden="1">
      <c r="B615" s="203"/>
      <c r="C615" s="115"/>
      <c r="D615" s="115"/>
      <c r="E615" s="115"/>
      <c r="F615" s="157" t="s">
        <v>365</v>
      </c>
      <c r="G615" s="377" t="s">
        <v>535</v>
      </c>
      <c r="H615" s="377" t="s">
        <v>534</v>
      </c>
      <c r="I615" s="420">
        <v>16</v>
      </c>
      <c r="J615" s="1506"/>
      <c r="AX615" s="1498">
        <v>15</v>
      </c>
      <c r="AY615" s="916">
        <v>0.05</v>
      </c>
      <c r="AZ615" s="925">
        <f t="shared" si="144"/>
        <v>15.75</v>
      </c>
    </row>
    <row r="616" spans="1:61" hidden="1">
      <c r="B616" s="203"/>
      <c r="C616" s="115"/>
      <c r="D616" s="115"/>
      <c r="E616" s="115"/>
      <c r="F616" s="1100" t="s">
        <v>1257</v>
      </c>
      <c r="G616" s="1101">
        <v>13110007</v>
      </c>
      <c r="H616" s="1101" t="s">
        <v>1258</v>
      </c>
      <c r="I616" s="1102">
        <v>1083</v>
      </c>
      <c r="J616" s="1506"/>
      <c r="AX616" s="1498"/>
      <c r="AY616" s="916"/>
      <c r="AZ616" s="925"/>
    </row>
    <row r="617" spans="1:61" hidden="1">
      <c r="B617" s="203"/>
      <c r="C617" s="115"/>
      <c r="D617" s="115"/>
      <c r="E617" s="115"/>
      <c r="F617" s="157" t="s">
        <v>364</v>
      </c>
      <c r="G617" s="377">
        <v>13110001</v>
      </c>
      <c r="H617" s="377">
        <v>16304</v>
      </c>
      <c r="I617" s="420">
        <v>1083</v>
      </c>
      <c r="J617" s="1506"/>
      <c r="AX617" s="1498">
        <v>1031</v>
      </c>
      <c r="AY617" s="916">
        <v>0.05</v>
      </c>
      <c r="AZ617" s="925">
        <f t="shared" si="144"/>
        <v>1082.55</v>
      </c>
    </row>
    <row r="618" spans="1:61" hidden="1">
      <c r="B618" s="203"/>
      <c r="C618" s="115"/>
      <c r="D618" s="115"/>
      <c r="E618" s="115"/>
      <c r="F618" s="157"/>
      <c r="G618" s="377"/>
      <c r="H618" s="377"/>
      <c r="I618" s="420"/>
      <c r="J618" s="1506"/>
      <c r="AX618" s="1498">
        <v>1370</v>
      </c>
      <c r="AY618" s="916">
        <v>0.05</v>
      </c>
      <c r="AZ618" s="925"/>
    </row>
    <row r="619" spans="1:61" hidden="1">
      <c r="B619" s="203"/>
      <c r="C619" s="115"/>
      <c r="D619" s="115"/>
      <c r="E619" s="115"/>
      <c r="F619" s="157" t="s">
        <v>1028</v>
      </c>
      <c r="G619" s="377" t="s">
        <v>1025</v>
      </c>
      <c r="H619" s="377"/>
      <c r="I619" s="420">
        <v>2495</v>
      </c>
      <c r="J619" s="1506"/>
      <c r="AX619" s="1498">
        <v>2495</v>
      </c>
      <c r="AY619" s="916">
        <v>0.05</v>
      </c>
      <c r="AZ619" s="925"/>
    </row>
    <row r="620" spans="1:61" hidden="1">
      <c r="B620" s="203"/>
      <c r="C620" s="115"/>
      <c r="D620" s="115"/>
      <c r="E620" s="115"/>
      <c r="F620" s="157" t="s">
        <v>1027</v>
      </c>
      <c r="G620" s="887" t="s">
        <v>1026</v>
      </c>
      <c r="H620" s="377"/>
      <c r="I620" s="420">
        <v>2945</v>
      </c>
      <c r="J620" s="1506"/>
      <c r="AX620" s="1498">
        <v>2945</v>
      </c>
      <c r="AY620" s="916">
        <v>0.05</v>
      </c>
      <c r="AZ620" s="925"/>
    </row>
    <row r="621" spans="1:61" hidden="1">
      <c r="B621" s="203"/>
      <c r="C621" s="115"/>
      <c r="D621" s="115"/>
      <c r="E621" s="115"/>
      <c r="F621" s="109"/>
      <c r="G621" s="28"/>
      <c r="H621" s="109"/>
      <c r="I621" s="335"/>
      <c r="J621" s="1506"/>
      <c r="AX621" s="1498"/>
      <c r="AZ621" s="925"/>
    </row>
    <row r="622" spans="1:61" hidden="1">
      <c r="B622" s="203"/>
      <c r="C622" s="115"/>
      <c r="D622" s="115"/>
      <c r="E622" s="115"/>
      <c r="F622" s="109"/>
      <c r="G622" s="28"/>
      <c r="H622" s="109"/>
      <c r="I622" s="335"/>
      <c r="J622" s="1506"/>
      <c r="AX622" s="1498"/>
      <c r="AZ622" s="925"/>
    </row>
    <row r="623" spans="1:61" hidden="1">
      <c r="B623" s="203"/>
      <c r="C623" s="115"/>
      <c r="D623" s="115"/>
      <c r="E623" s="115"/>
      <c r="F623" s="109"/>
      <c r="G623" s="28"/>
      <c r="H623" s="109"/>
      <c r="I623" s="335"/>
      <c r="J623" s="1506"/>
      <c r="AX623" s="1498"/>
      <c r="AZ623" s="925"/>
    </row>
    <row r="624" spans="1:61" ht="12" hidden="1" customHeight="1">
      <c r="B624" s="203"/>
      <c r="C624" s="132"/>
      <c r="D624" s="132" t="s">
        <v>27</v>
      </c>
      <c r="E624" s="115"/>
      <c r="F624" s="109" t="s">
        <v>67</v>
      </c>
      <c r="G624" s="28"/>
      <c r="H624" s="109"/>
      <c r="I624" s="335"/>
      <c r="J624" s="1506"/>
      <c r="AX624" s="1498"/>
      <c r="AZ624" s="925"/>
    </row>
    <row r="625" spans="2:61" ht="12" hidden="1" customHeight="1">
      <c r="B625" s="203"/>
      <c r="C625" s="132"/>
      <c r="D625" s="132"/>
      <c r="E625" s="115"/>
      <c r="F625" s="157" t="s">
        <v>87</v>
      </c>
      <c r="G625" s="376">
        <v>11050023</v>
      </c>
      <c r="H625" s="376" t="s">
        <v>88</v>
      </c>
      <c r="I625" s="402">
        <v>417</v>
      </c>
      <c r="J625" s="1506"/>
      <c r="AX625" s="1498">
        <v>397</v>
      </c>
      <c r="AY625" s="916">
        <v>0.05</v>
      </c>
      <c r="AZ625" s="925">
        <f t="shared" ref="AZ625:AZ659" si="145">AX625*(1+AY625)</f>
        <v>416.85</v>
      </c>
    </row>
    <row r="626" spans="2:61" hidden="1">
      <c r="B626" s="203"/>
      <c r="C626" s="133"/>
      <c r="D626" s="133"/>
      <c r="E626" s="115"/>
      <c r="F626" s="157" t="s">
        <v>98</v>
      </c>
      <c r="G626" s="376">
        <v>11990007</v>
      </c>
      <c r="H626" s="376">
        <v>5318678</v>
      </c>
      <c r="I626" s="420">
        <v>100</v>
      </c>
      <c r="J626" s="1506"/>
      <c r="AX626" s="1498">
        <v>95</v>
      </c>
      <c r="AY626" s="916">
        <v>0.05</v>
      </c>
      <c r="AZ626" s="925">
        <f t="shared" si="145"/>
        <v>99.75</v>
      </c>
    </row>
    <row r="627" spans="2:61" hidden="1">
      <c r="B627" s="203"/>
      <c r="C627" s="133"/>
      <c r="D627" s="133"/>
      <c r="E627" s="115"/>
      <c r="F627" s="157" t="s">
        <v>89</v>
      </c>
      <c r="G627" s="376" t="s">
        <v>91</v>
      </c>
      <c r="H627" s="376" t="s">
        <v>92</v>
      </c>
      <c r="I627" s="420">
        <v>74</v>
      </c>
      <c r="J627" s="1506"/>
      <c r="AX627" s="1498">
        <v>70</v>
      </c>
      <c r="AY627" s="916">
        <v>0.05</v>
      </c>
      <c r="AZ627" s="925">
        <f t="shared" si="145"/>
        <v>73.5</v>
      </c>
    </row>
    <row r="628" spans="2:61" s="113" customFormat="1" hidden="1">
      <c r="B628" s="203"/>
      <c r="C628" s="133"/>
      <c r="D628" s="133"/>
      <c r="E628" s="115"/>
      <c r="F628" s="157" t="s">
        <v>90</v>
      </c>
      <c r="G628" s="377" t="s">
        <v>94</v>
      </c>
      <c r="H628" s="377" t="s">
        <v>93</v>
      </c>
      <c r="I628" s="420">
        <v>210</v>
      </c>
      <c r="J628" s="1506"/>
      <c r="K628" s="912"/>
      <c r="L628" s="519"/>
      <c r="M628" s="519"/>
      <c r="N628" s="518"/>
      <c r="O628" s="518"/>
      <c r="P628" s="518"/>
      <c r="Q628" s="518"/>
      <c r="R628" s="518"/>
      <c r="S628" s="518"/>
      <c r="T628" s="518"/>
      <c r="U628" s="518"/>
      <c r="V628" s="518"/>
      <c r="W628" s="518"/>
      <c r="X628" s="518"/>
      <c r="Y628" s="518"/>
      <c r="Z628" s="518"/>
      <c r="AA628" s="518"/>
      <c r="AB628" s="518"/>
      <c r="AC628" s="518"/>
      <c r="AD628" s="518"/>
      <c r="AE628" s="518"/>
      <c r="AF628" s="518"/>
      <c r="AG628" s="518"/>
      <c r="AH628" s="518"/>
      <c r="AI628" s="518"/>
      <c r="AJ628" s="518"/>
      <c r="AK628" s="518"/>
      <c r="AL628" s="518"/>
      <c r="AM628" s="518"/>
      <c r="AN628" s="518"/>
      <c r="AO628" s="518"/>
      <c r="AP628" s="518"/>
      <c r="AQ628" s="518"/>
      <c r="AR628" s="518"/>
      <c r="AS628" s="518"/>
      <c r="AT628" s="518"/>
      <c r="AU628" s="518"/>
      <c r="AV628" s="518"/>
      <c r="AW628" s="518"/>
      <c r="AX628" s="1498">
        <v>200</v>
      </c>
      <c r="AY628" s="916">
        <v>0.05</v>
      </c>
      <c r="AZ628" s="925">
        <f t="shared" si="145"/>
        <v>210</v>
      </c>
      <c r="BA628" s="518"/>
      <c r="BB628" s="518"/>
      <c r="BC628" s="518"/>
      <c r="BD628" s="518"/>
      <c r="BE628" s="518"/>
      <c r="BF628" s="1074"/>
      <c r="BG628" s="518"/>
      <c r="BH628" s="518"/>
      <c r="BI628" s="256"/>
    </row>
    <row r="629" spans="2:61" s="113" customFormat="1" hidden="1">
      <c r="B629" s="203"/>
      <c r="C629" s="133"/>
      <c r="D629" s="133"/>
      <c r="E629" s="115"/>
      <c r="F629" s="154"/>
      <c r="G629" s="377"/>
      <c r="H629" s="425"/>
      <c r="I629" s="402"/>
      <c r="J629" s="1506"/>
      <c r="K629" s="912"/>
      <c r="L629" s="519"/>
      <c r="M629" s="519"/>
      <c r="N629" s="518"/>
      <c r="O629" s="518"/>
      <c r="P629" s="518"/>
      <c r="Q629" s="518"/>
      <c r="R629" s="518"/>
      <c r="S629" s="518"/>
      <c r="T629" s="518"/>
      <c r="U629" s="518"/>
      <c r="V629" s="518"/>
      <c r="W629" s="518"/>
      <c r="X629" s="518"/>
      <c r="Y629" s="518"/>
      <c r="Z629" s="518"/>
      <c r="AA629" s="518"/>
      <c r="AB629" s="518"/>
      <c r="AC629" s="518"/>
      <c r="AD629" s="518"/>
      <c r="AE629" s="518"/>
      <c r="AF629" s="518"/>
      <c r="AG629" s="518"/>
      <c r="AH629" s="518"/>
      <c r="AI629" s="518"/>
      <c r="AJ629" s="518"/>
      <c r="AK629" s="518"/>
      <c r="AL629" s="518"/>
      <c r="AM629" s="518"/>
      <c r="AN629" s="518"/>
      <c r="AO629" s="518"/>
      <c r="AP629" s="518"/>
      <c r="AQ629" s="518"/>
      <c r="AR629" s="518"/>
      <c r="AS629" s="518"/>
      <c r="AT629" s="518"/>
      <c r="AU629" s="518"/>
      <c r="AV629" s="518"/>
      <c r="AW629" s="518"/>
      <c r="AX629" s="1498"/>
      <c r="AY629" s="916">
        <v>0.05</v>
      </c>
      <c r="AZ629" s="925">
        <f t="shared" si="145"/>
        <v>0</v>
      </c>
      <c r="BA629" s="518"/>
      <c r="BB629" s="518"/>
      <c r="BC629" s="518"/>
      <c r="BD629" s="518"/>
      <c r="BE629" s="518"/>
      <c r="BF629" s="1074"/>
      <c r="BG629" s="518"/>
      <c r="BH629" s="518"/>
      <c r="BI629" s="256"/>
    </row>
    <row r="630" spans="2:61" s="113" customFormat="1" hidden="1">
      <c r="B630" s="203"/>
      <c r="C630" s="133"/>
      <c r="D630" s="133"/>
      <c r="E630" s="115"/>
      <c r="F630" s="153"/>
      <c r="G630" s="426"/>
      <c r="H630" s="427"/>
      <c r="I630" s="421"/>
      <c r="J630" s="1506"/>
      <c r="K630" s="912"/>
      <c r="L630" s="519"/>
      <c r="M630" s="519"/>
      <c r="N630" s="518"/>
      <c r="O630" s="518"/>
      <c r="P630" s="518"/>
      <c r="Q630" s="518"/>
      <c r="R630" s="518"/>
      <c r="S630" s="518"/>
      <c r="T630" s="518"/>
      <c r="U630" s="518"/>
      <c r="V630" s="518"/>
      <c r="W630" s="518"/>
      <c r="X630" s="518"/>
      <c r="Y630" s="518"/>
      <c r="Z630" s="518"/>
      <c r="AA630" s="518"/>
      <c r="AB630" s="518"/>
      <c r="AC630" s="518"/>
      <c r="AD630" s="518"/>
      <c r="AE630" s="518"/>
      <c r="AF630" s="518"/>
      <c r="AG630" s="518"/>
      <c r="AH630" s="518"/>
      <c r="AI630" s="518"/>
      <c r="AJ630" s="518"/>
      <c r="AK630" s="518"/>
      <c r="AL630" s="518"/>
      <c r="AM630" s="518"/>
      <c r="AN630" s="518"/>
      <c r="AO630" s="518"/>
      <c r="AP630" s="518"/>
      <c r="AQ630" s="518"/>
      <c r="AR630" s="518"/>
      <c r="AS630" s="518"/>
      <c r="AT630" s="518"/>
      <c r="AU630" s="518"/>
      <c r="AV630" s="518"/>
      <c r="AW630" s="518"/>
      <c r="AX630" s="1498"/>
      <c r="AY630" s="916">
        <v>0.05</v>
      </c>
      <c r="AZ630" s="925">
        <f t="shared" si="145"/>
        <v>0</v>
      </c>
      <c r="BA630" s="518"/>
      <c r="BB630" s="518"/>
      <c r="BC630" s="518"/>
      <c r="BD630" s="518"/>
      <c r="BE630" s="518"/>
      <c r="BF630" s="1074"/>
      <c r="BG630" s="518"/>
      <c r="BH630" s="518"/>
      <c r="BI630" s="256"/>
    </row>
    <row r="631" spans="2:61" s="113" customFormat="1" hidden="1">
      <c r="B631" s="127"/>
      <c r="C631" s="133"/>
      <c r="D631" s="133"/>
      <c r="E631" s="115"/>
      <c r="F631" s="157" t="s">
        <v>100</v>
      </c>
      <c r="G631" s="376">
        <v>13120007</v>
      </c>
      <c r="H631" s="376" t="s">
        <v>99</v>
      </c>
      <c r="I631" s="402">
        <v>683</v>
      </c>
      <c r="J631" s="1506"/>
      <c r="K631" s="912"/>
      <c r="L631" s="519"/>
      <c r="M631" s="519"/>
      <c r="N631" s="518"/>
      <c r="O631" s="518"/>
      <c r="P631" s="518"/>
      <c r="Q631" s="518"/>
      <c r="R631" s="518"/>
      <c r="S631" s="518"/>
      <c r="T631" s="518"/>
      <c r="U631" s="518"/>
      <c r="V631" s="518"/>
      <c r="W631" s="518"/>
      <c r="X631" s="518"/>
      <c r="Y631" s="518"/>
      <c r="Z631" s="518"/>
      <c r="AA631" s="518"/>
      <c r="AB631" s="518"/>
      <c r="AC631" s="518"/>
      <c r="AD631" s="518"/>
      <c r="AE631" s="518"/>
      <c r="AF631" s="518"/>
      <c r="AG631" s="518"/>
      <c r="AH631" s="518"/>
      <c r="AI631" s="518"/>
      <c r="AJ631" s="518"/>
      <c r="AK631" s="518"/>
      <c r="AL631" s="518"/>
      <c r="AM631" s="518"/>
      <c r="AN631" s="518"/>
      <c r="AO631" s="518"/>
      <c r="AP631" s="518"/>
      <c r="AQ631" s="518"/>
      <c r="AR631" s="518"/>
      <c r="AS631" s="518"/>
      <c r="AT631" s="518"/>
      <c r="AU631" s="518"/>
      <c r="AV631" s="518"/>
      <c r="AW631" s="518"/>
      <c r="AX631" s="1498">
        <v>650</v>
      </c>
      <c r="AY631" s="916">
        <v>0.05</v>
      </c>
      <c r="AZ631" s="925">
        <f t="shared" si="145"/>
        <v>682.5</v>
      </c>
      <c r="BA631" s="518"/>
      <c r="BB631" s="518"/>
      <c r="BC631" s="518"/>
      <c r="BD631" s="518"/>
      <c r="BE631" s="518"/>
      <c r="BF631" s="1074"/>
      <c r="BG631" s="518"/>
      <c r="BH631" s="518"/>
      <c r="BI631" s="256"/>
    </row>
    <row r="632" spans="2:61" s="113" customFormat="1" hidden="1">
      <c r="B632" s="127"/>
      <c r="C632" s="133"/>
      <c r="D632" s="133"/>
      <c r="E632" s="115"/>
      <c r="F632" s="157" t="s">
        <v>396</v>
      </c>
      <c r="G632" s="376">
        <v>13120016</v>
      </c>
      <c r="H632" s="376" t="s">
        <v>544</v>
      </c>
      <c r="I632" s="402">
        <v>268</v>
      </c>
      <c r="J632" s="1506"/>
      <c r="K632" s="912"/>
      <c r="L632" s="519"/>
      <c r="M632" s="519"/>
      <c r="N632" s="518"/>
      <c r="O632" s="518"/>
      <c r="P632" s="518"/>
      <c r="Q632" s="518"/>
      <c r="R632" s="518"/>
      <c r="S632" s="518"/>
      <c r="T632" s="518"/>
      <c r="U632" s="518"/>
      <c r="V632" s="518"/>
      <c r="W632" s="518"/>
      <c r="X632" s="518"/>
      <c r="Y632" s="518"/>
      <c r="Z632" s="518"/>
      <c r="AA632" s="518"/>
      <c r="AB632" s="518"/>
      <c r="AC632" s="518"/>
      <c r="AD632" s="518"/>
      <c r="AE632" s="518"/>
      <c r="AF632" s="518"/>
      <c r="AG632" s="518"/>
      <c r="AH632" s="518"/>
      <c r="AI632" s="518"/>
      <c r="AJ632" s="518"/>
      <c r="AK632" s="518"/>
      <c r="AL632" s="518"/>
      <c r="AM632" s="518"/>
      <c r="AN632" s="518"/>
      <c r="AO632" s="518"/>
      <c r="AP632" s="518"/>
      <c r="AQ632" s="518"/>
      <c r="AR632" s="518"/>
      <c r="AS632" s="518"/>
      <c r="AT632" s="518"/>
      <c r="AU632" s="518"/>
      <c r="AV632" s="518"/>
      <c r="AW632" s="518"/>
      <c r="AX632" s="1498">
        <v>255</v>
      </c>
      <c r="AY632" s="916">
        <v>0.05</v>
      </c>
      <c r="AZ632" s="925">
        <f t="shared" si="145"/>
        <v>267.75</v>
      </c>
      <c r="BA632" s="518"/>
      <c r="BB632" s="518"/>
      <c r="BC632" s="518"/>
      <c r="BD632" s="518"/>
      <c r="BE632" s="518"/>
      <c r="BF632" s="1074"/>
      <c r="BG632" s="518"/>
      <c r="BH632" s="518"/>
      <c r="BI632" s="256"/>
    </row>
    <row r="633" spans="2:61" s="113" customFormat="1" hidden="1">
      <c r="B633" s="127"/>
      <c r="C633" s="133"/>
      <c r="D633" s="133"/>
      <c r="E633" s="115"/>
      <c r="F633" s="157"/>
      <c r="G633" s="376"/>
      <c r="H633" s="376"/>
      <c r="I633" s="402"/>
      <c r="J633" s="1506"/>
      <c r="K633" s="912"/>
      <c r="L633" s="519"/>
      <c r="M633" s="519"/>
      <c r="N633" s="518"/>
      <c r="O633" s="518"/>
      <c r="P633" s="518"/>
      <c r="Q633" s="518"/>
      <c r="R633" s="518"/>
      <c r="S633" s="518"/>
      <c r="T633" s="518"/>
      <c r="U633" s="518"/>
      <c r="V633" s="518"/>
      <c r="W633" s="518"/>
      <c r="X633" s="518"/>
      <c r="Y633" s="518"/>
      <c r="Z633" s="518"/>
      <c r="AA633" s="518"/>
      <c r="AB633" s="518"/>
      <c r="AC633" s="518"/>
      <c r="AD633" s="518"/>
      <c r="AE633" s="518"/>
      <c r="AF633" s="518"/>
      <c r="AG633" s="518"/>
      <c r="AH633" s="518"/>
      <c r="AI633" s="518"/>
      <c r="AJ633" s="518"/>
      <c r="AK633" s="518"/>
      <c r="AL633" s="518"/>
      <c r="AM633" s="518"/>
      <c r="AN633" s="518"/>
      <c r="AO633" s="518"/>
      <c r="AP633" s="518"/>
      <c r="AQ633" s="518"/>
      <c r="AR633" s="518"/>
      <c r="AS633" s="518"/>
      <c r="AT633" s="518"/>
      <c r="AU633" s="518"/>
      <c r="AV633" s="518"/>
      <c r="AW633" s="518"/>
      <c r="AX633" s="1498"/>
      <c r="AY633" s="916">
        <v>0.05</v>
      </c>
      <c r="AZ633" s="925">
        <f t="shared" si="145"/>
        <v>0</v>
      </c>
      <c r="BA633" s="518"/>
      <c r="BB633" s="518"/>
      <c r="BC633" s="518"/>
      <c r="BD633" s="518"/>
      <c r="BE633" s="518"/>
      <c r="BF633" s="1074"/>
      <c r="BG633" s="518"/>
      <c r="BH633" s="518"/>
      <c r="BI633" s="256"/>
    </row>
    <row r="634" spans="2:61" s="113" customFormat="1" hidden="1">
      <c r="B634" s="127"/>
      <c r="C634" s="133"/>
      <c r="D634" s="133"/>
      <c r="E634" s="115"/>
      <c r="F634" s="153"/>
      <c r="G634" s="426"/>
      <c r="H634" s="427"/>
      <c r="I634" s="334"/>
      <c r="J634" s="1506"/>
      <c r="K634" s="912"/>
      <c r="L634" s="519"/>
      <c r="M634" s="519"/>
      <c r="N634" s="518"/>
      <c r="O634" s="518"/>
      <c r="P634" s="518"/>
      <c r="Q634" s="518"/>
      <c r="R634" s="518"/>
      <c r="S634" s="518"/>
      <c r="T634" s="518"/>
      <c r="U634" s="518"/>
      <c r="V634" s="518"/>
      <c r="W634" s="518"/>
      <c r="X634" s="518"/>
      <c r="Y634" s="518"/>
      <c r="Z634" s="518"/>
      <c r="AA634" s="518"/>
      <c r="AB634" s="518"/>
      <c r="AC634" s="518"/>
      <c r="AD634" s="518"/>
      <c r="AE634" s="518"/>
      <c r="AF634" s="518"/>
      <c r="AG634" s="518"/>
      <c r="AH634" s="518"/>
      <c r="AI634" s="518"/>
      <c r="AJ634" s="518"/>
      <c r="AK634" s="518"/>
      <c r="AL634" s="518"/>
      <c r="AM634" s="518"/>
      <c r="AN634" s="518"/>
      <c r="AO634" s="518"/>
      <c r="AP634" s="518"/>
      <c r="AQ634" s="518"/>
      <c r="AR634" s="518"/>
      <c r="AS634" s="518"/>
      <c r="AT634" s="518"/>
      <c r="AU634" s="518"/>
      <c r="AV634" s="518"/>
      <c r="AW634" s="518"/>
      <c r="AX634" s="1498"/>
      <c r="AY634" s="916">
        <v>0.05</v>
      </c>
      <c r="AZ634" s="925">
        <f t="shared" si="145"/>
        <v>0</v>
      </c>
      <c r="BA634" s="518"/>
      <c r="BB634" s="518"/>
      <c r="BC634" s="518"/>
      <c r="BD634" s="518"/>
      <c r="BE634" s="518"/>
      <c r="BF634" s="1074"/>
      <c r="BG634" s="518"/>
      <c r="BH634" s="518"/>
      <c r="BI634" s="256"/>
    </row>
    <row r="635" spans="2:61" s="113" customFormat="1" hidden="1">
      <c r="B635" s="127"/>
      <c r="C635" s="133"/>
      <c r="D635" s="133"/>
      <c r="E635" s="115"/>
      <c r="F635" s="153"/>
      <c r="G635" s="426"/>
      <c r="H635" s="427"/>
      <c r="I635" s="334"/>
      <c r="J635" s="1506"/>
      <c r="K635" s="912"/>
      <c r="L635" s="519"/>
      <c r="M635" s="519"/>
      <c r="N635" s="518"/>
      <c r="O635" s="518"/>
      <c r="P635" s="518"/>
      <c r="Q635" s="518"/>
      <c r="R635" s="518"/>
      <c r="S635" s="518"/>
      <c r="T635" s="518"/>
      <c r="U635" s="518"/>
      <c r="V635" s="518"/>
      <c r="W635" s="518"/>
      <c r="X635" s="518"/>
      <c r="Y635" s="518"/>
      <c r="Z635" s="518"/>
      <c r="AA635" s="518"/>
      <c r="AB635" s="518"/>
      <c r="AC635" s="518"/>
      <c r="AD635" s="518"/>
      <c r="AE635" s="518"/>
      <c r="AF635" s="518"/>
      <c r="AG635" s="518"/>
      <c r="AH635" s="518"/>
      <c r="AI635" s="518"/>
      <c r="AJ635" s="518"/>
      <c r="AK635" s="518"/>
      <c r="AL635" s="518"/>
      <c r="AM635" s="518"/>
      <c r="AN635" s="518"/>
      <c r="AO635" s="518"/>
      <c r="AP635" s="518"/>
      <c r="AQ635" s="518"/>
      <c r="AR635" s="518"/>
      <c r="AS635" s="518"/>
      <c r="AT635" s="518"/>
      <c r="AU635" s="518"/>
      <c r="AV635" s="518"/>
      <c r="AW635" s="518"/>
      <c r="AX635" s="1498"/>
      <c r="AY635" s="916">
        <v>0.05</v>
      </c>
      <c r="AZ635" s="925">
        <f t="shared" si="145"/>
        <v>0</v>
      </c>
      <c r="BA635" s="518"/>
      <c r="BB635" s="518"/>
      <c r="BC635" s="518"/>
      <c r="BD635" s="518"/>
      <c r="BE635" s="518"/>
      <c r="BF635" s="1074"/>
      <c r="BG635" s="518"/>
      <c r="BH635" s="518"/>
      <c r="BI635" s="256"/>
    </row>
    <row r="636" spans="2:61" hidden="1">
      <c r="B636" s="127"/>
      <c r="C636" s="115"/>
      <c r="D636" s="115"/>
      <c r="E636" s="115"/>
      <c r="F636" s="109"/>
      <c r="G636" s="426"/>
      <c r="H636" s="427"/>
      <c r="I636" s="335"/>
      <c r="J636" s="1506"/>
      <c r="L636" s="1657" t="s">
        <v>536</v>
      </c>
      <c r="M636" s="1657"/>
      <c r="N636" s="1657"/>
      <c r="O636" s="1657" t="s">
        <v>537</v>
      </c>
      <c r="P636" s="1657"/>
      <c r="Q636" s="1657"/>
      <c r="AX636" s="1498"/>
      <c r="AY636" s="916">
        <v>0.05</v>
      </c>
      <c r="AZ636" s="925">
        <f t="shared" si="145"/>
        <v>0</v>
      </c>
    </row>
    <row r="637" spans="2:61" s="113" customFormat="1" hidden="1">
      <c r="B637" s="127"/>
      <c r="C637" s="132"/>
      <c r="D637" s="132" t="s">
        <v>28</v>
      </c>
      <c r="E637" s="115"/>
      <c r="F637" s="109" t="s">
        <v>68</v>
      </c>
      <c r="G637" s="426"/>
      <c r="H637" s="427"/>
      <c r="I637" s="335"/>
      <c r="J637" s="1506"/>
      <c r="K637" s="912"/>
      <c r="L637" s="928" t="s">
        <v>70</v>
      </c>
      <c r="M637" s="928" t="s">
        <v>71</v>
      </c>
      <c r="N637" s="928" t="s">
        <v>72</v>
      </c>
      <c r="O637" s="928" t="s">
        <v>70</v>
      </c>
      <c r="P637" s="928" t="s">
        <v>71</v>
      </c>
      <c r="Q637" s="928" t="s">
        <v>72</v>
      </c>
      <c r="R637" s="928"/>
      <c r="S637" s="518"/>
      <c r="T637" s="518"/>
      <c r="U637" s="518"/>
      <c r="V637" s="518"/>
      <c r="W637" s="518"/>
      <c r="X637" s="518"/>
      <c r="Y637" s="518"/>
      <c r="Z637" s="518"/>
      <c r="AA637" s="518"/>
      <c r="AB637" s="518"/>
      <c r="AC637" s="518"/>
      <c r="AD637" s="518"/>
      <c r="AE637" s="518"/>
      <c r="AF637" s="518"/>
      <c r="AG637" s="518"/>
      <c r="AH637" s="518"/>
      <c r="AI637" s="518"/>
      <c r="AJ637" s="518"/>
      <c r="AK637" s="518"/>
      <c r="AL637" s="518"/>
      <c r="AM637" s="518"/>
      <c r="AN637" s="518"/>
      <c r="AO637" s="518"/>
      <c r="AP637" s="518"/>
      <c r="AQ637" s="518"/>
      <c r="AR637" s="518"/>
      <c r="AS637" s="518"/>
      <c r="AT637" s="518"/>
      <c r="AU637" s="518"/>
      <c r="AV637" s="518"/>
      <c r="AW637" s="518"/>
      <c r="AX637" s="1498"/>
      <c r="AY637" s="916">
        <v>0.05</v>
      </c>
      <c r="AZ637" s="925">
        <f t="shared" si="145"/>
        <v>0</v>
      </c>
      <c r="BA637" s="518"/>
      <c r="BB637" s="518"/>
      <c r="BC637" s="518"/>
      <c r="BD637" s="518"/>
      <c r="BE637" s="518"/>
      <c r="BF637" s="1074"/>
      <c r="BG637" s="518"/>
      <c r="BH637" s="518"/>
      <c r="BI637" s="256"/>
    </row>
    <row r="638" spans="2:61" s="113" customFormat="1" ht="56.25" hidden="1">
      <c r="B638" s="127"/>
      <c r="C638" s="133"/>
      <c r="D638" s="133">
        <v>1</v>
      </c>
      <c r="E638" s="115"/>
      <c r="F638" s="794" t="s">
        <v>399</v>
      </c>
      <c r="G638" s="962" t="s">
        <v>1227</v>
      </c>
      <c r="H638" s="962" t="s">
        <v>1229</v>
      </c>
      <c r="I638" s="1089">
        <v>230</v>
      </c>
      <c r="J638" s="1506"/>
      <c r="K638" s="912"/>
      <c r="L638" s="928">
        <v>11020007</v>
      </c>
      <c r="M638" s="928">
        <v>0</v>
      </c>
      <c r="N638" s="928">
        <v>0</v>
      </c>
      <c r="O638" s="928" t="s">
        <v>1009</v>
      </c>
      <c r="P638" s="928">
        <v>0</v>
      </c>
      <c r="Q638" s="928">
        <v>0</v>
      </c>
      <c r="R638" s="518"/>
      <c r="S638" s="518"/>
      <c r="T638" s="518"/>
      <c r="U638" s="518"/>
      <c r="V638" s="518"/>
      <c r="W638" s="518"/>
      <c r="X638" s="518"/>
      <c r="Y638" s="518"/>
      <c r="Z638" s="518"/>
      <c r="AA638" s="518"/>
      <c r="AB638" s="518"/>
      <c r="AC638" s="518"/>
      <c r="AD638" s="518"/>
      <c r="AE638" s="518"/>
      <c r="AF638" s="518"/>
      <c r="AG638" s="518"/>
      <c r="AH638" s="518"/>
      <c r="AI638" s="518"/>
      <c r="AJ638" s="518"/>
      <c r="AK638" s="518"/>
      <c r="AL638" s="518"/>
      <c r="AM638" s="518"/>
      <c r="AN638" s="518"/>
      <c r="AO638" s="518"/>
      <c r="AP638" s="518"/>
      <c r="AQ638" s="518"/>
      <c r="AR638" s="518"/>
      <c r="AS638" s="518"/>
      <c r="AT638" s="518"/>
      <c r="AU638" s="518"/>
      <c r="AV638" s="518"/>
      <c r="AW638" s="518"/>
      <c r="AX638" s="1498">
        <v>183</v>
      </c>
      <c r="AY638" s="916">
        <v>0.05</v>
      </c>
      <c r="AZ638" s="925">
        <f t="shared" si="145"/>
        <v>192.15</v>
      </c>
      <c r="BA638" s="518"/>
      <c r="BB638" s="518"/>
      <c r="BC638" s="518"/>
      <c r="BD638" s="518"/>
      <c r="BE638" s="518"/>
      <c r="BF638" s="1074"/>
      <c r="BG638" s="518"/>
      <c r="BH638" s="518"/>
      <c r="BI638" s="256"/>
    </row>
    <row r="639" spans="2:61" s="113" customFormat="1" ht="33.75" hidden="1">
      <c r="B639" s="127"/>
      <c r="C639" s="133"/>
      <c r="D639" s="133">
        <v>2</v>
      </c>
      <c r="E639" s="115"/>
      <c r="F639" s="794" t="s">
        <v>400</v>
      </c>
      <c r="G639" s="962" t="s">
        <v>1228</v>
      </c>
      <c r="H639" s="962" t="s">
        <v>1230</v>
      </c>
      <c r="I639" s="1089">
        <v>260</v>
      </c>
      <c r="J639" s="1506"/>
      <c r="K639" s="912"/>
      <c r="L639" s="928">
        <v>11020007</v>
      </c>
      <c r="M639" s="928">
        <v>11060096</v>
      </c>
      <c r="N639" s="928">
        <v>0</v>
      </c>
      <c r="O639" s="928" t="s">
        <v>1009</v>
      </c>
      <c r="P639" s="928" t="s">
        <v>540</v>
      </c>
      <c r="Q639" s="928">
        <v>0</v>
      </c>
      <c r="R639" s="518"/>
      <c r="S639" s="518"/>
      <c r="T639" s="518"/>
      <c r="U639" s="518"/>
      <c r="V639" s="518"/>
      <c r="W639" s="518"/>
      <c r="X639" s="518"/>
      <c r="Y639" s="518"/>
      <c r="Z639" s="518"/>
      <c r="AA639" s="518"/>
      <c r="AB639" s="518"/>
      <c r="AC639" s="518"/>
      <c r="AD639" s="518"/>
      <c r="AE639" s="518"/>
      <c r="AF639" s="518"/>
      <c r="AG639" s="518"/>
      <c r="AH639" s="518"/>
      <c r="AI639" s="518"/>
      <c r="AJ639" s="518"/>
      <c r="AK639" s="518"/>
      <c r="AL639" s="518"/>
      <c r="AM639" s="518"/>
      <c r="AN639" s="518"/>
      <c r="AO639" s="518"/>
      <c r="AP639" s="518"/>
      <c r="AQ639" s="518"/>
      <c r="AR639" s="518"/>
      <c r="AS639" s="518"/>
      <c r="AT639" s="518"/>
      <c r="AU639" s="518"/>
      <c r="AV639" s="518"/>
      <c r="AW639" s="518"/>
      <c r="AX639" s="1498">
        <v>199</v>
      </c>
      <c r="AY639" s="916">
        <v>0.05</v>
      </c>
      <c r="AZ639" s="925">
        <f t="shared" si="145"/>
        <v>208.95000000000002</v>
      </c>
      <c r="BA639" s="518"/>
      <c r="BB639" s="518"/>
      <c r="BC639" s="518"/>
      <c r="BD639" s="518"/>
      <c r="BE639" s="518"/>
      <c r="BF639" s="1074"/>
      <c r="BG639" s="518"/>
      <c r="BH639" s="518"/>
      <c r="BI639" s="256"/>
    </row>
    <row r="640" spans="2:61" s="113" customFormat="1" ht="22.5" hidden="1">
      <c r="B640" s="127"/>
      <c r="C640" s="133"/>
      <c r="D640" s="133"/>
      <c r="E640" s="115"/>
      <c r="F640" s="794" t="s">
        <v>401</v>
      </c>
      <c r="G640" s="962" t="s">
        <v>775</v>
      </c>
      <c r="H640" s="962" t="s">
        <v>1097</v>
      </c>
      <c r="I640" s="963">
        <v>295</v>
      </c>
      <c r="J640" s="1506"/>
      <c r="K640" s="912"/>
      <c r="L640" s="928">
        <v>11020007</v>
      </c>
      <c r="M640" s="928">
        <v>11060045</v>
      </c>
      <c r="N640" s="928">
        <v>0</v>
      </c>
      <c r="O640" s="928" t="s">
        <v>1009</v>
      </c>
      <c r="P640" s="928">
        <v>5308074</v>
      </c>
      <c r="Q640" s="928">
        <v>0</v>
      </c>
      <c r="R640" s="518"/>
      <c r="S640" s="518"/>
      <c r="T640" s="518"/>
      <c r="U640" s="518"/>
      <c r="V640" s="518"/>
      <c r="W640" s="518"/>
      <c r="X640" s="518"/>
      <c r="Y640" s="518"/>
      <c r="Z640" s="518"/>
      <c r="AA640" s="518"/>
      <c r="AB640" s="518"/>
      <c r="AC640" s="518"/>
      <c r="AD640" s="518"/>
      <c r="AE640" s="518"/>
      <c r="AF640" s="518"/>
      <c r="AG640" s="518"/>
      <c r="AH640" s="518"/>
      <c r="AI640" s="518"/>
      <c r="AJ640" s="518"/>
      <c r="AK640" s="518"/>
      <c r="AL640" s="518"/>
      <c r="AM640" s="518"/>
      <c r="AN640" s="518"/>
      <c r="AO640" s="518"/>
      <c r="AP640" s="518"/>
      <c r="AQ640" s="518"/>
      <c r="AR640" s="518"/>
      <c r="AS640" s="518"/>
      <c r="AT640" s="518"/>
      <c r="AU640" s="518"/>
      <c r="AV640" s="518"/>
      <c r="AW640" s="518"/>
      <c r="AX640" s="1498">
        <v>267</v>
      </c>
      <c r="AY640" s="916">
        <v>0.05</v>
      </c>
      <c r="AZ640" s="925">
        <f t="shared" si="145"/>
        <v>280.35000000000002</v>
      </c>
      <c r="BA640" s="518"/>
      <c r="BB640" s="518"/>
      <c r="BC640" s="518"/>
      <c r="BD640" s="518"/>
      <c r="BE640" s="518"/>
      <c r="BF640" s="1074"/>
      <c r="BG640" s="518"/>
      <c r="BH640" s="518"/>
      <c r="BI640" s="256"/>
    </row>
    <row r="641" spans="2:61" s="113" customFormat="1" hidden="1">
      <c r="B641" s="127"/>
      <c r="C641" s="133"/>
      <c r="D641" s="133">
        <v>3</v>
      </c>
      <c r="E641" s="115"/>
      <c r="F641" s="794" t="s">
        <v>402</v>
      </c>
      <c r="G641" s="962">
        <v>11060010</v>
      </c>
      <c r="H641" s="962">
        <v>6013254</v>
      </c>
      <c r="I641" s="963">
        <v>175</v>
      </c>
      <c r="J641" s="1506"/>
      <c r="K641" s="912"/>
      <c r="L641" s="928">
        <v>11060039</v>
      </c>
      <c r="M641" s="928" t="s">
        <v>541</v>
      </c>
      <c r="N641" s="928">
        <v>0</v>
      </c>
      <c r="O641" s="928">
        <v>7030536</v>
      </c>
      <c r="P641" s="928" t="s">
        <v>542</v>
      </c>
      <c r="Q641" s="928">
        <v>0</v>
      </c>
      <c r="R641" s="518"/>
      <c r="S641" s="518"/>
      <c r="T641" s="518"/>
      <c r="U641" s="518"/>
      <c r="V641" s="518"/>
      <c r="W641" s="518"/>
      <c r="X641" s="518"/>
      <c r="Y641" s="518"/>
      <c r="Z641" s="518"/>
      <c r="AA641" s="518"/>
      <c r="AB641" s="518"/>
      <c r="AC641" s="518"/>
      <c r="AD641" s="518"/>
      <c r="AE641" s="518"/>
      <c r="AF641" s="518"/>
      <c r="AG641" s="518"/>
      <c r="AH641" s="518"/>
      <c r="AI641" s="518"/>
      <c r="AJ641" s="518"/>
      <c r="AK641" s="518"/>
      <c r="AL641" s="518"/>
      <c r="AM641" s="518"/>
      <c r="AN641" s="518"/>
      <c r="AO641" s="518"/>
      <c r="AP641" s="518"/>
      <c r="AQ641" s="518"/>
      <c r="AR641" s="518"/>
      <c r="AS641" s="518"/>
      <c r="AT641" s="518"/>
      <c r="AU641" s="518"/>
      <c r="AV641" s="518"/>
      <c r="AW641" s="518"/>
      <c r="AX641" s="1498">
        <v>156</v>
      </c>
      <c r="AY641" s="916">
        <v>0.05</v>
      </c>
      <c r="AZ641" s="925">
        <f t="shared" si="145"/>
        <v>163.80000000000001</v>
      </c>
      <c r="BA641" s="518"/>
      <c r="BB641" s="518"/>
      <c r="BC641" s="518"/>
      <c r="BD641" s="518"/>
      <c r="BE641" s="518"/>
      <c r="BF641" s="1074"/>
      <c r="BG641" s="518"/>
      <c r="BH641" s="518"/>
      <c r="BI641" s="256"/>
    </row>
    <row r="642" spans="2:61" s="113" customFormat="1" hidden="1">
      <c r="B642" s="127"/>
      <c r="C642" s="133"/>
      <c r="D642" s="133">
        <v>4</v>
      </c>
      <c r="E642" s="115"/>
      <c r="F642" s="157"/>
      <c r="G642" s="377"/>
      <c r="H642" s="377"/>
      <c r="I642" s="402"/>
      <c r="J642" s="1506"/>
      <c r="K642" s="912"/>
      <c r="L642" s="519"/>
      <c r="M642" s="519"/>
      <c r="N642" s="518"/>
      <c r="O642" s="518"/>
      <c r="P642" s="518"/>
      <c r="Q642" s="518"/>
      <c r="R642" s="518"/>
      <c r="S642" s="518"/>
      <c r="T642" s="518"/>
      <c r="U642" s="518"/>
      <c r="V642" s="518"/>
      <c r="W642" s="518"/>
      <c r="X642" s="518"/>
      <c r="Y642" s="518"/>
      <c r="Z642" s="518"/>
      <c r="AA642" s="518"/>
      <c r="AB642" s="518"/>
      <c r="AC642" s="518"/>
      <c r="AD642" s="518"/>
      <c r="AE642" s="518"/>
      <c r="AF642" s="518"/>
      <c r="AG642" s="518"/>
      <c r="AH642" s="518"/>
      <c r="AI642" s="518"/>
      <c r="AJ642" s="518"/>
      <c r="AK642" s="518"/>
      <c r="AL642" s="518"/>
      <c r="AM642" s="518"/>
      <c r="AN642" s="518"/>
      <c r="AO642" s="518"/>
      <c r="AP642" s="518"/>
      <c r="AQ642" s="518"/>
      <c r="AR642" s="518"/>
      <c r="AS642" s="518"/>
      <c r="AT642" s="518"/>
      <c r="AU642" s="518"/>
      <c r="AV642" s="518"/>
      <c r="AW642" s="518"/>
      <c r="AX642" s="1498"/>
      <c r="AY642" s="916">
        <v>0.05</v>
      </c>
      <c r="AZ642" s="925">
        <f t="shared" si="145"/>
        <v>0</v>
      </c>
      <c r="BA642" s="518"/>
      <c r="BB642" s="518"/>
      <c r="BC642" s="518"/>
      <c r="BD642" s="518"/>
      <c r="BE642" s="518"/>
      <c r="BF642" s="1074"/>
      <c r="BG642" s="518"/>
      <c r="BH642" s="518"/>
      <c r="BI642" s="256"/>
    </row>
    <row r="643" spans="2:61" s="113" customFormat="1" hidden="1">
      <c r="B643" s="127"/>
      <c r="C643" s="133"/>
      <c r="D643" s="133">
        <v>5</v>
      </c>
      <c r="E643" s="115"/>
      <c r="F643" s="157"/>
      <c r="G643" s="377"/>
      <c r="H643" s="377"/>
      <c r="I643" s="402"/>
      <c r="J643" s="1506"/>
      <c r="K643" s="912"/>
      <c r="L643" s="519"/>
      <c r="M643" s="519"/>
      <c r="N643" s="518"/>
      <c r="O643" s="518"/>
      <c r="P643" s="518"/>
      <c r="Q643" s="518"/>
      <c r="R643" s="518"/>
      <c r="S643" s="518"/>
      <c r="T643" s="518"/>
      <c r="U643" s="518"/>
      <c r="V643" s="518"/>
      <c r="W643" s="518"/>
      <c r="X643" s="518"/>
      <c r="Y643" s="518"/>
      <c r="Z643" s="518"/>
      <c r="AA643" s="518"/>
      <c r="AB643" s="518"/>
      <c r="AC643" s="518"/>
      <c r="AD643" s="518"/>
      <c r="AE643" s="518"/>
      <c r="AF643" s="518"/>
      <c r="AG643" s="518"/>
      <c r="AH643" s="518"/>
      <c r="AI643" s="518"/>
      <c r="AJ643" s="518"/>
      <c r="AK643" s="518"/>
      <c r="AL643" s="518"/>
      <c r="AM643" s="518"/>
      <c r="AN643" s="518"/>
      <c r="AO643" s="518"/>
      <c r="AP643" s="518"/>
      <c r="AQ643" s="518"/>
      <c r="AR643" s="518"/>
      <c r="AS643" s="518"/>
      <c r="AT643" s="518"/>
      <c r="AU643" s="518"/>
      <c r="AV643" s="518"/>
      <c r="AW643" s="518"/>
      <c r="AX643" s="1498"/>
      <c r="AY643" s="916">
        <v>0.05</v>
      </c>
      <c r="AZ643" s="925">
        <f t="shared" si="145"/>
        <v>0</v>
      </c>
      <c r="BA643" s="518"/>
      <c r="BB643" s="518"/>
      <c r="BC643" s="518"/>
      <c r="BD643" s="518"/>
      <c r="BE643" s="518"/>
      <c r="BF643" s="1074"/>
      <c r="BG643" s="518"/>
      <c r="BH643" s="518"/>
      <c r="BI643" s="256"/>
    </row>
    <row r="644" spans="2:61" s="113" customFormat="1" hidden="1">
      <c r="B644" s="127"/>
      <c r="C644" s="133"/>
      <c r="D644" s="133">
        <v>6</v>
      </c>
      <c r="E644" s="115"/>
      <c r="F644" s="157"/>
      <c r="G644" s="377"/>
      <c r="H644" s="377"/>
      <c r="I644" s="402"/>
      <c r="J644" s="1506"/>
      <c r="K644" s="912"/>
      <c r="L644" s="519"/>
      <c r="M644" s="519"/>
      <c r="N644" s="518"/>
      <c r="O644" s="518"/>
      <c r="P644" s="518"/>
      <c r="Q644" s="518"/>
      <c r="R644" s="518"/>
      <c r="S644" s="518"/>
      <c r="T644" s="518"/>
      <c r="U644" s="518"/>
      <c r="V644" s="518"/>
      <c r="W644" s="518"/>
      <c r="X644" s="518"/>
      <c r="Y644" s="518"/>
      <c r="Z644" s="518"/>
      <c r="AA644" s="518"/>
      <c r="AB644" s="518"/>
      <c r="AC644" s="518"/>
      <c r="AD644" s="518"/>
      <c r="AE644" s="518"/>
      <c r="AF644" s="518"/>
      <c r="AG644" s="518"/>
      <c r="AH644" s="518"/>
      <c r="AI644" s="518"/>
      <c r="AJ644" s="518"/>
      <c r="AK644" s="518"/>
      <c r="AL644" s="518"/>
      <c r="AM644" s="518"/>
      <c r="AN644" s="518"/>
      <c r="AO644" s="518"/>
      <c r="AP644" s="518"/>
      <c r="AQ644" s="518"/>
      <c r="AR644" s="518"/>
      <c r="AS644" s="518"/>
      <c r="AT644" s="518"/>
      <c r="AU644" s="518"/>
      <c r="AV644" s="518"/>
      <c r="AW644" s="518"/>
      <c r="AX644" s="1498"/>
      <c r="AY644" s="916">
        <v>0.05</v>
      </c>
      <c r="AZ644" s="925">
        <f t="shared" si="145"/>
        <v>0</v>
      </c>
      <c r="BA644" s="518"/>
      <c r="BB644" s="518"/>
      <c r="BC644" s="518"/>
      <c r="BD644" s="518"/>
      <c r="BE644" s="518"/>
      <c r="BF644" s="1074"/>
      <c r="BG644" s="518"/>
      <c r="BH644" s="518"/>
      <c r="BI644" s="256"/>
    </row>
    <row r="645" spans="2:61" s="113" customFormat="1" ht="12" hidden="1" customHeight="1">
      <c r="B645" s="127"/>
      <c r="C645" s="133"/>
      <c r="D645" s="133">
        <v>7</v>
      </c>
      <c r="E645" s="115"/>
      <c r="F645" s="154"/>
      <c r="G645" s="377"/>
      <c r="H645" s="377"/>
      <c r="I645" s="402"/>
      <c r="J645" s="1506"/>
      <c r="K645" s="912"/>
      <c r="L645" s="519"/>
      <c r="M645" s="519"/>
      <c r="N645" s="518"/>
      <c r="O645" s="518"/>
      <c r="P645" s="518"/>
      <c r="Q645" s="518"/>
      <c r="R645" s="518"/>
      <c r="S645" s="518"/>
      <c r="T645" s="518"/>
      <c r="U645" s="518"/>
      <c r="V645" s="518"/>
      <c r="W645" s="518"/>
      <c r="X645" s="518"/>
      <c r="Y645" s="518"/>
      <c r="Z645" s="518"/>
      <c r="AA645" s="518"/>
      <c r="AB645" s="518"/>
      <c r="AC645" s="518"/>
      <c r="AD645" s="518"/>
      <c r="AE645" s="518"/>
      <c r="AF645" s="518"/>
      <c r="AG645" s="518"/>
      <c r="AH645" s="518"/>
      <c r="AI645" s="518"/>
      <c r="AJ645" s="518"/>
      <c r="AK645" s="518"/>
      <c r="AL645" s="518"/>
      <c r="AM645" s="518"/>
      <c r="AN645" s="518"/>
      <c r="AO645" s="518"/>
      <c r="AP645" s="518"/>
      <c r="AQ645" s="518"/>
      <c r="AR645" s="518"/>
      <c r="AS645" s="518"/>
      <c r="AT645" s="518"/>
      <c r="AU645" s="518"/>
      <c r="AV645" s="518"/>
      <c r="AW645" s="518"/>
      <c r="AX645" s="1498"/>
      <c r="AY645" s="916">
        <v>0.05</v>
      </c>
      <c r="AZ645" s="925">
        <f t="shared" si="145"/>
        <v>0</v>
      </c>
      <c r="BA645" s="518"/>
      <c r="BB645" s="518"/>
      <c r="BC645" s="518"/>
      <c r="BD645" s="518"/>
      <c r="BE645" s="518"/>
      <c r="BF645" s="1074"/>
      <c r="BG645" s="518"/>
      <c r="BH645" s="518"/>
      <c r="BI645" s="256"/>
    </row>
    <row r="646" spans="2:61" hidden="1">
      <c r="B646" s="127"/>
      <c r="C646" s="115"/>
      <c r="D646" s="115"/>
      <c r="E646" s="115"/>
      <c r="F646" s="109"/>
      <c r="G646" s="28"/>
      <c r="H646" s="109"/>
      <c r="I646" s="335"/>
      <c r="J646" s="1506"/>
      <c r="AX646" s="1498"/>
      <c r="AY646" s="916">
        <v>0.05</v>
      </c>
      <c r="AZ646" s="925">
        <f t="shared" si="145"/>
        <v>0</v>
      </c>
    </row>
    <row r="647" spans="2:61" s="113" customFormat="1" hidden="1">
      <c r="B647" s="127"/>
      <c r="C647" s="132"/>
      <c r="D647" s="132" t="s">
        <v>29</v>
      </c>
      <c r="E647" s="115"/>
      <c r="F647" s="382" t="s">
        <v>543</v>
      </c>
      <c r="G647" s="28"/>
      <c r="H647" s="109"/>
      <c r="I647" s="335"/>
      <c r="J647" s="1506"/>
      <c r="K647" s="912"/>
      <c r="L647" s="519"/>
      <c r="M647" s="519"/>
      <c r="N647" s="518"/>
      <c r="O647" s="518"/>
      <c r="P647" s="518"/>
      <c r="Q647" s="518"/>
      <c r="R647" s="518"/>
      <c r="S647" s="518"/>
      <c r="T647" s="518"/>
      <c r="U647" s="518"/>
      <c r="V647" s="518"/>
      <c r="W647" s="518"/>
      <c r="X647" s="518"/>
      <c r="Y647" s="518"/>
      <c r="Z647" s="518"/>
      <c r="AA647" s="518"/>
      <c r="AB647" s="518"/>
      <c r="AC647" s="518"/>
      <c r="AD647" s="518"/>
      <c r="AE647" s="518"/>
      <c r="AF647" s="518"/>
      <c r="AG647" s="518"/>
      <c r="AH647" s="518"/>
      <c r="AI647" s="518"/>
      <c r="AJ647" s="518"/>
      <c r="AK647" s="518"/>
      <c r="AL647" s="518"/>
      <c r="AM647" s="518"/>
      <c r="AN647" s="518"/>
      <c r="AO647" s="518"/>
      <c r="AP647" s="518"/>
      <c r="AQ647" s="518"/>
      <c r="AR647" s="518"/>
      <c r="AS647" s="518"/>
      <c r="AT647" s="518"/>
      <c r="AU647" s="518"/>
      <c r="AV647" s="518"/>
      <c r="AW647" s="518"/>
      <c r="AX647" s="1498"/>
      <c r="AY647" s="916">
        <v>0.05</v>
      </c>
      <c r="AZ647" s="925">
        <f t="shared" si="145"/>
        <v>0</v>
      </c>
      <c r="BA647" s="518"/>
      <c r="BB647" s="518"/>
      <c r="BC647" s="518"/>
      <c r="BD647" s="518"/>
      <c r="BE647" s="518"/>
      <c r="BF647" s="1074"/>
      <c r="BG647" s="518"/>
      <c r="BH647" s="518"/>
      <c r="BI647" s="256"/>
    </row>
    <row r="648" spans="2:61" s="113" customFormat="1" hidden="1">
      <c r="B648" s="127"/>
      <c r="C648" s="204"/>
      <c r="D648" s="204" t="str">
        <f t="shared" ref="D648:D659" si="146">E648&amp;F648</f>
        <v>Reflective Sensor -WL8G-N2131 (inc bracket &amp; refector)PE Cable - 3m</v>
      </c>
      <c r="E648" s="428" t="str">
        <f>F638</f>
        <v>Reflective Sensor -WL8G-N2131 (inc bracket &amp; refector)</v>
      </c>
      <c r="F648" s="100" t="s">
        <v>70</v>
      </c>
      <c r="G648" s="377">
        <v>11060096</v>
      </c>
      <c r="H648" s="377" t="s">
        <v>540</v>
      </c>
      <c r="I648" s="402">
        <v>24</v>
      </c>
      <c r="J648" s="1506"/>
      <c r="K648" s="912"/>
      <c r="L648" s="519"/>
      <c r="M648" s="519"/>
      <c r="N648" s="518"/>
      <c r="O648" s="518"/>
      <c r="P648" s="518"/>
      <c r="Q648" s="518"/>
      <c r="R648" s="518"/>
      <c r="S648" s="518"/>
      <c r="T648" s="518"/>
      <c r="U648" s="518"/>
      <c r="V648" s="518"/>
      <c r="W648" s="518"/>
      <c r="X648" s="518"/>
      <c r="Y648" s="518"/>
      <c r="Z648" s="518"/>
      <c r="AA648" s="518"/>
      <c r="AB648" s="518"/>
      <c r="AC648" s="518"/>
      <c r="AD648" s="518"/>
      <c r="AE648" s="518"/>
      <c r="AF648" s="518"/>
      <c r="AG648" s="518"/>
      <c r="AH648" s="518"/>
      <c r="AI648" s="518"/>
      <c r="AJ648" s="518"/>
      <c r="AK648" s="518"/>
      <c r="AL648" s="518"/>
      <c r="AM648" s="518"/>
      <c r="AN648" s="518"/>
      <c r="AO648" s="518"/>
      <c r="AP648" s="518"/>
      <c r="AQ648" s="518"/>
      <c r="AR648" s="518"/>
      <c r="AS648" s="518"/>
      <c r="AT648" s="518"/>
      <c r="AU648" s="518"/>
      <c r="AV648" s="518"/>
      <c r="AW648" s="518"/>
      <c r="AX648" s="1498">
        <v>15</v>
      </c>
      <c r="AY648" s="916">
        <v>0.05</v>
      </c>
      <c r="AZ648" s="925">
        <f t="shared" si="145"/>
        <v>15.75</v>
      </c>
      <c r="BA648" s="518"/>
      <c r="BB648" s="518"/>
      <c r="BC648" s="518"/>
      <c r="BD648" s="518"/>
      <c r="BE648" s="518"/>
      <c r="BF648" s="1074"/>
      <c r="BG648" s="518"/>
      <c r="BH648" s="518"/>
      <c r="BI648" s="256"/>
    </row>
    <row r="649" spans="2:61" s="113" customFormat="1" hidden="1">
      <c r="B649" s="127"/>
      <c r="C649" s="204"/>
      <c r="D649" s="204" t="str">
        <f t="shared" si="146"/>
        <v>Reflective Sensor -WL8G-N2131 (inc bracket &amp; refector)PE Cable - 5m</v>
      </c>
      <c r="E649" s="428" t="str">
        <f>E648</f>
        <v>Reflective Sensor -WL8G-N2131 (inc bracket &amp; refector)</v>
      </c>
      <c r="F649" s="100" t="s">
        <v>71</v>
      </c>
      <c r="G649" s="377">
        <v>11020007</v>
      </c>
      <c r="H649" s="377" t="s">
        <v>1009</v>
      </c>
      <c r="I649" s="402">
        <v>20</v>
      </c>
      <c r="J649" s="1506"/>
      <c r="K649" s="912"/>
      <c r="L649" s="519"/>
      <c r="M649" s="519"/>
      <c r="N649" s="518"/>
      <c r="O649" s="518"/>
      <c r="P649" s="518"/>
      <c r="Q649" s="518"/>
      <c r="R649" s="518"/>
      <c r="S649" s="518"/>
      <c r="T649" s="518"/>
      <c r="U649" s="518"/>
      <c r="V649" s="518"/>
      <c r="W649" s="518"/>
      <c r="X649" s="518"/>
      <c r="Y649" s="518"/>
      <c r="Z649" s="518"/>
      <c r="AA649" s="518"/>
      <c r="AB649" s="518"/>
      <c r="AC649" s="518"/>
      <c r="AD649" s="518"/>
      <c r="AE649" s="518"/>
      <c r="AF649" s="518"/>
      <c r="AG649" s="518"/>
      <c r="AH649" s="518"/>
      <c r="AI649" s="518"/>
      <c r="AJ649" s="518"/>
      <c r="AK649" s="518"/>
      <c r="AL649" s="518"/>
      <c r="AM649" s="518"/>
      <c r="AN649" s="518"/>
      <c r="AO649" s="518"/>
      <c r="AP649" s="518"/>
      <c r="AQ649" s="518"/>
      <c r="AR649" s="518"/>
      <c r="AS649" s="518"/>
      <c r="AT649" s="518"/>
      <c r="AU649" s="518"/>
      <c r="AV649" s="518"/>
      <c r="AW649" s="518"/>
      <c r="AX649" s="1498" t="s">
        <v>69</v>
      </c>
      <c r="AY649" s="916">
        <v>0.05</v>
      </c>
      <c r="AZ649" s="925" t="e">
        <f t="shared" si="145"/>
        <v>#VALUE!</v>
      </c>
      <c r="BA649" s="518"/>
      <c r="BB649" s="518"/>
      <c r="BC649" s="518"/>
      <c r="BD649" s="518"/>
      <c r="BE649" s="518"/>
      <c r="BF649" s="1074"/>
      <c r="BG649" s="518"/>
      <c r="BH649" s="518"/>
      <c r="BI649" s="256"/>
    </row>
    <row r="650" spans="2:61" s="113" customFormat="1" hidden="1">
      <c r="B650" s="127"/>
      <c r="C650" s="934"/>
      <c r="D650" s="934" t="str">
        <f t="shared" si="146"/>
        <v>Reflective Sensor -WL8G-N2131 (inc bracket &amp; refector)PE Cable - Custom</v>
      </c>
      <c r="E650" s="428" t="str">
        <f>E648</f>
        <v>Reflective Sensor -WL8G-N2131 (inc bracket &amp; refector)</v>
      </c>
      <c r="F650" s="100" t="s">
        <v>72</v>
      </c>
      <c r="G650" s="377" t="s">
        <v>576</v>
      </c>
      <c r="H650" s="377" t="s">
        <v>576</v>
      </c>
      <c r="I650" s="402" t="s">
        <v>69</v>
      </c>
      <c r="J650" s="1506"/>
      <c r="K650" s="912"/>
      <c r="L650" s="519"/>
      <c r="M650" s="519"/>
      <c r="N650" s="518"/>
      <c r="O650" s="518"/>
      <c r="P650" s="518"/>
      <c r="Q650" s="518"/>
      <c r="R650" s="518"/>
      <c r="S650" s="518"/>
      <c r="T650" s="518"/>
      <c r="U650" s="518"/>
      <c r="V650" s="518"/>
      <c r="W650" s="518"/>
      <c r="X650" s="518"/>
      <c r="Y650" s="518"/>
      <c r="Z650" s="518"/>
      <c r="AA650" s="518"/>
      <c r="AB650" s="518"/>
      <c r="AC650" s="518"/>
      <c r="AD650" s="518"/>
      <c r="AE650" s="518"/>
      <c r="AF650" s="518"/>
      <c r="AG650" s="518"/>
      <c r="AH650" s="518"/>
      <c r="AI650" s="518"/>
      <c r="AJ650" s="518"/>
      <c r="AK650" s="518"/>
      <c r="AL650" s="518"/>
      <c r="AM650" s="518"/>
      <c r="AN650" s="518"/>
      <c r="AO650" s="518"/>
      <c r="AP650" s="518"/>
      <c r="AQ650" s="518"/>
      <c r="AR650" s="518"/>
      <c r="AS650" s="518"/>
      <c r="AT650" s="518"/>
      <c r="AU650" s="518"/>
      <c r="AV650" s="518"/>
      <c r="AW650" s="518"/>
      <c r="AX650" s="1498" t="s">
        <v>69</v>
      </c>
      <c r="AY650" s="916">
        <v>0.05</v>
      </c>
      <c r="AZ650" s="925" t="e">
        <f t="shared" si="145"/>
        <v>#VALUE!</v>
      </c>
      <c r="BA650" s="518"/>
      <c r="BB650" s="518"/>
      <c r="BC650" s="518"/>
      <c r="BD650" s="518"/>
      <c r="BE650" s="518"/>
      <c r="BF650" s="1074"/>
      <c r="BG650" s="518"/>
      <c r="BH650" s="518"/>
      <c r="BI650" s="256"/>
    </row>
    <row r="651" spans="2:61" s="113" customFormat="1" hidden="1">
      <c r="B651" s="127"/>
      <c r="C651" s="204"/>
      <c r="D651" s="204" t="str">
        <f t="shared" si="146"/>
        <v>Proximity Sensor - WTB8-N2131 (incl bracket)PE Cable - 3m</v>
      </c>
      <c r="E651" s="428" t="str">
        <f>F639</f>
        <v>Proximity Sensor - WTB8-N2131 (incl bracket)</v>
      </c>
      <c r="F651" s="100" t="s">
        <v>70</v>
      </c>
      <c r="G651" s="377">
        <v>11060096</v>
      </c>
      <c r="H651" s="377" t="s">
        <v>540</v>
      </c>
      <c r="I651" s="402">
        <v>24</v>
      </c>
      <c r="J651" s="1506"/>
      <c r="K651" s="912"/>
      <c r="L651" s="519"/>
      <c r="M651" s="519"/>
      <c r="N651" s="518"/>
      <c r="O651" s="518"/>
      <c r="P651" s="518"/>
      <c r="Q651" s="518"/>
      <c r="R651" s="518"/>
      <c r="S651" s="518"/>
      <c r="T651" s="518"/>
      <c r="U651" s="518"/>
      <c r="V651" s="518"/>
      <c r="W651" s="518"/>
      <c r="X651" s="518"/>
      <c r="Y651" s="518"/>
      <c r="Z651" s="518"/>
      <c r="AA651" s="518"/>
      <c r="AB651" s="518"/>
      <c r="AC651" s="518"/>
      <c r="AD651" s="518"/>
      <c r="AE651" s="518"/>
      <c r="AF651" s="518"/>
      <c r="AG651" s="518"/>
      <c r="AH651" s="518"/>
      <c r="AI651" s="518"/>
      <c r="AJ651" s="518"/>
      <c r="AK651" s="518"/>
      <c r="AL651" s="518"/>
      <c r="AM651" s="518"/>
      <c r="AN651" s="518"/>
      <c r="AO651" s="518"/>
      <c r="AP651" s="518"/>
      <c r="AQ651" s="518"/>
      <c r="AR651" s="518"/>
      <c r="AS651" s="518"/>
      <c r="AT651" s="518"/>
      <c r="AU651" s="518"/>
      <c r="AV651" s="518"/>
      <c r="AW651" s="518"/>
      <c r="AX651" s="1498">
        <v>15</v>
      </c>
      <c r="AY651" s="916">
        <v>0.05</v>
      </c>
      <c r="AZ651" s="925">
        <f t="shared" si="145"/>
        <v>15.75</v>
      </c>
      <c r="BA651" s="518"/>
      <c r="BB651" s="518"/>
      <c r="BC651" s="518"/>
      <c r="BD651" s="518"/>
      <c r="BE651" s="518"/>
      <c r="BF651" s="1074"/>
      <c r="BG651" s="518"/>
      <c r="BH651" s="518"/>
      <c r="BI651" s="256"/>
    </row>
    <row r="652" spans="2:61" s="113" customFormat="1" hidden="1">
      <c r="B652" s="127"/>
      <c r="C652" s="204"/>
      <c r="D652" s="204" t="str">
        <f t="shared" si="146"/>
        <v>Proximity Sensor - WTB8-N2131 (incl bracket)PE Cable - 5m</v>
      </c>
      <c r="E652" s="428" t="str">
        <f>E651</f>
        <v>Proximity Sensor - WTB8-N2131 (incl bracket)</v>
      </c>
      <c r="F652" s="100" t="s">
        <v>71</v>
      </c>
      <c r="G652" s="377">
        <v>11020007</v>
      </c>
      <c r="H652" s="377" t="s">
        <v>1009</v>
      </c>
      <c r="I652" s="402">
        <v>20</v>
      </c>
      <c r="J652" s="1506"/>
      <c r="K652" s="912"/>
      <c r="L652" s="519"/>
      <c r="M652" s="519"/>
      <c r="N652" s="518"/>
      <c r="O652" s="518"/>
      <c r="P652" s="518"/>
      <c r="Q652" s="518"/>
      <c r="R652" s="518"/>
      <c r="S652" s="518"/>
      <c r="T652" s="518"/>
      <c r="U652" s="518"/>
      <c r="V652" s="518"/>
      <c r="W652" s="518"/>
      <c r="X652" s="518"/>
      <c r="Y652" s="518"/>
      <c r="Z652" s="518"/>
      <c r="AA652" s="518"/>
      <c r="AB652" s="518"/>
      <c r="AC652" s="518"/>
      <c r="AD652" s="518"/>
      <c r="AE652" s="518"/>
      <c r="AF652" s="518"/>
      <c r="AG652" s="518"/>
      <c r="AH652" s="518"/>
      <c r="AI652" s="518"/>
      <c r="AJ652" s="518"/>
      <c r="AK652" s="518"/>
      <c r="AL652" s="518"/>
      <c r="AM652" s="518"/>
      <c r="AN652" s="518"/>
      <c r="AO652" s="518"/>
      <c r="AP652" s="518"/>
      <c r="AQ652" s="518"/>
      <c r="AR652" s="518"/>
      <c r="AS652" s="518"/>
      <c r="AT652" s="518"/>
      <c r="AU652" s="518"/>
      <c r="AV652" s="518"/>
      <c r="AW652" s="518"/>
      <c r="AX652" s="1498">
        <v>21</v>
      </c>
      <c r="AY652" s="916">
        <v>0.05</v>
      </c>
      <c r="AZ652" s="925">
        <f t="shared" si="145"/>
        <v>22.05</v>
      </c>
      <c r="BA652" s="518"/>
      <c r="BB652" s="518"/>
      <c r="BC652" s="518"/>
      <c r="BD652" s="518"/>
      <c r="BE652" s="518"/>
      <c r="BF652" s="1074"/>
      <c r="BG652" s="518"/>
      <c r="BH652" s="518"/>
      <c r="BI652" s="256"/>
    </row>
    <row r="653" spans="2:61" s="113" customFormat="1" hidden="1">
      <c r="B653" s="127"/>
      <c r="C653" s="934"/>
      <c r="D653" s="934" t="str">
        <f t="shared" si="146"/>
        <v>Proximity Sensor - WTB8-N2131 (incl bracket)PE Cable - Custom</v>
      </c>
      <c r="E653" s="428" t="str">
        <f>E652</f>
        <v>Proximity Sensor - WTB8-N2131 (incl bracket)</v>
      </c>
      <c r="F653" s="100" t="s">
        <v>72</v>
      </c>
      <c r="G653" s="377" t="s">
        <v>577</v>
      </c>
      <c r="H653" s="377" t="s">
        <v>577</v>
      </c>
      <c r="I653" s="402" t="s">
        <v>69</v>
      </c>
      <c r="J653" s="1506"/>
      <c r="K653" s="912"/>
      <c r="L653" s="519"/>
      <c r="M653" s="519"/>
      <c r="N653" s="518"/>
      <c r="O653" s="518"/>
      <c r="P653" s="518"/>
      <c r="Q653" s="518"/>
      <c r="R653" s="518"/>
      <c r="S653" s="518"/>
      <c r="T653" s="518"/>
      <c r="U653" s="518"/>
      <c r="V653" s="518"/>
      <c r="W653" s="518"/>
      <c r="X653" s="518"/>
      <c r="Y653" s="518"/>
      <c r="Z653" s="518"/>
      <c r="AA653" s="518"/>
      <c r="AB653" s="518"/>
      <c r="AC653" s="518"/>
      <c r="AD653" s="518"/>
      <c r="AE653" s="518"/>
      <c r="AF653" s="518"/>
      <c r="AG653" s="518"/>
      <c r="AH653" s="518"/>
      <c r="AI653" s="518"/>
      <c r="AJ653" s="518"/>
      <c r="AK653" s="518"/>
      <c r="AL653" s="518"/>
      <c r="AM653" s="518"/>
      <c r="AN653" s="518"/>
      <c r="AO653" s="518"/>
      <c r="AP653" s="518"/>
      <c r="AQ653" s="518"/>
      <c r="AR653" s="518"/>
      <c r="AS653" s="518"/>
      <c r="AT653" s="518"/>
      <c r="AU653" s="518"/>
      <c r="AV653" s="518"/>
      <c r="AW653" s="518"/>
      <c r="AX653" s="1498" t="s">
        <v>69</v>
      </c>
      <c r="AY653" s="916">
        <v>0.05</v>
      </c>
      <c r="AZ653" s="925" t="e">
        <f t="shared" si="145"/>
        <v>#VALUE!</v>
      </c>
      <c r="BA653" s="518"/>
      <c r="BB653" s="518"/>
      <c r="BC653" s="518"/>
      <c r="BD653" s="518"/>
      <c r="BE653" s="518"/>
      <c r="BF653" s="1074"/>
      <c r="BG653" s="518"/>
      <c r="BH653" s="518"/>
      <c r="BI653" s="256"/>
    </row>
    <row r="654" spans="2:61" s="113" customFormat="1" hidden="1">
      <c r="B654" s="127"/>
      <c r="C654" s="204"/>
      <c r="D654" s="204" t="str">
        <f t="shared" si="146"/>
        <v>Fibre Optic Amplifier - WLL170-2N330PE Cable - 3m</v>
      </c>
      <c r="E654" s="428" t="str">
        <f>F640</f>
        <v>Fibre Optic Amplifier - WLL170-2N330</v>
      </c>
      <c r="F654" s="100" t="s">
        <v>70</v>
      </c>
      <c r="G654" s="377">
        <v>11060096</v>
      </c>
      <c r="H654" s="377" t="s">
        <v>776</v>
      </c>
      <c r="I654" s="402">
        <v>24</v>
      </c>
      <c r="J654" s="1506"/>
      <c r="K654" s="912"/>
      <c r="L654" s="519"/>
      <c r="M654" s="519"/>
      <c r="N654" s="518"/>
      <c r="O654" s="518"/>
      <c r="P654" s="518"/>
      <c r="Q654" s="518"/>
      <c r="R654" s="518"/>
      <c r="S654" s="518"/>
      <c r="T654" s="518"/>
      <c r="U654" s="518"/>
      <c r="V654" s="518"/>
      <c r="W654" s="518"/>
      <c r="X654" s="518"/>
      <c r="Y654" s="518"/>
      <c r="Z654" s="518"/>
      <c r="AA654" s="518"/>
      <c r="AB654" s="518"/>
      <c r="AC654" s="518"/>
      <c r="AD654" s="518"/>
      <c r="AE654" s="518"/>
      <c r="AF654" s="518"/>
      <c r="AG654" s="518"/>
      <c r="AH654" s="518"/>
      <c r="AI654" s="518"/>
      <c r="AJ654" s="518"/>
      <c r="AK654" s="518"/>
      <c r="AL654" s="518"/>
      <c r="AM654" s="518"/>
      <c r="AN654" s="518"/>
      <c r="AO654" s="518"/>
      <c r="AP654" s="518"/>
      <c r="AQ654" s="518"/>
      <c r="AR654" s="518"/>
      <c r="AS654" s="518"/>
      <c r="AT654" s="518"/>
      <c r="AU654" s="518"/>
      <c r="AV654" s="518"/>
      <c r="AW654" s="518"/>
      <c r="AX654" s="1498">
        <v>15</v>
      </c>
      <c r="AY654" s="916">
        <v>0.05</v>
      </c>
      <c r="AZ654" s="925">
        <f t="shared" si="145"/>
        <v>15.75</v>
      </c>
      <c r="BA654" s="518"/>
      <c r="BB654" s="518"/>
      <c r="BC654" s="518"/>
      <c r="BD654" s="518"/>
      <c r="BE654" s="518"/>
      <c r="BF654" s="1074"/>
      <c r="BG654" s="518"/>
      <c r="BH654" s="518"/>
      <c r="BI654" s="256"/>
    </row>
    <row r="655" spans="2:61" s="113" customFormat="1" hidden="1">
      <c r="B655" s="127"/>
      <c r="C655" s="204"/>
      <c r="D655" s="204" t="str">
        <f t="shared" si="146"/>
        <v>Fibre Optic Amplifier - WLL170-2N330PE Cable - 5m</v>
      </c>
      <c r="E655" s="428" t="str">
        <f>E654</f>
        <v>Fibre Optic Amplifier - WLL170-2N330</v>
      </c>
      <c r="F655" s="100" t="s">
        <v>71</v>
      </c>
      <c r="G655" s="377">
        <v>11020007</v>
      </c>
      <c r="H655" s="377" t="s">
        <v>1009</v>
      </c>
      <c r="I655" s="402">
        <v>20</v>
      </c>
      <c r="J655" s="1506"/>
      <c r="K655" s="912"/>
      <c r="L655" s="519"/>
      <c r="M655" s="519"/>
      <c r="N655" s="518"/>
      <c r="O655" s="518"/>
      <c r="P655" s="518"/>
      <c r="Q655" s="518"/>
      <c r="R655" s="518"/>
      <c r="S655" s="518"/>
      <c r="T655" s="518"/>
      <c r="U655" s="518"/>
      <c r="V655" s="518"/>
      <c r="W655" s="518"/>
      <c r="X655" s="518"/>
      <c r="Y655" s="518"/>
      <c r="Z655" s="518"/>
      <c r="AA655" s="518"/>
      <c r="AB655" s="518"/>
      <c r="AC655" s="518"/>
      <c r="AD655" s="518"/>
      <c r="AE655" s="518"/>
      <c r="AF655" s="518"/>
      <c r="AG655" s="518"/>
      <c r="AH655" s="518"/>
      <c r="AI655" s="518"/>
      <c r="AJ655" s="518"/>
      <c r="AK655" s="518"/>
      <c r="AL655" s="518"/>
      <c r="AM655" s="518"/>
      <c r="AN655" s="518"/>
      <c r="AO655" s="518"/>
      <c r="AP655" s="518"/>
      <c r="AQ655" s="518"/>
      <c r="AR655" s="518"/>
      <c r="AS655" s="518"/>
      <c r="AT655" s="518"/>
      <c r="AU655" s="518"/>
      <c r="AV655" s="518"/>
      <c r="AW655" s="518"/>
      <c r="AX655" s="1498">
        <v>15</v>
      </c>
      <c r="AY655" s="916">
        <v>0.05</v>
      </c>
      <c r="AZ655" s="925">
        <f t="shared" si="145"/>
        <v>15.75</v>
      </c>
      <c r="BA655" s="518"/>
      <c r="BB655" s="518"/>
      <c r="BC655" s="518"/>
      <c r="BD655" s="518"/>
      <c r="BE655" s="518"/>
      <c r="BF655" s="1074"/>
      <c r="BG655" s="518"/>
      <c r="BH655" s="518"/>
      <c r="BI655" s="256"/>
    </row>
    <row r="656" spans="2:61" s="113" customFormat="1" hidden="1">
      <c r="B656" s="127"/>
      <c r="C656" s="934"/>
      <c r="D656" s="934" t="str">
        <f t="shared" si="146"/>
        <v>Fibre Optic Amplifier - WLL170-2N330PE Cable - Custom</v>
      </c>
      <c r="E656" s="428" t="str">
        <f>E655</f>
        <v>Fibre Optic Amplifier - WLL170-2N330</v>
      </c>
      <c r="F656" s="100" t="s">
        <v>72</v>
      </c>
      <c r="G656" s="377" t="s">
        <v>578</v>
      </c>
      <c r="H656" s="377" t="s">
        <v>578</v>
      </c>
      <c r="I656" s="402" t="s">
        <v>69</v>
      </c>
      <c r="J656" s="1506"/>
      <c r="K656" s="912"/>
      <c r="L656" s="519"/>
      <c r="M656" s="519"/>
      <c r="N656" s="518"/>
      <c r="O656" s="518"/>
      <c r="P656" s="518"/>
      <c r="Q656" s="518"/>
      <c r="R656" s="518"/>
      <c r="S656" s="518"/>
      <c r="T656" s="518"/>
      <c r="U656" s="518"/>
      <c r="V656" s="518"/>
      <c r="W656" s="518"/>
      <c r="X656" s="518"/>
      <c r="Y656" s="518"/>
      <c r="Z656" s="518"/>
      <c r="AA656" s="518"/>
      <c r="AB656" s="518"/>
      <c r="AC656" s="518"/>
      <c r="AD656" s="518"/>
      <c r="AE656" s="518"/>
      <c r="AF656" s="518"/>
      <c r="AG656" s="518"/>
      <c r="AH656" s="518"/>
      <c r="AI656" s="518"/>
      <c r="AJ656" s="518"/>
      <c r="AK656" s="518"/>
      <c r="AL656" s="518"/>
      <c r="AM656" s="518"/>
      <c r="AN656" s="518"/>
      <c r="AO656" s="518"/>
      <c r="AP656" s="518"/>
      <c r="AQ656" s="518"/>
      <c r="AR656" s="518"/>
      <c r="AS656" s="518"/>
      <c r="AT656" s="518"/>
      <c r="AU656" s="518"/>
      <c r="AV656" s="518"/>
      <c r="AW656" s="518"/>
      <c r="AX656" s="1498" t="s">
        <v>69</v>
      </c>
      <c r="AY656" s="916">
        <v>0.05</v>
      </c>
      <c r="AZ656" s="925" t="e">
        <f t="shared" si="145"/>
        <v>#VALUE!</v>
      </c>
      <c r="BA656" s="518"/>
      <c r="BB656" s="518"/>
      <c r="BC656" s="518"/>
      <c r="BD656" s="518"/>
      <c r="BE656" s="518"/>
      <c r="BF656" s="1074"/>
      <c r="BG656" s="518"/>
      <c r="BH656" s="518"/>
      <c r="BI656" s="256"/>
    </row>
    <row r="657" spans="2:61" s="113" customFormat="1" hidden="1">
      <c r="B657" s="127"/>
      <c r="C657" s="204"/>
      <c r="D657" s="204" t="str">
        <f t="shared" si="146"/>
        <v>P/E Proximity Energetic - VTE18-4N4240 (Barrel 18mm)PE Cable - 3m</v>
      </c>
      <c r="E657" s="428" t="str">
        <f>F641</f>
        <v>P/E Proximity Energetic - VTE18-4N4240 (Barrel 18mm)</v>
      </c>
      <c r="F657" s="100" t="s">
        <v>70</v>
      </c>
      <c r="G657" s="377">
        <v>11060039</v>
      </c>
      <c r="H657" s="377" t="s">
        <v>1075</v>
      </c>
      <c r="I657" s="402">
        <v>25</v>
      </c>
      <c r="J657" s="1506"/>
      <c r="K657" s="912"/>
      <c r="L657" s="519"/>
      <c r="M657" s="519"/>
      <c r="N657" s="518"/>
      <c r="O657" s="518"/>
      <c r="P657" s="518"/>
      <c r="Q657" s="518"/>
      <c r="R657" s="518"/>
      <c r="S657" s="518"/>
      <c r="T657" s="518"/>
      <c r="U657" s="518"/>
      <c r="V657" s="518"/>
      <c r="W657" s="518"/>
      <c r="X657" s="518"/>
      <c r="Y657" s="518"/>
      <c r="Z657" s="518"/>
      <c r="AA657" s="518"/>
      <c r="AB657" s="518"/>
      <c r="AC657" s="518"/>
      <c r="AD657" s="518"/>
      <c r="AE657" s="518"/>
      <c r="AF657" s="518"/>
      <c r="AG657" s="518"/>
      <c r="AH657" s="518"/>
      <c r="AI657" s="518"/>
      <c r="AJ657" s="518"/>
      <c r="AK657" s="518"/>
      <c r="AL657" s="518"/>
      <c r="AM657" s="518"/>
      <c r="AN657" s="518"/>
      <c r="AO657" s="518"/>
      <c r="AP657" s="518"/>
      <c r="AQ657" s="518"/>
      <c r="AR657" s="518"/>
      <c r="AS657" s="518"/>
      <c r="AT657" s="518"/>
      <c r="AU657" s="518"/>
      <c r="AV657" s="518"/>
      <c r="AW657" s="518"/>
      <c r="AX657" s="1498">
        <v>20</v>
      </c>
      <c r="AY657" s="916">
        <v>0.05</v>
      </c>
      <c r="AZ657" s="925">
        <f t="shared" si="145"/>
        <v>21</v>
      </c>
      <c r="BA657" s="518"/>
      <c r="BB657" s="518"/>
      <c r="BC657" s="518"/>
      <c r="BD657" s="518"/>
      <c r="BE657" s="518"/>
      <c r="BF657" s="1074"/>
      <c r="BG657" s="518"/>
      <c r="BH657" s="518"/>
      <c r="BI657" s="256"/>
    </row>
    <row r="658" spans="2:61" s="113" customFormat="1" hidden="1">
      <c r="B658" s="127"/>
      <c r="C658" s="204"/>
      <c r="D658" s="204" t="str">
        <f t="shared" si="146"/>
        <v>P/E Proximity Energetic - VTE18-4N4240 (Barrel 18mm)PE Cable - 5m</v>
      </c>
      <c r="E658" s="428" t="str">
        <f t="shared" ref="E658:E659" si="147">E657</f>
        <v>P/E Proximity Energetic - VTE18-4N4240 (Barrel 18mm)</v>
      </c>
      <c r="F658" s="100" t="s">
        <v>71</v>
      </c>
      <c r="G658" s="377" t="s">
        <v>541</v>
      </c>
      <c r="H658" s="377" t="s">
        <v>542</v>
      </c>
      <c r="I658" s="402">
        <v>31</v>
      </c>
      <c r="J658" s="1506"/>
      <c r="K658" s="912"/>
      <c r="L658" s="519"/>
      <c r="M658" s="519"/>
      <c r="N658" s="518"/>
      <c r="O658" s="518"/>
      <c r="P658" s="518"/>
      <c r="Q658" s="518"/>
      <c r="R658" s="518"/>
      <c r="S658" s="518"/>
      <c r="T658" s="518"/>
      <c r="U658" s="518"/>
      <c r="V658" s="518"/>
      <c r="W658" s="518"/>
      <c r="X658" s="518"/>
      <c r="Y658" s="518"/>
      <c r="Z658" s="518"/>
      <c r="AA658" s="518"/>
      <c r="AB658" s="518"/>
      <c r="AC658" s="518"/>
      <c r="AD658" s="518"/>
      <c r="AE658" s="518"/>
      <c r="AF658" s="518"/>
      <c r="AG658" s="518"/>
      <c r="AH658" s="518"/>
      <c r="AI658" s="518"/>
      <c r="AJ658" s="518"/>
      <c r="AK658" s="518"/>
      <c r="AL658" s="518"/>
      <c r="AM658" s="518"/>
      <c r="AN658" s="518"/>
      <c r="AO658" s="518"/>
      <c r="AP658" s="518"/>
      <c r="AQ658" s="518"/>
      <c r="AR658" s="518"/>
      <c r="AS658" s="518"/>
      <c r="AT658" s="518"/>
      <c r="AU658" s="518"/>
      <c r="AV658" s="518"/>
      <c r="AW658" s="518"/>
      <c r="AX658" s="1498">
        <v>27</v>
      </c>
      <c r="AY658" s="916">
        <v>0.05</v>
      </c>
      <c r="AZ658" s="925">
        <f t="shared" si="145"/>
        <v>28.35</v>
      </c>
      <c r="BA658" s="518"/>
      <c r="BB658" s="518"/>
      <c r="BC658" s="518"/>
      <c r="BD658" s="518"/>
      <c r="BE658" s="518"/>
      <c r="BF658" s="1074"/>
      <c r="BG658" s="518"/>
      <c r="BH658" s="518"/>
      <c r="BI658" s="256"/>
    </row>
    <row r="659" spans="2:61" s="113" customFormat="1" hidden="1">
      <c r="B659" s="127"/>
      <c r="C659" s="934"/>
      <c r="D659" s="934" t="str">
        <f t="shared" si="146"/>
        <v>P/E Proximity Energetic - VTE18-4N4240 (Barrel 18mm)PE Cable - Custom</v>
      </c>
      <c r="E659" s="428" t="str">
        <f t="shared" si="147"/>
        <v>P/E Proximity Energetic - VTE18-4N4240 (Barrel 18mm)</v>
      </c>
      <c r="F659" s="100" t="s">
        <v>72</v>
      </c>
      <c r="G659" s="377" t="s">
        <v>579</v>
      </c>
      <c r="H659" s="377" t="s">
        <v>579</v>
      </c>
      <c r="I659" s="402" t="s">
        <v>69</v>
      </c>
      <c r="J659" s="1506"/>
      <c r="K659" s="912"/>
      <c r="L659" s="519"/>
      <c r="M659" s="519"/>
      <c r="N659" s="518"/>
      <c r="O659" s="518"/>
      <c r="P659" s="518"/>
      <c r="Q659" s="518"/>
      <c r="R659" s="518"/>
      <c r="S659" s="518"/>
      <c r="T659" s="518"/>
      <c r="U659" s="518"/>
      <c r="V659" s="518"/>
      <c r="W659" s="518"/>
      <c r="X659" s="518"/>
      <c r="Y659" s="518"/>
      <c r="Z659" s="518"/>
      <c r="AA659" s="518"/>
      <c r="AB659" s="518"/>
      <c r="AC659" s="518"/>
      <c r="AD659" s="518"/>
      <c r="AE659" s="518"/>
      <c r="AF659" s="518"/>
      <c r="AG659" s="518"/>
      <c r="AH659" s="518"/>
      <c r="AI659" s="518"/>
      <c r="AJ659" s="518"/>
      <c r="AK659" s="518"/>
      <c r="AL659" s="518"/>
      <c r="AM659" s="518"/>
      <c r="AN659" s="518"/>
      <c r="AO659" s="518"/>
      <c r="AP659" s="518"/>
      <c r="AQ659" s="518"/>
      <c r="AR659" s="518"/>
      <c r="AS659" s="518"/>
      <c r="AT659" s="518"/>
      <c r="AU659" s="518"/>
      <c r="AV659" s="518"/>
      <c r="AW659" s="518"/>
      <c r="AX659" s="1498" t="s">
        <v>69</v>
      </c>
      <c r="AY659" s="916">
        <v>0.05</v>
      </c>
      <c r="AZ659" s="925" t="e">
        <f t="shared" si="145"/>
        <v>#VALUE!</v>
      </c>
      <c r="BA659" s="518"/>
      <c r="BB659" s="518"/>
      <c r="BC659" s="518"/>
      <c r="BD659" s="518"/>
      <c r="BE659" s="518"/>
      <c r="BF659" s="1074"/>
      <c r="BG659" s="518"/>
      <c r="BH659" s="518"/>
      <c r="BI659" s="256"/>
    </row>
    <row r="660" spans="2:61" s="113" customFormat="1" hidden="1">
      <c r="B660" s="127"/>
      <c r="C660" s="133"/>
      <c r="D660" s="133"/>
      <c r="E660" s="133"/>
      <c r="F660" s="133"/>
      <c r="G660" s="133"/>
      <c r="H660" s="133"/>
      <c r="I660" s="337"/>
      <c r="J660" s="1506"/>
      <c r="K660" s="912"/>
      <c r="L660" s="519"/>
      <c r="M660" s="519"/>
      <c r="N660" s="518"/>
      <c r="O660" s="518"/>
      <c r="P660" s="518"/>
      <c r="Q660" s="518"/>
      <c r="R660" s="518"/>
      <c r="S660" s="518"/>
      <c r="T660" s="518"/>
      <c r="U660" s="518"/>
      <c r="V660" s="518"/>
      <c r="W660" s="518"/>
      <c r="X660" s="518"/>
      <c r="Y660" s="518"/>
      <c r="Z660" s="518"/>
      <c r="AA660" s="518"/>
      <c r="AB660" s="518"/>
      <c r="AC660" s="518"/>
      <c r="AD660" s="518"/>
      <c r="AE660" s="518"/>
      <c r="AF660" s="518"/>
      <c r="AG660" s="518"/>
      <c r="AH660" s="518"/>
      <c r="AI660" s="518"/>
      <c r="AJ660" s="518"/>
      <c r="AK660" s="518"/>
      <c r="AL660" s="518"/>
      <c r="AM660" s="518"/>
      <c r="AN660" s="518"/>
      <c r="AO660" s="518"/>
      <c r="AP660" s="518"/>
      <c r="AQ660" s="518"/>
      <c r="AR660" s="518"/>
      <c r="AS660" s="518"/>
      <c r="AT660" s="518"/>
      <c r="AU660" s="518"/>
      <c r="AV660" s="518"/>
      <c r="AW660" s="518"/>
      <c r="AX660" s="518"/>
      <c r="AY660" s="518"/>
      <c r="AZ660" s="519"/>
      <c r="BA660" s="519"/>
      <c r="BB660" s="519"/>
      <c r="BC660" s="519"/>
      <c r="BD660" s="519"/>
      <c r="BE660" s="519"/>
      <c r="BF660" s="912"/>
      <c r="BG660" s="519"/>
      <c r="BH660" s="519"/>
      <c r="BI660" s="256"/>
    </row>
    <row r="661" spans="2:61" s="113" customFormat="1" hidden="1">
      <c r="B661" s="127"/>
      <c r="C661" s="133"/>
      <c r="D661" s="133"/>
      <c r="E661" s="133"/>
      <c r="F661" s="133"/>
      <c r="G661" s="133"/>
      <c r="H661" s="133"/>
      <c r="I661" s="337"/>
      <c r="J661" s="1506"/>
      <c r="K661" s="912"/>
      <c r="L661" s="519"/>
      <c r="M661" s="519"/>
      <c r="N661" s="518"/>
      <c r="O661" s="518"/>
      <c r="P661" s="518"/>
      <c r="Q661" s="518"/>
      <c r="R661" s="518"/>
      <c r="S661" s="518"/>
      <c r="T661" s="518"/>
      <c r="U661" s="518"/>
      <c r="V661" s="518"/>
      <c r="W661" s="518"/>
      <c r="X661" s="518"/>
      <c r="Y661" s="518"/>
      <c r="Z661" s="518"/>
      <c r="AA661" s="518"/>
      <c r="AB661" s="518"/>
      <c r="AC661" s="518"/>
      <c r="AD661" s="518"/>
      <c r="AE661" s="518"/>
      <c r="AF661" s="518"/>
      <c r="AG661" s="518"/>
      <c r="AH661" s="518"/>
      <c r="AI661" s="518"/>
      <c r="AJ661" s="518"/>
      <c r="AK661" s="518"/>
      <c r="AL661" s="518"/>
      <c r="AM661" s="518"/>
      <c r="AN661" s="518"/>
      <c r="AO661" s="518"/>
      <c r="AP661" s="518"/>
      <c r="AQ661" s="518"/>
      <c r="AR661" s="518"/>
      <c r="AS661" s="518"/>
      <c r="AT661" s="518"/>
      <c r="AU661" s="518"/>
      <c r="AV661" s="518"/>
      <c r="AW661" s="518"/>
      <c r="AX661" s="518"/>
      <c r="AY661" s="518"/>
      <c r="AZ661" s="519"/>
      <c r="BA661" s="519"/>
      <c r="BB661" s="519"/>
      <c r="BC661" s="519"/>
      <c r="BD661" s="519"/>
      <c r="BE661" s="519"/>
      <c r="BF661" s="912"/>
      <c r="BG661" s="519"/>
      <c r="BH661" s="519"/>
      <c r="BI661" s="256"/>
    </row>
    <row r="662" spans="2:61" s="113" customFormat="1" hidden="1">
      <c r="B662" s="127"/>
      <c r="C662" s="133"/>
      <c r="D662" s="133"/>
      <c r="E662" s="133"/>
      <c r="F662" s="133"/>
      <c r="G662" s="133"/>
      <c r="H662" s="133"/>
      <c r="I662" s="337"/>
      <c r="J662" s="1506"/>
      <c r="K662" s="912"/>
      <c r="L662" s="519"/>
      <c r="M662" s="519"/>
      <c r="N662" s="518"/>
      <c r="O662" s="518"/>
      <c r="P662" s="518"/>
      <c r="Q662" s="518"/>
      <c r="R662" s="518"/>
      <c r="S662" s="518"/>
      <c r="T662" s="518"/>
      <c r="U662" s="518"/>
      <c r="V662" s="518"/>
      <c r="W662" s="518"/>
      <c r="X662" s="518"/>
      <c r="Y662" s="518"/>
      <c r="Z662" s="518"/>
      <c r="AA662" s="518"/>
      <c r="AB662" s="518"/>
      <c r="AC662" s="518"/>
      <c r="AD662" s="518"/>
      <c r="AE662" s="518"/>
      <c r="AF662" s="518"/>
      <c r="AG662" s="518"/>
      <c r="AH662" s="518"/>
      <c r="AI662" s="518"/>
      <c r="AJ662" s="518"/>
      <c r="AK662" s="518"/>
      <c r="AL662" s="518"/>
      <c r="AM662" s="518"/>
      <c r="AN662" s="518"/>
      <c r="AO662" s="518"/>
      <c r="AP662" s="518"/>
      <c r="AQ662" s="518"/>
      <c r="AR662" s="518"/>
      <c r="AS662" s="518"/>
      <c r="AT662" s="518"/>
      <c r="AU662" s="518"/>
      <c r="AV662" s="518"/>
      <c r="AW662" s="518"/>
      <c r="AX662" s="518"/>
      <c r="AY662" s="518"/>
      <c r="AZ662" s="519"/>
      <c r="BA662" s="519"/>
      <c r="BB662" s="519"/>
      <c r="BC662" s="519"/>
      <c r="BD662" s="519"/>
      <c r="BE662" s="519"/>
      <c r="BF662" s="912"/>
      <c r="BG662" s="519"/>
      <c r="BH662" s="519"/>
      <c r="BI662" s="256"/>
    </row>
    <row r="663" spans="2:61" s="113" customFormat="1" hidden="1">
      <c r="B663" s="127"/>
      <c r="C663" s="133"/>
      <c r="D663" s="133"/>
      <c r="E663" s="133"/>
      <c r="F663" s="133"/>
      <c r="G663" s="133"/>
      <c r="H663" s="133"/>
      <c r="I663" s="337"/>
      <c r="J663" s="1506"/>
      <c r="K663" s="912"/>
      <c r="L663" s="519"/>
      <c r="M663" s="519"/>
      <c r="N663" s="518"/>
      <c r="O663" s="518"/>
      <c r="P663" s="518"/>
      <c r="Q663" s="518"/>
      <c r="R663" s="518"/>
      <c r="S663" s="518"/>
      <c r="T663" s="518"/>
      <c r="U663" s="518"/>
      <c r="V663" s="518"/>
      <c r="W663" s="518"/>
      <c r="X663" s="518"/>
      <c r="Y663" s="518"/>
      <c r="Z663" s="518"/>
      <c r="AA663" s="518"/>
      <c r="AB663" s="518"/>
      <c r="AC663" s="518"/>
      <c r="AD663" s="518"/>
      <c r="AE663" s="518"/>
      <c r="AF663" s="518"/>
      <c r="AG663" s="518"/>
      <c r="AH663" s="518"/>
      <c r="AI663" s="518"/>
      <c r="AJ663" s="518"/>
      <c r="AK663" s="518"/>
      <c r="AL663" s="518"/>
      <c r="AM663" s="518"/>
      <c r="AN663" s="518"/>
      <c r="AO663" s="518"/>
      <c r="AP663" s="518"/>
      <c r="AQ663" s="518"/>
      <c r="AR663" s="518"/>
      <c r="AS663" s="518"/>
      <c r="AT663" s="518"/>
      <c r="AU663" s="518"/>
      <c r="AV663" s="518"/>
      <c r="AW663" s="518"/>
      <c r="AX663" s="518"/>
      <c r="AY663" s="518"/>
      <c r="AZ663" s="519"/>
      <c r="BA663" s="519"/>
      <c r="BB663" s="519"/>
      <c r="BC663" s="519"/>
      <c r="BD663" s="519"/>
      <c r="BE663" s="519"/>
      <c r="BF663" s="912"/>
      <c r="BG663" s="519"/>
      <c r="BH663" s="519"/>
      <c r="BI663" s="256"/>
    </row>
    <row r="664" spans="2:61" s="113" customFormat="1" hidden="1">
      <c r="B664" s="127"/>
      <c r="C664" s="133"/>
      <c r="D664" s="133"/>
      <c r="E664" s="133"/>
      <c r="F664" s="133"/>
      <c r="G664" s="133"/>
      <c r="H664" s="133"/>
      <c r="I664" s="337"/>
      <c r="J664" s="1506"/>
      <c r="K664" s="912"/>
      <c r="L664" s="519"/>
      <c r="M664" s="519"/>
      <c r="N664" s="518"/>
      <c r="O664" s="518"/>
      <c r="P664" s="518"/>
      <c r="Q664" s="518"/>
      <c r="R664" s="518"/>
      <c r="S664" s="518"/>
      <c r="T664" s="518"/>
      <c r="U664" s="518"/>
      <c r="V664" s="518"/>
      <c r="W664" s="518"/>
      <c r="X664" s="518"/>
      <c r="Y664" s="518"/>
      <c r="Z664" s="518"/>
      <c r="AA664" s="518"/>
      <c r="AB664" s="518"/>
      <c r="AC664" s="518"/>
      <c r="AD664" s="518"/>
      <c r="AE664" s="518"/>
      <c r="AF664" s="518"/>
      <c r="AG664" s="518"/>
      <c r="AH664" s="518"/>
      <c r="AI664" s="518"/>
      <c r="AJ664" s="518"/>
      <c r="AK664" s="518"/>
      <c r="AL664" s="518"/>
      <c r="AM664" s="518"/>
      <c r="AN664" s="518"/>
      <c r="AO664" s="518"/>
      <c r="AP664" s="518"/>
      <c r="AQ664" s="518"/>
      <c r="AR664" s="518"/>
      <c r="AS664" s="518"/>
      <c r="AT664" s="518"/>
      <c r="AU664" s="518"/>
      <c r="AV664" s="518"/>
      <c r="AW664" s="518"/>
      <c r="AX664" s="518"/>
      <c r="AY664" s="518"/>
      <c r="AZ664" s="519"/>
      <c r="BA664" s="519"/>
      <c r="BB664" s="519"/>
      <c r="BC664" s="519"/>
      <c r="BD664" s="519"/>
      <c r="BE664" s="519"/>
      <c r="BF664" s="912"/>
      <c r="BG664" s="519"/>
      <c r="BH664" s="519"/>
      <c r="BI664" s="256"/>
    </row>
    <row r="665" spans="2:61" s="113" customFormat="1" hidden="1">
      <c r="B665" s="127"/>
      <c r="C665" s="133"/>
      <c r="D665" s="133"/>
      <c r="E665" s="133"/>
      <c r="F665" s="133"/>
      <c r="G665" s="133"/>
      <c r="H665" s="133"/>
      <c r="I665" s="337"/>
      <c r="J665" s="1506"/>
      <c r="K665" s="912"/>
      <c r="L665" s="519"/>
      <c r="M665" s="519"/>
      <c r="N665" s="518"/>
      <c r="O665" s="518"/>
      <c r="P665" s="518"/>
      <c r="Q665" s="518"/>
      <c r="R665" s="518"/>
      <c r="S665" s="518"/>
      <c r="T665" s="518"/>
      <c r="U665" s="518"/>
      <c r="V665" s="518"/>
      <c r="W665" s="518"/>
      <c r="X665" s="518"/>
      <c r="Y665" s="518"/>
      <c r="Z665" s="518"/>
      <c r="AA665" s="518"/>
      <c r="AB665" s="518"/>
      <c r="AC665" s="518"/>
      <c r="AD665" s="518"/>
      <c r="AE665" s="518"/>
      <c r="AF665" s="518"/>
      <c r="AG665" s="518"/>
      <c r="AH665" s="518"/>
      <c r="AI665" s="518"/>
      <c r="AJ665" s="518"/>
      <c r="AK665" s="518"/>
      <c r="AL665" s="518"/>
      <c r="AM665" s="518"/>
      <c r="AN665" s="518"/>
      <c r="AO665" s="518"/>
      <c r="AP665" s="518"/>
      <c r="AQ665" s="518"/>
      <c r="AR665" s="518"/>
      <c r="AS665" s="518"/>
      <c r="AT665" s="518"/>
      <c r="AU665" s="518"/>
      <c r="AV665" s="518"/>
      <c r="AW665" s="518"/>
      <c r="AX665" s="518"/>
      <c r="AY665" s="518"/>
      <c r="AZ665" s="519"/>
      <c r="BA665" s="519"/>
      <c r="BB665" s="519"/>
      <c r="BC665" s="519"/>
      <c r="BD665" s="519"/>
      <c r="BE665" s="519"/>
      <c r="BF665" s="912"/>
      <c r="BG665" s="519"/>
      <c r="BH665" s="519"/>
      <c r="BI665" s="256"/>
    </row>
    <row r="666" spans="2:61" s="113" customFormat="1" hidden="1">
      <c r="B666" s="127"/>
      <c r="C666" s="133"/>
      <c r="D666" s="133"/>
      <c r="E666" s="133"/>
      <c r="F666" s="133"/>
      <c r="G666" s="133"/>
      <c r="H666" s="133"/>
      <c r="I666" s="337"/>
      <c r="J666" s="1506"/>
      <c r="K666" s="912"/>
      <c r="L666" s="519"/>
      <c r="M666" s="519"/>
      <c r="N666" s="518"/>
      <c r="O666" s="518"/>
      <c r="P666" s="518"/>
      <c r="Q666" s="518"/>
      <c r="R666" s="518"/>
      <c r="S666" s="518"/>
      <c r="T666" s="518"/>
      <c r="U666" s="518"/>
      <c r="V666" s="518"/>
      <c r="W666" s="518"/>
      <c r="X666" s="518"/>
      <c r="Y666" s="518"/>
      <c r="Z666" s="518"/>
      <c r="AA666" s="518"/>
      <c r="AB666" s="518"/>
      <c r="AC666" s="518"/>
      <c r="AD666" s="518"/>
      <c r="AE666" s="518"/>
      <c r="AF666" s="518"/>
      <c r="AG666" s="518"/>
      <c r="AH666" s="518"/>
      <c r="AI666" s="518"/>
      <c r="AJ666" s="518"/>
      <c r="AK666" s="518"/>
      <c r="AL666" s="518"/>
      <c r="AM666" s="518"/>
      <c r="AN666" s="518"/>
      <c r="AO666" s="518"/>
      <c r="AP666" s="518"/>
      <c r="AQ666" s="518"/>
      <c r="AR666" s="518"/>
      <c r="AS666" s="518"/>
      <c r="AT666" s="518"/>
      <c r="AU666" s="518"/>
      <c r="AV666" s="518"/>
      <c r="AW666" s="518"/>
      <c r="AX666" s="518"/>
      <c r="AY666" s="518"/>
      <c r="AZ666" s="519"/>
      <c r="BA666" s="519"/>
      <c r="BB666" s="519"/>
      <c r="BC666" s="519"/>
      <c r="BD666" s="519"/>
      <c r="BE666" s="519"/>
      <c r="BF666" s="912"/>
      <c r="BG666" s="519"/>
      <c r="BH666" s="519"/>
      <c r="BI666" s="256"/>
    </row>
    <row r="667" spans="2:61" s="113" customFormat="1" hidden="1">
      <c r="B667" s="127"/>
      <c r="C667" s="133"/>
      <c r="D667" s="133"/>
      <c r="E667" s="133"/>
      <c r="F667" s="133"/>
      <c r="G667" s="133"/>
      <c r="H667" s="133"/>
      <c r="I667" s="337"/>
      <c r="J667" s="1506"/>
      <c r="K667" s="912"/>
      <c r="L667" s="519"/>
      <c r="M667" s="519"/>
      <c r="N667" s="518"/>
      <c r="O667" s="518"/>
      <c r="P667" s="518"/>
      <c r="Q667" s="518"/>
      <c r="R667" s="518"/>
      <c r="S667" s="518"/>
      <c r="T667" s="518"/>
      <c r="U667" s="518"/>
      <c r="V667" s="518"/>
      <c r="W667" s="518"/>
      <c r="X667" s="518"/>
      <c r="Y667" s="518"/>
      <c r="Z667" s="518"/>
      <c r="AA667" s="518"/>
      <c r="AB667" s="518"/>
      <c r="AC667" s="518"/>
      <c r="AD667" s="518"/>
      <c r="AE667" s="518"/>
      <c r="AF667" s="518"/>
      <c r="AG667" s="518"/>
      <c r="AH667" s="518"/>
      <c r="AI667" s="518"/>
      <c r="AJ667" s="518"/>
      <c r="AK667" s="518"/>
      <c r="AL667" s="518"/>
      <c r="AM667" s="518"/>
      <c r="AN667" s="518"/>
      <c r="AO667" s="518"/>
      <c r="AP667" s="518"/>
      <c r="AQ667" s="518"/>
      <c r="AR667" s="518"/>
      <c r="AS667" s="518"/>
      <c r="AT667" s="518"/>
      <c r="AU667" s="518"/>
      <c r="AV667" s="518"/>
      <c r="AW667" s="518"/>
      <c r="AX667" s="518"/>
      <c r="AY667" s="518"/>
      <c r="AZ667" s="519"/>
      <c r="BA667" s="519"/>
      <c r="BB667" s="519"/>
      <c r="BC667" s="519"/>
      <c r="BD667" s="519"/>
      <c r="BE667" s="519"/>
      <c r="BF667" s="912"/>
      <c r="BG667" s="519"/>
      <c r="BH667" s="519"/>
      <c r="BI667" s="256"/>
    </row>
    <row r="668" spans="2:61" s="113" customFormat="1" hidden="1">
      <c r="B668" s="127"/>
      <c r="C668" s="133"/>
      <c r="D668" s="133"/>
      <c r="E668" s="133"/>
      <c r="F668" s="133"/>
      <c r="G668" s="133"/>
      <c r="H668" s="133"/>
      <c r="I668" s="337"/>
      <c r="J668" s="1506"/>
      <c r="K668" s="912"/>
      <c r="L668" s="519"/>
      <c r="M668" s="519"/>
      <c r="N668" s="518"/>
      <c r="O668" s="518"/>
      <c r="P668" s="518"/>
      <c r="Q668" s="518"/>
      <c r="R668" s="518"/>
      <c r="S668" s="518"/>
      <c r="T668" s="518"/>
      <c r="U668" s="518"/>
      <c r="V668" s="518"/>
      <c r="W668" s="518"/>
      <c r="X668" s="518"/>
      <c r="Y668" s="518"/>
      <c r="Z668" s="518"/>
      <c r="AA668" s="518"/>
      <c r="AB668" s="518"/>
      <c r="AC668" s="518"/>
      <c r="AD668" s="518"/>
      <c r="AE668" s="518"/>
      <c r="AF668" s="518"/>
      <c r="AG668" s="518"/>
      <c r="AH668" s="518"/>
      <c r="AI668" s="518"/>
      <c r="AJ668" s="518"/>
      <c r="AK668" s="518"/>
      <c r="AL668" s="518"/>
      <c r="AM668" s="518"/>
      <c r="AN668" s="518"/>
      <c r="AO668" s="518"/>
      <c r="AP668" s="518"/>
      <c r="AQ668" s="518"/>
      <c r="AR668" s="518"/>
      <c r="AS668" s="518"/>
      <c r="AT668" s="518"/>
      <c r="AU668" s="518"/>
      <c r="AV668" s="518"/>
      <c r="AW668" s="518"/>
      <c r="AX668" s="518"/>
      <c r="AY668" s="518"/>
      <c r="AZ668" s="519"/>
      <c r="BA668" s="519"/>
      <c r="BB668" s="519"/>
      <c r="BC668" s="519"/>
      <c r="BD668" s="519"/>
      <c r="BE668" s="519"/>
      <c r="BF668" s="912"/>
      <c r="BG668" s="519"/>
      <c r="BH668" s="519"/>
      <c r="BI668" s="256"/>
    </row>
    <row r="669" spans="2:61" s="113" customFormat="1" hidden="1">
      <c r="B669" s="127"/>
      <c r="C669" s="133"/>
      <c r="D669" s="133"/>
      <c r="E669" s="115"/>
      <c r="F669" s="109"/>
      <c r="G669" s="28"/>
      <c r="H669" s="109"/>
      <c r="I669" s="335"/>
      <c r="J669" s="1506"/>
      <c r="K669" s="912"/>
      <c r="L669" s="519"/>
      <c r="M669" s="519"/>
      <c r="N669" s="518"/>
      <c r="O669" s="518"/>
      <c r="P669" s="518"/>
      <c r="Q669" s="518"/>
      <c r="R669" s="518"/>
      <c r="S669" s="518"/>
      <c r="T669" s="518"/>
      <c r="U669" s="518"/>
      <c r="V669" s="518"/>
      <c r="W669" s="518"/>
      <c r="X669" s="518"/>
      <c r="Y669" s="518"/>
      <c r="Z669" s="518"/>
      <c r="AA669" s="518"/>
      <c r="AB669" s="518"/>
      <c r="AC669" s="518"/>
      <c r="AD669" s="518"/>
      <c r="AE669" s="518"/>
      <c r="AF669" s="518"/>
      <c r="AG669" s="518"/>
      <c r="AH669" s="518"/>
      <c r="AI669" s="518"/>
      <c r="AJ669" s="518"/>
      <c r="AK669" s="518"/>
      <c r="AL669" s="518"/>
      <c r="AM669" s="518"/>
      <c r="AN669" s="518"/>
      <c r="AO669" s="518"/>
      <c r="AP669" s="518"/>
      <c r="AQ669" s="518"/>
      <c r="AR669" s="518"/>
      <c r="AS669" s="518"/>
      <c r="AT669" s="518"/>
      <c r="AU669" s="518"/>
      <c r="AV669" s="518"/>
      <c r="AW669" s="518"/>
      <c r="AX669" s="518"/>
      <c r="AY669" s="518"/>
      <c r="AZ669" s="519"/>
      <c r="BA669" s="519"/>
      <c r="BB669" s="519"/>
      <c r="BC669" s="519"/>
      <c r="BD669" s="519"/>
      <c r="BE669" s="519"/>
      <c r="BF669" s="912"/>
      <c r="BG669" s="519"/>
      <c r="BH669" s="519"/>
      <c r="BI669" s="256"/>
    </row>
    <row r="670" spans="2:61" s="113" customFormat="1" hidden="1">
      <c r="B670" s="127"/>
      <c r="C670" s="115"/>
      <c r="D670" s="115"/>
      <c r="E670" s="115"/>
      <c r="F670" s="109"/>
      <c r="G670" s="28"/>
      <c r="H670" s="109"/>
      <c r="I670" s="335"/>
      <c r="J670" s="1506"/>
      <c r="K670" s="912"/>
      <c r="L670" s="519"/>
      <c r="M670" s="519"/>
      <c r="N670" s="518"/>
      <c r="O670" s="518"/>
      <c r="P670" s="518"/>
      <c r="Q670" s="518"/>
      <c r="R670" s="518"/>
      <c r="S670" s="518"/>
      <c r="T670" s="518"/>
      <c r="U670" s="518"/>
      <c r="V670" s="518"/>
      <c r="W670" s="518"/>
      <c r="X670" s="518"/>
      <c r="Y670" s="518"/>
      <c r="Z670" s="518"/>
      <c r="AA670" s="518"/>
      <c r="AB670" s="518"/>
      <c r="AC670" s="518"/>
      <c r="AD670" s="518"/>
      <c r="AE670" s="518"/>
      <c r="AF670" s="518"/>
      <c r="AG670" s="518"/>
      <c r="AH670" s="518"/>
      <c r="AI670" s="518"/>
      <c r="AJ670" s="518"/>
      <c r="AK670" s="518"/>
      <c r="AL670" s="518"/>
      <c r="AM670" s="518"/>
      <c r="AN670" s="518"/>
      <c r="AO670" s="518"/>
      <c r="AP670" s="518"/>
      <c r="AQ670" s="518"/>
      <c r="AR670" s="518"/>
      <c r="AS670" s="518"/>
      <c r="AT670" s="518"/>
      <c r="AU670" s="518"/>
      <c r="AV670" s="518"/>
      <c r="AW670" s="518"/>
      <c r="AX670" s="518"/>
      <c r="AY670" s="518"/>
      <c r="AZ670" s="519"/>
      <c r="BA670" s="519"/>
      <c r="BB670" s="519"/>
      <c r="BC670" s="519"/>
      <c r="BD670" s="519"/>
      <c r="BE670" s="519"/>
      <c r="BF670" s="912"/>
      <c r="BG670" s="519"/>
      <c r="BH670" s="519"/>
      <c r="BI670" s="256"/>
    </row>
    <row r="671" spans="2:61" hidden="1">
      <c r="B671" s="127"/>
      <c r="C671" s="115"/>
      <c r="D671" s="115"/>
      <c r="E671" s="115"/>
      <c r="F671" s="109"/>
      <c r="G671" s="28"/>
      <c r="H671" s="109"/>
      <c r="I671" s="335"/>
      <c r="J671" s="1506"/>
    </row>
    <row r="672" spans="2:61" s="113" customFormat="1" hidden="1">
      <c r="B672" s="127"/>
      <c r="C672" s="132"/>
      <c r="D672" s="132" t="s">
        <v>44</v>
      </c>
      <c r="E672" s="115"/>
      <c r="F672" s="192" t="s">
        <v>1130</v>
      </c>
      <c r="G672" s="158">
        <v>1</v>
      </c>
      <c r="H672" s="196"/>
      <c r="I672" s="422">
        <v>650</v>
      </c>
      <c r="J672" s="1506"/>
      <c r="K672" s="912"/>
      <c r="L672" s="519"/>
      <c r="M672" s="519"/>
      <c r="N672" s="518"/>
      <c r="O672" s="518"/>
      <c r="P672" s="518"/>
      <c r="Q672" s="518"/>
      <c r="R672" s="518"/>
      <c r="S672" s="518"/>
      <c r="T672" s="518"/>
      <c r="U672" s="518"/>
      <c r="V672" s="518"/>
      <c r="W672" s="518"/>
      <c r="X672" s="518"/>
      <c r="Y672" s="518"/>
      <c r="Z672" s="518"/>
      <c r="AA672" s="518"/>
      <c r="AB672" s="518"/>
      <c r="AC672" s="518"/>
      <c r="AD672" s="518"/>
      <c r="AE672" s="518"/>
      <c r="AF672" s="518"/>
      <c r="AG672" s="518"/>
      <c r="AH672" s="518"/>
      <c r="AI672" s="518"/>
      <c r="AJ672" s="518"/>
      <c r="AK672" s="518"/>
      <c r="AL672" s="518"/>
      <c r="AM672" s="518"/>
      <c r="AN672" s="518"/>
      <c r="AO672" s="518"/>
      <c r="AP672" s="518"/>
      <c r="AQ672" s="518"/>
      <c r="AR672" s="518"/>
      <c r="AS672" s="518"/>
      <c r="AT672" s="518"/>
      <c r="AU672" s="518"/>
      <c r="AV672" s="518"/>
      <c r="AW672" s="518"/>
      <c r="AX672" s="518"/>
      <c r="AY672" s="518"/>
      <c r="AZ672" s="519"/>
      <c r="BA672" s="519"/>
      <c r="BB672" s="519"/>
      <c r="BC672" s="519"/>
      <c r="BD672" s="519"/>
      <c r="BE672" s="519"/>
      <c r="BF672" s="912"/>
      <c r="BG672" s="519"/>
      <c r="BH672" s="519"/>
      <c r="BI672" s="256"/>
    </row>
    <row r="673" spans="2:61" s="113" customFormat="1" hidden="1">
      <c r="B673" s="127"/>
      <c r="C673" s="115"/>
      <c r="D673" s="115"/>
      <c r="E673" s="133" t="s">
        <v>62</v>
      </c>
      <c r="F673" s="196" t="s">
        <v>1131</v>
      </c>
      <c r="G673" s="1073">
        <v>1</v>
      </c>
      <c r="H673" s="98"/>
      <c r="I673" s="422">
        <v>950</v>
      </c>
      <c r="J673" s="1506"/>
      <c r="K673" s="912"/>
      <c r="L673" s="519"/>
      <c r="M673" s="519"/>
      <c r="N673" s="518"/>
      <c r="O673" s="518"/>
      <c r="P673" s="518"/>
      <c r="Q673" s="518"/>
      <c r="R673" s="518"/>
      <c r="S673" s="518"/>
      <c r="T673" s="518"/>
      <c r="U673" s="518"/>
      <c r="V673" s="518"/>
      <c r="W673" s="518"/>
      <c r="X673" s="518"/>
      <c r="Y673" s="518"/>
      <c r="Z673" s="518"/>
      <c r="AA673" s="518"/>
      <c r="AB673" s="518"/>
      <c r="AC673" s="518"/>
      <c r="AD673" s="518"/>
      <c r="AE673" s="518"/>
      <c r="AF673" s="518"/>
      <c r="AG673" s="518"/>
      <c r="AH673" s="518"/>
      <c r="AI673" s="518"/>
      <c r="AJ673" s="518"/>
      <c r="AK673" s="518"/>
      <c r="AL673" s="518"/>
      <c r="AM673" s="518"/>
      <c r="AN673" s="518"/>
      <c r="AO673" s="518"/>
      <c r="AP673" s="518"/>
      <c r="AQ673" s="518"/>
      <c r="AR673" s="518"/>
      <c r="AS673" s="518"/>
      <c r="AT673" s="518"/>
      <c r="AU673" s="518"/>
      <c r="AV673" s="518"/>
      <c r="AW673" s="518"/>
      <c r="AX673" s="518"/>
      <c r="AY673" s="518"/>
      <c r="AZ673" s="519"/>
      <c r="BA673" s="519"/>
      <c r="BB673" s="519"/>
      <c r="BC673" s="519"/>
      <c r="BD673" s="519"/>
      <c r="BE673" s="519"/>
      <c r="BF673" s="912"/>
      <c r="BG673" s="519"/>
      <c r="BH673" s="519"/>
      <c r="BI673" s="256"/>
    </row>
    <row r="674" spans="2:61" s="113" customFormat="1" hidden="1">
      <c r="B674" s="127"/>
      <c r="C674" s="115"/>
      <c r="D674" s="115"/>
      <c r="E674" s="133"/>
      <c r="F674" s="196"/>
      <c r="G674" s="1073">
        <v>1</v>
      </c>
      <c r="H674" s="3">
        <v>2</v>
      </c>
      <c r="I674" s="422">
        <v>950</v>
      </c>
      <c r="J674" s="1506"/>
      <c r="K674" s="912"/>
      <c r="L674" s="519"/>
      <c r="M674" s="519"/>
      <c r="N674" s="518"/>
      <c r="O674" s="518"/>
      <c r="P674" s="518"/>
      <c r="Q674" s="518"/>
      <c r="R674" s="518"/>
      <c r="S674" s="518"/>
      <c r="T674" s="518"/>
      <c r="U674" s="518"/>
      <c r="V674" s="518"/>
      <c r="W674" s="518"/>
      <c r="X674" s="518"/>
      <c r="Y674" s="518"/>
      <c r="Z674" s="518"/>
      <c r="AA674" s="518"/>
      <c r="AB674" s="518"/>
      <c r="AC674" s="518"/>
      <c r="AD674" s="518"/>
      <c r="AE674" s="518"/>
      <c r="AF674" s="518"/>
      <c r="AG674" s="518"/>
      <c r="AH674" s="518"/>
      <c r="AI674" s="518"/>
      <c r="AJ674" s="518"/>
      <c r="AK674" s="518"/>
      <c r="AL674" s="518"/>
      <c r="AM674" s="518"/>
      <c r="AN674" s="518"/>
      <c r="AO674" s="518"/>
      <c r="AP674" s="518"/>
      <c r="AQ674" s="518"/>
      <c r="AR674" s="518"/>
      <c r="AS674" s="518"/>
      <c r="AT674" s="518"/>
      <c r="AU674" s="518"/>
      <c r="AV674" s="518"/>
      <c r="AW674" s="518"/>
      <c r="AX674" s="518"/>
      <c r="AY674" s="518"/>
      <c r="AZ674" s="519"/>
      <c r="BA674" s="519"/>
      <c r="BB674" s="519"/>
      <c r="BC674" s="519"/>
      <c r="BD674" s="519"/>
      <c r="BE674" s="519"/>
      <c r="BF674" s="912"/>
      <c r="BG674" s="519"/>
      <c r="BH674" s="519"/>
      <c r="BI674" s="256"/>
    </row>
    <row r="675" spans="2:61" s="113" customFormat="1" hidden="1">
      <c r="B675" s="127"/>
      <c r="C675" s="115"/>
      <c r="D675" s="115"/>
      <c r="E675" s="133"/>
      <c r="F675" s="99"/>
      <c r="G675" s="1073">
        <v>2</v>
      </c>
      <c r="H675" s="3">
        <v>4</v>
      </c>
      <c r="I675" s="422">
        <f>I674*G675</f>
        <v>1900</v>
      </c>
      <c r="J675" s="1506"/>
      <c r="K675" s="912"/>
      <c r="L675" s="519"/>
      <c r="M675" s="519"/>
      <c r="N675" s="518"/>
      <c r="O675" s="518"/>
      <c r="P675" s="518"/>
      <c r="Q675" s="518"/>
      <c r="R675" s="518"/>
      <c r="S675" s="518"/>
      <c r="T675" s="518"/>
      <c r="U675" s="518"/>
      <c r="V675" s="518"/>
      <c r="W675" s="518"/>
      <c r="X675" s="518"/>
      <c r="Y675" s="518"/>
      <c r="Z675" s="518"/>
      <c r="AA675" s="518"/>
      <c r="AB675" s="518"/>
      <c r="AC675" s="518"/>
      <c r="AD675" s="518"/>
      <c r="AE675" s="518"/>
      <c r="AF675" s="518"/>
      <c r="AG675" s="518"/>
      <c r="AH675" s="518"/>
      <c r="AI675" s="518"/>
      <c r="AJ675" s="518"/>
      <c r="AK675" s="518"/>
      <c r="AL675" s="518"/>
      <c r="AM675" s="518"/>
      <c r="AN675" s="518"/>
      <c r="AO675" s="518"/>
      <c r="AP675" s="518"/>
      <c r="AQ675" s="518"/>
      <c r="AR675" s="518"/>
      <c r="AS675" s="518"/>
      <c r="AT675" s="518"/>
      <c r="AU675" s="518"/>
      <c r="AV675" s="518"/>
      <c r="AW675" s="518"/>
      <c r="AX675" s="518"/>
      <c r="AY675" s="518"/>
      <c r="AZ675" s="519"/>
      <c r="BA675" s="519"/>
      <c r="BB675" s="519"/>
      <c r="BC675" s="519"/>
      <c r="BD675" s="519"/>
      <c r="BE675" s="519"/>
      <c r="BF675" s="912"/>
      <c r="BG675" s="519"/>
      <c r="BH675" s="519"/>
      <c r="BI675" s="256"/>
    </row>
    <row r="676" spans="2:61" s="113" customFormat="1" hidden="1">
      <c r="B676" s="127"/>
      <c r="C676" s="115"/>
      <c r="D676" s="115"/>
      <c r="E676" s="133"/>
      <c r="F676" s="99"/>
      <c r="G676" s="1073">
        <v>3</v>
      </c>
      <c r="H676" s="3">
        <v>6</v>
      </c>
      <c r="I676" s="422">
        <f>I674*G676</f>
        <v>2850</v>
      </c>
      <c r="J676" s="1506"/>
      <c r="K676" s="912"/>
      <c r="L676" s="519"/>
      <c r="M676" s="519"/>
      <c r="N676" s="518"/>
      <c r="O676" s="518"/>
      <c r="P676" s="518"/>
      <c r="Q676" s="518"/>
      <c r="R676" s="518"/>
      <c r="S676" s="518"/>
      <c r="T676" s="518"/>
      <c r="U676" s="518"/>
      <c r="V676" s="518"/>
      <c r="W676" s="518"/>
      <c r="X676" s="518"/>
      <c r="Y676" s="518"/>
      <c r="Z676" s="518"/>
      <c r="AA676" s="518"/>
      <c r="AB676" s="518"/>
      <c r="AC676" s="518"/>
      <c r="AD676" s="518"/>
      <c r="AE676" s="518"/>
      <c r="AF676" s="518"/>
      <c r="AG676" s="518"/>
      <c r="AH676" s="518"/>
      <c r="AI676" s="518"/>
      <c r="AJ676" s="518"/>
      <c r="AK676" s="518"/>
      <c r="AL676" s="518"/>
      <c r="AM676" s="518"/>
      <c r="AN676" s="518"/>
      <c r="AO676" s="518"/>
      <c r="AP676" s="518"/>
      <c r="AQ676" s="518"/>
      <c r="AR676" s="518"/>
      <c r="AS676" s="518"/>
      <c r="AT676" s="518"/>
      <c r="AU676" s="518"/>
      <c r="AV676" s="518"/>
      <c r="AW676" s="518"/>
      <c r="AX676" s="518"/>
      <c r="AY676" s="518"/>
      <c r="AZ676" s="519"/>
      <c r="BA676" s="519"/>
      <c r="BB676" s="519"/>
      <c r="BC676" s="519"/>
      <c r="BD676" s="519"/>
      <c r="BE676" s="519"/>
      <c r="BF676" s="912"/>
      <c r="BG676" s="519"/>
      <c r="BH676" s="519"/>
      <c r="BI676" s="256"/>
    </row>
    <row r="677" spans="2:61" s="113" customFormat="1" hidden="1">
      <c r="B677" s="127"/>
      <c r="C677" s="115"/>
      <c r="D677" s="115"/>
      <c r="E677" s="133"/>
      <c r="F677" s="99"/>
      <c r="G677" s="194">
        <v>4</v>
      </c>
      <c r="H677" s="195">
        <v>8</v>
      </c>
      <c r="I677" s="422">
        <f>$I$674*G677</f>
        <v>3800</v>
      </c>
      <c r="J677" s="1506"/>
      <c r="K677" s="912"/>
      <c r="L677" s="519"/>
      <c r="M677" s="519"/>
      <c r="N677" s="518"/>
      <c r="O677" s="518"/>
      <c r="P677" s="518"/>
      <c r="Q677" s="518"/>
      <c r="R677" s="518"/>
      <c r="S677" s="518"/>
      <c r="T677" s="518"/>
      <c r="U677" s="518"/>
      <c r="V677" s="518"/>
      <c r="W677" s="518"/>
      <c r="X677" s="518"/>
      <c r="Y677" s="518"/>
      <c r="Z677" s="518"/>
      <c r="AA677" s="518"/>
      <c r="AB677" s="518"/>
      <c r="AC677" s="518"/>
      <c r="AD677" s="518"/>
      <c r="AE677" s="518"/>
      <c r="AF677" s="518"/>
      <c r="AG677" s="518"/>
      <c r="AH677" s="518"/>
      <c r="AI677" s="518"/>
      <c r="AJ677" s="518"/>
      <c r="AK677" s="518"/>
      <c r="AL677" s="518"/>
      <c r="AM677" s="518"/>
      <c r="AN677" s="518"/>
      <c r="AO677" s="518"/>
      <c r="AP677" s="518"/>
      <c r="AQ677" s="518"/>
      <c r="AR677" s="518"/>
      <c r="AS677" s="518"/>
      <c r="AT677" s="518"/>
      <c r="AU677" s="518"/>
      <c r="AV677" s="518"/>
      <c r="AW677" s="518"/>
      <c r="AX677" s="518"/>
      <c r="AY677" s="518"/>
      <c r="AZ677" s="519"/>
      <c r="BA677" s="519"/>
      <c r="BB677" s="519"/>
      <c r="BC677" s="519"/>
      <c r="BD677" s="519"/>
      <c r="BE677" s="519"/>
      <c r="BF677" s="912"/>
      <c r="BG677" s="519"/>
      <c r="BH677" s="519"/>
      <c r="BI677" s="256"/>
    </row>
    <row r="678" spans="2:61" s="113" customFormat="1" hidden="1">
      <c r="B678" s="127"/>
      <c r="C678" s="115"/>
      <c r="D678" s="115"/>
      <c r="E678" s="133"/>
      <c r="F678" s="99"/>
      <c r="G678" s="194">
        <v>5</v>
      </c>
      <c r="H678" s="195"/>
      <c r="I678" s="422">
        <f t="shared" ref="I678" si="148">$I$674*G678</f>
        <v>4750</v>
      </c>
      <c r="J678" s="1506"/>
      <c r="K678" s="912"/>
      <c r="L678" s="519"/>
      <c r="M678" s="519"/>
      <c r="N678" s="518"/>
      <c r="O678" s="518"/>
      <c r="P678" s="518"/>
      <c r="Q678" s="518"/>
      <c r="R678" s="518"/>
      <c r="S678" s="518"/>
      <c r="T678" s="518"/>
      <c r="U678" s="518"/>
      <c r="V678" s="518"/>
      <c r="W678" s="518"/>
      <c r="X678" s="518"/>
      <c r="Y678" s="518"/>
      <c r="Z678" s="518"/>
      <c r="AA678" s="518"/>
      <c r="AB678" s="518"/>
      <c r="AC678" s="518"/>
      <c r="AD678" s="518"/>
      <c r="AE678" s="518"/>
      <c r="AF678" s="518"/>
      <c r="AG678" s="518"/>
      <c r="AH678" s="518"/>
      <c r="AI678" s="518"/>
      <c r="AJ678" s="518"/>
      <c r="AK678" s="518"/>
      <c r="AL678" s="518"/>
      <c r="AM678" s="518"/>
      <c r="AN678" s="518"/>
      <c r="AO678" s="518"/>
      <c r="AP678" s="518"/>
      <c r="AQ678" s="518"/>
      <c r="AR678" s="518"/>
      <c r="AS678" s="518"/>
      <c r="AT678" s="518"/>
      <c r="AU678" s="518"/>
      <c r="AV678" s="518"/>
      <c r="AW678" s="518"/>
      <c r="AX678" s="518"/>
      <c r="AY678" s="518"/>
      <c r="AZ678" s="519"/>
      <c r="BA678" s="519"/>
      <c r="BB678" s="519"/>
      <c r="BC678" s="519"/>
      <c r="BD678" s="519"/>
      <c r="BE678" s="519"/>
      <c r="BF678" s="912"/>
      <c r="BG678" s="519"/>
      <c r="BH678" s="519"/>
      <c r="BI678" s="256"/>
    </row>
    <row r="679" spans="2:61" s="113" customFormat="1" hidden="1">
      <c r="B679" s="127"/>
      <c r="C679" s="115"/>
      <c r="D679" s="115"/>
      <c r="E679" s="133"/>
      <c r="F679" s="196" t="s">
        <v>105</v>
      </c>
      <c r="G679" s="1073"/>
      <c r="H679" s="192"/>
      <c r="I679" s="423">
        <v>125</v>
      </c>
      <c r="J679" s="1506"/>
      <c r="K679" s="912"/>
      <c r="L679" s="519"/>
      <c r="M679" s="519"/>
      <c r="N679" s="518"/>
      <c r="O679" s="518"/>
      <c r="P679" s="518"/>
      <c r="Q679" s="518"/>
      <c r="R679" s="518"/>
      <c r="S679" s="518"/>
      <c r="T679" s="518"/>
      <c r="U679" s="518"/>
      <c r="V679" s="518"/>
      <c r="W679" s="518"/>
      <c r="X679" s="518"/>
      <c r="Y679" s="518"/>
      <c r="Z679" s="518"/>
      <c r="AA679" s="518"/>
      <c r="AB679" s="518"/>
      <c r="AC679" s="518"/>
      <c r="AD679" s="518"/>
      <c r="AE679" s="518"/>
      <c r="AF679" s="518"/>
      <c r="AG679" s="518"/>
      <c r="AH679" s="518"/>
      <c r="AI679" s="518"/>
      <c r="AJ679" s="518"/>
      <c r="AK679" s="518"/>
      <c r="AL679" s="518"/>
      <c r="AM679" s="518"/>
      <c r="AN679" s="518"/>
      <c r="AO679" s="518"/>
      <c r="AP679" s="518"/>
      <c r="AQ679" s="518"/>
      <c r="AR679" s="518"/>
      <c r="AS679" s="518"/>
      <c r="AT679" s="518"/>
      <c r="AU679" s="518"/>
      <c r="AV679" s="518"/>
      <c r="AW679" s="518"/>
      <c r="AX679" s="518"/>
      <c r="AY679" s="518"/>
      <c r="AZ679" s="519"/>
      <c r="BA679" s="519"/>
      <c r="BB679" s="519"/>
      <c r="BC679" s="519"/>
      <c r="BD679" s="519"/>
      <c r="BE679" s="519"/>
      <c r="BF679" s="912"/>
      <c r="BG679" s="519"/>
      <c r="BH679" s="519"/>
      <c r="BI679" s="256"/>
    </row>
    <row r="680" spans="2:61" s="113" customFormat="1" hidden="1">
      <c r="B680" s="127"/>
      <c r="C680" s="115"/>
      <c r="D680" s="115"/>
      <c r="E680" s="133"/>
      <c r="F680" s="196" t="s">
        <v>1015</v>
      </c>
      <c r="G680" s="1073"/>
      <c r="H680" s="98"/>
      <c r="I680" s="423">
        <v>180</v>
      </c>
      <c r="J680" s="1506"/>
      <c r="K680" s="912"/>
      <c r="L680" s="1009" t="s">
        <v>1131</v>
      </c>
      <c r="M680" s="519"/>
      <c r="N680" s="518"/>
      <c r="O680" s="518"/>
      <c r="P680" s="518"/>
      <c r="Q680" s="518"/>
      <c r="R680" s="518"/>
      <c r="S680" s="518"/>
      <c r="T680" s="518"/>
      <c r="U680" s="518"/>
      <c r="V680" s="518"/>
      <c r="W680" s="518"/>
      <c r="X680" s="518"/>
      <c r="Y680" s="518"/>
      <c r="Z680" s="518"/>
      <c r="AA680" s="518"/>
      <c r="AB680" s="518"/>
      <c r="AC680" s="518"/>
      <c r="AD680" s="518"/>
      <c r="AE680" s="518"/>
      <c r="AF680" s="518"/>
      <c r="AG680" s="518"/>
      <c r="AH680" s="518"/>
      <c r="AI680" s="518"/>
      <c r="AJ680" s="518"/>
      <c r="AK680" s="518"/>
      <c r="AL680" s="518"/>
      <c r="AM680" s="518"/>
      <c r="AN680" s="518"/>
      <c r="AO680" s="518"/>
      <c r="AP680" s="518"/>
      <c r="AQ680" s="518"/>
      <c r="AR680" s="518"/>
      <c r="AS680" s="518"/>
      <c r="AT680" s="518"/>
      <c r="AU680" s="518"/>
      <c r="AV680" s="518"/>
      <c r="AW680" s="518"/>
      <c r="AX680" s="518"/>
      <c r="AY680" s="518"/>
      <c r="AZ680" s="519"/>
      <c r="BA680" s="519"/>
      <c r="BB680" s="519"/>
      <c r="BC680" s="519"/>
      <c r="BD680" s="519"/>
      <c r="BE680" s="519"/>
      <c r="BF680" s="912"/>
      <c r="BG680" s="519"/>
      <c r="BH680" s="519"/>
      <c r="BI680" s="256"/>
    </row>
    <row r="681" spans="2:61" s="113" customFormat="1" hidden="1">
      <c r="B681" s="127"/>
      <c r="C681" s="115"/>
      <c r="D681" s="115"/>
      <c r="E681" s="133"/>
      <c r="F681" s="196" t="s">
        <v>1016</v>
      </c>
      <c r="G681" s="1073"/>
      <c r="H681" s="98"/>
      <c r="I681" s="423">
        <v>270</v>
      </c>
      <c r="J681" s="1506"/>
      <c r="K681" s="912"/>
      <c r="L681" s="1009" t="s">
        <v>1130</v>
      </c>
      <c r="M681" s="519"/>
      <c r="N681" s="518"/>
      <c r="O681" s="518"/>
      <c r="P681" s="518"/>
      <c r="Q681" s="518"/>
      <c r="R681" s="518"/>
      <c r="S681" s="518"/>
      <c r="T681" s="518"/>
      <c r="U681" s="518"/>
      <c r="V681" s="518"/>
      <c r="W681" s="518"/>
      <c r="X681" s="518"/>
      <c r="Y681" s="518"/>
      <c r="Z681" s="518"/>
      <c r="AA681" s="518"/>
      <c r="AB681" s="518"/>
      <c r="AC681" s="518"/>
      <c r="AD681" s="518"/>
      <c r="AE681" s="518"/>
      <c r="AF681" s="518"/>
      <c r="AG681" s="518"/>
      <c r="AH681" s="518"/>
      <c r="AI681" s="518"/>
      <c r="AJ681" s="518"/>
      <c r="AK681" s="518"/>
      <c r="AL681" s="518"/>
      <c r="AM681" s="518"/>
      <c r="AN681" s="518"/>
      <c r="AO681" s="518"/>
      <c r="AP681" s="518"/>
      <c r="AQ681" s="518"/>
      <c r="AR681" s="518"/>
      <c r="AS681" s="518"/>
      <c r="AT681" s="518"/>
      <c r="AU681" s="518"/>
      <c r="AV681" s="518"/>
      <c r="AW681" s="518"/>
      <c r="AX681" s="518"/>
      <c r="AY681" s="518"/>
      <c r="AZ681" s="519"/>
      <c r="BA681" s="519"/>
      <c r="BB681" s="519"/>
      <c r="BC681" s="519"/>
      <c r="BD681" s="519"/>
      <c r="BE681" s="519"/>
      <c r="BF681" s="912"/>
      <c r="BG681" s="519"/>
      <c r="BH681" s="519"/>
      <c r="BI681" s="256"/>
    </row>
    <row r="682" spans="2:61" s="113" customFormat="1" hidden="1">
      <c r="B682" s="127"/>
      <c r="C682" s="115"/>
      <c r="D682" s="115"/>
      <c r="E682" s="133"/>
      <c r="F682" s="133"/>
      <c r="G682" s="120"/>
      <c r="H682" s="109"/>
      <c r="I682" s="110"/>
      <c r="J682" s="1506"/>
      <c r="K682" s="912"/>
      <c r="L682" s="519"/>
      <c r="M682" s="519"/>
      <c r="N682" s="518"/>
      <c r="O682" s="518"/>
      <c r="P682" s="518"/>
      <c r="Q682" s="518"/>
      <c r="R682" s="518"/>
      <c r="S682" s="518"/>
      <c r="T682" s="518"/>
      <c r="U682" s="518"/>
      <c r="V682" s="518"/>
      <c r="W682" s="518"/>
      <c r="X682" s="518"/>
      <c r="Y682" s="518"/>
      <c r="Z682" s="518"/>
      <c r="AA682" s="518"/>
      <c r="AB682" s="518"/>
      <c r="AC682" s="518"/>
      <c r="AD682" s="518"/>
      <c r="AE682" s="518"/>
      <c r="AF682" s="518"/>
      <c r="AG682" s="518"/>
      <c r="AH682" s="518"/>
      <c r="AI682" s="518"/>
      <c r="AJ682" s="518"/>
      <c r="AK682" s="518"/>
      <c r="AL682" s="518"/>
      <c r="AM682" s="518"/>
      <c r="AN682" s="518"/>
      <c r="AO682" s="518"/>
      <c r="AP682" s="518"/>
      <c r="AQ682" s="518"/>
      <c r="AR682" s="518"/>
      <c r="AS682" s="518"/>
      <c r="AT682" s="518"/>
      <c r="AU682" s="518"/>
      <c r="AV682" s="518"/>
      <c r="AW682" s="518"/>
      <c r="AX682" s="518"/>
      <c r="AY682" s="518"/>
      <c r="AZ682" s="519"/>
      <c r="BA682" s="519"/>
      <c r="BB682" s="519"/>
      <c r="BC682" s="519"/>
      <c r="BD682" s="519"/>
      <c r="BE682" s="519"/>
      <c r="BF682" s="912"/>
      <c r="BG682" s="519"/>
      <c r="BH682" s="519"/>
      <c r="BI682" s="256"/>
    </row>
    <row r="683" spans="2:61" s="113" customFormat="1" hidden="1">
      <c r="B683" s="127"/>
      <c r="C683" s="115"/>
      <c r="D683" s="115"/>
      <c r="E683" s="133"/>
      <c r="F683" s="133"/>
      <c r="G683" s="120"/>
      <c r="H683" s="109"/>
      <c r="I683" s="110"/>
      <c r="J683" s="1506"/>
      <c r="K683" s="912"/>
      <c r="L683" s="519"/>
      <c r="M683" s="519"/>
      <c r="N683" s="518"/>
      <c r="O683" s="518"/>
      <c r="P683" s="518"/>
      <c r="Q683" s="518"/>
      <c r="R683" s="518"/>
      <c r="S683" s="518"/>
      <c r="T683" s="518"/>
      <c r="U683" s="518"/>
      <c r="V683" s="518"/>
      <c r="W683" s="518"/>
      <c r="X683" s="518"/>
      <c r="Y683" s="518"/>
      <c r="Z683" s="518"/>
      <c r="AA683" s="518"/>
      <c r="AB683" s="518"/>
      <c r="AC683" s="518"/>
      <c r="AD683" s="518"/>
      <c r="AE683" s="518"/>
      <c r="AF683" s="518"/>
      <c r="AG683" s="518"/>
      <c r="AH683" s="518"/>
      <c r="AI683" s="518"/>
      <c r="AJ683" s="518"/>
      <c r="AK683" s="518"/>
      <c r="AL683" s="518"/>
      <c r="AM683" s="518"/>
      <c r="AN683" s="518"/>
      <c r="AO683" s="518"/>
      <c r="AP683" s="518"/>
      <c r="AQ683" s="518"/>
      <c r="AR683" s="518"/>
      <c r="AS683" s="518"/>
      <c r="AT683" s="518"/>
      <c r="AU683" s="518"/>
      <c r="AV683" s="518"/>
      <c r="AW683" s="518"/>
      <c r="AX683" s="518"/>
      <c r="AY683" s="518"/>
      <c r="AZ683" s="519"/>
      <c r="BA683" s="519"/>
      <c r="BB683" s="519"/>
      <c r="BC683" s="519"/>
      <c r="BD683" s="519"/>
      <c r="BE683" s="519"/>
      <c r="BF683" s="912"/>
      <c r="BG683" s="519"/>
      <c r="BH683" s="519"/>
      <c r="BI683" s="256"/>
    </row>
    <row r="684" spans="2:61" s="113" customFormat="1" hidden="1">
      <c r="B684" s="127"/>
      <c r="C684" s="115"/>
      <c r="D684" s="115"/>
      <c r="E684" s="133"/>
      <c r="F684" s="115"/>
      <c r="G684" s="120"/>
      <c r="H684" s="109"/>
      <c r="I684" s="110"/>
      <c r="J684" s="1506"/>
      <c r="K684" s="912"/>
      <c r="L684" s="519"/>
      <c r="M684" s="519"/>
      <c r="N684" s="518"/>
      <c r="O684" s="518"/>
      <c r="P684" s="518"/>
      <c r="Q684" s="518"/>
      <c r="R684" s="518"/>
      <c r="S684" s="518"/>
      <c r="T684" s="518"/>
      <c r="U684" s="518"/>
      <c r="V684" s="518"/>
      <c r="W684" s="518"/>
      <c r="X684" s="518"/>
      <c r="Y684" s="518"/>
      <c r="Z684" s="518"/>
      <c r="AA684" s="518"/>
      <c r="AB684" s="518"/>
      <c r="AC684" s="518"/>
      <c r="AD684" s="518"/>
      <c r="AE684" s="518"/>
      <c r="AF684" s="518"/>
      <c r="AG684" s="518"/>
      <c r="AH684" s="518"/>
      <c r="AI684" s="518"/>
      <c r="AJ684" s="518"/>
      <c r="AK684" s="518"/>
      <c r="AL684" s="518"/>
      <c r="AM684" s="518"/>
      <c r="AN684" s="518"/>
      <c r="AO684" s="518"/>
      <c r="AP684" s="518"/>
      <c r="AQ684" s="518"/>
      <c r="AR684" s="518"/>
      <c r="AS684" s="518"/>
      <c r="AT684" s="518"/>
      <c r="AU684" s="518"/>
      <c r="AV684" s="518"/>
      <c r="AW684" s="518"/>
      <c r="AX684" s="518"/>
      <c r="AY684" s="518"/>
      <c r="AZ684" s="519"/>
      <c r="BA684" s="519"/>
      <c r="BB684" s="519"/>
      <c r="BC684" s="519"/>
      <c r="BD684" s="519"/>
      <c r="BE684" s="519"/>
      <c r="BF684" s="912"/>
      <c r="BG684" s="519"/>
      <c r="BH684" s="519"/>
      <c r="BI684" s="256"/>
    </row>
    <row r="685" spans="2:61" s="113" customFormat="1" hidden="1">
      <c r="B685" s="127"/>
      <c r="C685" s="115"/>
      <c r="D685" s="115"/>
      <c r="E685" s="133"/>
      <c r="F685" s="115"/>
      <c r="G685" s="120"/>
      <c r="H685" s="109"/>
      <c r="I685" s="110"/>
      <c r="J685" s="1506"/>
      <c r="K685" s="912"/>
      <c r="L685" s="519"/>
      <c r="M685" s="519"/>
      <c r="N685" s="518"/>
      <c r="O685" s="518"/>
      <c r="P685" s="518"/>
      <c r="Q685" s="518"/>
      <c r="R685" s="518"/>
      <c r="S685" s="518"/>
      <c r="T685" s="518"/>
      <c r="U685" s="518"/>
      <c r="V685" s="518"/>
      <c r="W685" s="518"/>
      <c r="X685" s="518"/>
      <c r="Y685" s="518"/>
      <c r="Z685" s="518"/>
      <c r="AA685" s="518"/>
      <c r="AB685" s="518"/>
      <c r="AC685" s="518"/>
      <c r="AD685" s="518"/>
      <c r="AE685" s="518"/>
      <c r="AF685" s="518"/>
      <c r="AG685" s="518"/>
      <c r="AH685" s="518"/>
      <c r="AI685" s="518"/>
      <c r="AJ685" s="518"/>
      <c r="AK685" s="518"/>
      <c r="AL685" s="518"/>
      <c r="AM685" s="518"/>
      <c r="AN685" s="518"/>
      <c r="AO685" s="518"/>
      <c r="AP685" s="518"/>
      <c r="AQ685" s="518"/>
      <c r="AR685" s="518"/>
      <c r="AS685" s="518"/>
      <c r="AT685" s="518"/>
      <c r="AU685" s="518"/>
      <c r="AV685" s="518"/>
      <c r="AW685" s="518"/>
      <c r="AX685" s="518"/>
      <c r="AY685" s="518"/>
      <c r="AZ685" s="519"/>
      <c r="BA685" s="519"/>
      <c r="BB685" s="519"/>
      <c r="BC685" s="519"/>
      <c r="BD685" s="519"/>
      <c r="BE685" s="519"/>
      <c r="BF685" s="912"/>
      <c r="BG685" s="519"/>
      <c r="BH685" s="519"/>
      <c r="BI685" s="256"/>
    </row>
    <row r="686" spans="2:61" hidden="1">
      <c r="B686" s="127"/>
      <c r="C686" s="115"/>
      <c r="D686" s="115"/>
      <c r="E686" s="115"/>
      <c r="F686" s="109"/>
      <c r="G686" s="28"/>
      <c r="H686" s="109"/>
      <c r="I686" s="109"/>
      <c r="J686" s="1506"/>
    </row>
    <row r="687" spans="2:61" hidden="1">
      <c r="B687" s="127"/>
      <c r="C687" s="115"/>
      <c r="D687" s="115"/>
      <c r="E687" s="115"/>
      <c r="F687" s="153"/>
      <c r="G687" s="28"/>
      <c r="H687" s="109"/>
      <c r="I687" s="109"/>
      <c r="J687" s="1506"/>
    </row>
    <row r="688" spans="2:61" hidden="1">
      <c r="B688" s="127"/>
      <c r="C688" s="115"/>
      <c r="D688" s="115"/>
      <c r="E688" s="115"/>
      <c r="F688" s="109"/>
      <c r="G688" s="28"/>
      <c r="H688" s="109"/>
      <c r="I688" s="109"/>
      <c r="J688" s="1506"/>
    </row>
    <row r="689" spans="2:10" ht="13.5" hidden="1" thickBot="1">
      <c r="B689" s="136"/>
      <c r="C689" s="18"/>
      <c r="D689" s="18"/>
      <c r="E689" s="18"/>
      <c r="F689" s="19"/>
      <c r="G689" s="20"/>
      <c r="H689" s="19"/>
      <c r="I689" s="19"/>
      <c r="J689" s="1511"/>
    </row>
    <row r="690" spans="2:10" hidden="1">
      <c r="C690" s="112"/>
      <c r="D690" s="112"/>
      <c r="E690" s="112"/>
      <c r="G690" s="112"/>
    </row>
    <row r="691" spans="2:10" hidden="1">
      <c r="C691" s="112"/>
      <c r="D691" s="112"/>
      <c r="E691" s="112"/>
      <c r="G691" s="112"/>
    </row>
    <row r="692" spans="2:10" hidden="1">
      <c r="C692" s="112"/>
      <c r="D692" s="112"/>
      <c r="E692" s="112"/>
      <c r="G692" s="112"/>
    </row>
    <row r="693" spans="2:10" hidden="1">
      <c r="C693" s="112"/>
      <c r="D693" s="112"/>
      <c r="E693" s="112"/>
      <c r="G693" s="112"/>
    </row>
    <row r="694" spans="2:10" hidden="1">
      <c r="C694" s="112"/>
      <c r="D694" s="112"/>
      <c r="E694" s="112"/>
      <c r="G694" s="112"/>
    </row>
    <row r="695" spans="2:10" hidden="1">
      <c r="C695" s="112"/>
      <c r="D695" s="112"/>
      <c r="E695" s="112"/>
      <c r="G695" s="112"/>
    </row>
    <row r="696" spans="2:10" hidden="1">
      <c r="C696" s="112"/>
      <c r="D696" s="112"/>
      <c r="E696" s="112"/>
      <c r="G696" s="112"/>
    </row>
    <row r="697" spans="2:10" hidden="1">
      <c r="C697" s="112"/>
      <c r="D697" s="112"/>
      <c r="E697" s="112"/>
      <c r="G697" s="112"/>
    </row>
    <row r="698" spans="2:10" hidden="1">
      <c r="C698" s="112"/>
      <c r="D698" s="112"/>
      <c r="E698" s="112"/>
      <c r="G698" s="112"/>
    </row>
    <row r="699" spans="2:10" hidden="1">
      <c r="C699" s="112"/>
      <c r="D699" s="112"/>
      <c r="E699" s="112"/>
      <c r="G699" s="112"/>
    </row>
    <row r="700" spans="2:10" hidden="1">
      <c r="C700" s="112"/>
      <c r="D700" s="112"/>
      <c r="E700" s="112"/>
      <c r="G700" s="112"/>
    </row>
    <row r="701" spans="2:10" hidden="1">
      <c r="C701" s="112"/>
      <c r="D701" s="112"/>
      <c r="E701" s="112"/>
      <c r="G701" s="112"/>
    </row>
    <row r="702" spans="2:10" hidden="1">
      <c r="C702" s="112"/>
      <c r="D702" s="112"/>
      <c r="E702" s="112"/>
      <c r="G702" s="112"/>
    </row>
    <row r="703" spans="2:10" hidden="1">
      <c r="C703" s="112"/>
      <c r="D703" s="112"/>
      <c r="E703" s="112"/>
      <c r="G703" s="112"/>
    </row>
    <row r="704" spans="2:10" hidden="1">
      <c r="C704" s="112"/>
      <c r="D704" s="112"/>
      <c r="E704" s="112"/>
      <c r="G704" s="112"/>
    </row>
    <row r="705" spans="3:7" hidden="1">
      <c r="C705" s="112"/>
      <c r="D705" s="112"/>
      <c r="E705" s="112"/>
      <c r="G705" s="112"/>
    </row>
    <row r="706" spans="3:7" hidden="1">
      <c r="C706" s="112"/>
      <c r="D706" s="112"/>
      <c r="E706" s="112"/>
      <c r="G706" s="112"/>
    </row>
    <row r="707" spans="3:7" hidden="1">
      <c r="C707" s="112"/>
      <c r="D707" s="112"/>
      <c r="E707" s="112"/>
      <c r="G707" s="112"/>
    </row>
    <row r="708" spans="3:7" hidden="1">
      <c r="C708" s="112"/>
      <c r="D708" s="112"/>
      <c r="E708" s="112"/>
      <c r="G708" s="112"/>
    </row>
    <row r="709" spans="3:7" hidden="1">
      <c r="C709" s="112"/>
      <c r="D709" s="112"/>
      <c r="E709" s="112"/>
      <c r="G709" s="112"/>
    </row>
    <row r="710" spans="3:7" hidden="1">
      <c r="C710" s="112"/>
      <c r="D710" s="112"/>
      <c r="E710" s="112"/>
      <c r="G710" s="112"/>
    </row>
    <row r="711" spans="3:7" hidden="1">
      <c r="C711" s="112"/>
      <c r="D711" s="112"/>
      <c r="E711" s="112"/>
      <c r="G711" s="112"/>
    </row>
    <row r="712" spans="3:7" hidden="1">
      <c r="C712" s="112"/>
      <c r="D712" s="112"/>
      <c r="E712" s="112"/>
      <c r="G712" s="112"/>
    </row>
    <row r="713" spans="3:7" hidden="1">
      <c r="C713" s="112"/>
      <c r="D713" s="112"/>
      <c r="E713" s="112"/>
      <c r="G713" s="112"/>
    </row>
    <row r="714" spans="3:7" hidden="1">
      <c r="C714" s="112"/>
      <c r="D714" s="112"/>
      <c r="E714" s="112"/>
      <c r="G714" s="112"/>
    </row>
    <row r="715" spans="3:7" hidden="1">
      <c r="C715" s="112"/>
      <c r="D715" s="112"/>
      <c r="E715" s="112"/>
      <c r="G715" s="112"/>
    </row>
    <row r="716" spans="3:7" hidden="1">
      <c r="C716" s="112"/>
      <c r="D716" s="112"/>
      <c r="E716" s="112"/>
      <c r="G716" s="112"/>
    </row>
    <row r="717" spans="3:7" hidden="1">
      <c r="C717" s="112"/>
      <c r="D717" s="112"/>
      <c r="E717" s="112"/>
      <c r="G717" s="112"/>
    </row>
    <row r="718" spans="3:7" hidden="1">
      <c r="C718" s="112"/>
      <c r="D718" s="112"/>
      <c r="E718" s="112"/>
      <c r="G718" s="112"/>
    </row>
    <row r="719" spans="3:7" hidden="1">
      <c r="C719" s="112"/>
      <c r="D719" s="112"/>
      <c r="E719" s="112"/>
      <c r="G719" s="112"/>
    </row>
    <row r="720" spans="3:7" hidden="1">
      <c r="C720" s="112"/>
      <c r="D720" s="112"/>
      <c r="E720" s="112"/>
      <c r="G720" s="112"/>
    </row>
    <row r="721" spans="3:7" hidden="1">
      <c r="C721" s="112"/>
      <c r="D721" s="112"/>
      <c r="E721" s="112"/>
      <c r="G721" s="112"/>
    </row>
    <row r="722" spans="3:7" hidden="1">
      <c r="C722" s="112"/>
      <c r="D722" s="112"/>
      <c r="E722" s="112"/>
      <c r="G722" s="112"/>
    </row>
    <row r="723" spans="3:7" hidden="1">
      <c r="C723" s="112"/>
      <c r="D723" s="112"/>
      <c r="E723" s="112"/>
      <c r="G723" s="112"/>
    </row>
    <row r="724" spans="3:7" hidden="1">
      <c r="C724" s="112"/>
      <c r="D724" s="112"/>
      <c r="E724" s="112"/>
      <c r="G724" s="112"/>
    </row>
    <row r="725" spans="3:7" hidden="1">
      <c r="C725" s="112"/>
      <c r="D725" s="112"/>
      <c r="E725" s="112"/>
      <c r="G725" s="112"/>
    </row>
    <row r="726" spans="3:7" hidden="1">
      <c r="C726" s="112"/>
      <c r="D726" s="112"/>
      <c r="E726" s="112"/>
      <c r="G726" s="112"/>
    </row>
    <row r="727" spans="3:7" hidden="1">
      <c r="C727" s="112"/>
      <c r="D727" s="112"/>
      <c r="E727" s="112"/>
      <c r="G727" s="112"/>
    </row>
    <row r="728" spans="3:7" hidden="1">
      <c r="C728" s="112"/>
      <c r="D728" s="112"/>
      <c r="E728" s="112"/>
      <c r="G728" s="112"/>
    </row>
    <row r="729" spans="3:7" hidden="1">
      <c r="C729" s="112"/>
      <c r="D729" s="112"/>
      <c r="E729" s="112"/>
      <c r="G729" s="112"/>
    </row>
    <row r="730" spans="3:7" hidden="1">
      <c r="C730" s="112"/>
      <c r="D730" s="112"/>
      <c r="E730" s="112"/>
      <c r="G730" s="112"/>
    </row>
    <row r="731" spans="3:7" hidden="1">
      <c r="C731" s="112"/>
      <c r="D731" s="112"/>
      <c r="E731" s="112"/>
      <c r="G731" s="112"/>
    </row>
    <row r="732" spans="3:7" hidden="1">
      <c r="C732" s="112"/>
      <c r="D732" s="112"/>
      <c r="E732" s="112"/>
      <c r="G732" s="112"/>
    </row>
    <row r="733" spans="3:7" hidden="1">
      <c r="C733" s="112"/>
      <c r="D733" s="112"/>
      <c r="E733" s="112"/>
      <c r="G733" s="112"/>
    </row>
    <row r="734" spans="3:7" hidden="1">
      <c r="C734" s="112"/>
      <c r="D734" s="112"/>
      <c r="E734" s="112"/>
      <c r="G734" s="112"/>
    </row>
    <row r="735" spans="3:7" hidden="1">
      <c r="C735" s="112"/>
      <c r="D735" s="112"/>
      <c r="E735" s="112"/>
      <c r="G735" s="112"/>
    </row>
    <row r="736" spans="3:7" hidden="1">
      <c r="C736" s="112"/>
      <c r="D736" s="112"/>
      <c r="E736" s="112"/>
      <c r="G736" s="112"/>
    </row>
    <row r="737" spans="3:7" hidden="1">
      <c r="C737" s="112"/>
      <c r="D737" s="112"/>
      <c r="E737" s="112"/>
      <c r="G737" s="112"/>
    </row>
    <row r="738" spans="3:7" hidden="1">
      <c r="C738" s="112"/>
      <c r="D738" s="112"/>
      <c r="E738" s="112"/>
      <c r="G738" s="112"/>
    </row>
    <row r="739" spans="3:7" hidden="1">
      <c r="C739" s="112"/>
      <c r="D739" s="112"/>
      <c r="E739" s="112"/>
      <c r="G739" s="112"/>
    </row>
    <row r="740" spans="3:7" hidden="1">
      <c r="C740" s="112"/>
      <c r="D740" s="112"/>
      <c r="E740" s="112"/>
      <c r="G740" s="112"/>
    </row>
    <row r="741" spans="3:7" hidden="1">
      <c r="C741" s="112"/>
      <c r="D741" s="112"/>
      <c r="E741" s="112"/>
      <c r="G741" s="112"/>
    </row>
    <row r="742" spans="3:7" hidden="1">
      <c r="C742" s="112"/>
      <c r="D742" s="112"/>
      <c r="E742" s="112"/>
      <c r="G742" s="112"/>
    </row>
    <row r="743" spans="3:7" hidden="1">
      <c r="C743" s="112"/>
      <c r="D743" s="112"/>
      <c r="E743" s="112"/>
      <c r="G743" s="112"/>
    </row>
    <row r="744" spans="3:7" hidden="1">
      <c r="C744" s="112"/>
      <c r="D744" s="112"/>
      <c r="E744" s="112"/>
      <c r="G744" s="112"/>
    </row>
    <row r="745" spans="3:7" hidden="1">
      <c r="C745" s="112"/>
      <c r="D745" s="112"/>
      <c r="E745" s="112"/>
      <c r="G745" s="112"/>
    </row>
    <row r="746" spans="3:7" hidden="1">
      <c r="C746" s="112"/>
      <c r="D746" s="112"/>
      <c r="E746" s="112"/>
      <c r="G746" s="112"/>
    </row>
    <row r="747" spans="3:7" hidden="1">
      <c r="C747" s="112"/>
      <c r="D747" s="112"/>
      <c r="E747" s="112"/>
      <c r="G747" s="112"/>
    </row>
    <row r="748" spans="3:7" hidden="1">
      <c r="C748" s="112"/>
      <c r="D748" s="112"/>
      <c r="E748" s="112"/>
      <c r="G748" s="112"/>
    </row>
    <row r="749" spans="3:7" hidden="1">
      <c r="C749" s="112"/>
      <c r="D749" s="112"/>
      <c r="E749" s="112"/>
      <c r="G749" s="112"/>
    </row>
    <row r="750" spans="3:7" hidden="1">
      <c r="C750" s="112"/>
      <c r="D750" s="112"/>
      <c r="E750" s="112"/>
      <c r="G750" s="112"/>
    </row>
    <row r="751" spans="3:7" hidden="1">
      <c r="C751" s="112"/>
      <c r="D751" s="112"/>
      <c r="E751" s="112"/>
      <c r="G751" s="112"/>
    </row>
    <row r="752" spans="3:7" hidden="1">
      <c r="C752" s="112"/>
      <c r="D752" s="112"/>
      <c r="E752" s="112"/>
      <c r="G752" s="112"/>
    </row>
    <row r="753" spans="3:7" hidden="1">
      <c r="C753" s="112"/>
      <c r="D753" s="112"/>
      <c r="E753" s="112"/>
      <c r="G753" s="112"/>
    </row>
    <row r="754" spans="3:7" hidden="1">
      <c r="C754" s="112"/>
      <c r="D754" s="112"/>
      <c r="E754" s="112"/>
      <c r="G754" s="112"/>
    </row>
    <row r="755" spans="3:7" hidden="1">
      <c r="C755" s="112"/>
      <c r="D755" s="112"/>
      <c r="E755" s="112"/>
      <c r="G755" s="112"/>
    </row>
    <row r="756" spans="3:7" hidden="1">
      <c r="C756" s="112"/>
      <c r="D756" s="112"/>
      <c r="E756" s="112"/>
      <c r="G756" s="112"/>
    </row>
    <row r="757" spans="3:7" hidden="1">
      <c r="C757" s="112"/>
      <c r="D757" s="112"/>
      <c r="E757" s="112"/>
      <c r="G757" s="112"/>
    </row>
    <row r="758" spans="3:7" hidden="1">
      <c r="C758" s="112"/>
      <c r="D758" s="112"/>
      <c r="E758" s="112"/>
      <c r="G758" s="112"/>
    </row>
    <row r="759" spans="3:7" hidden="1">
      <c r="C759" s="112"/>
      <c r="D759" s="112"/>
      <c r="E759" s="112"/>
      <c r="G759" s="112"/>
    </row>
    <row r="760" spans="3:7" hidden="1">
      <c r="C760" s="112"/>
      <c r="D760" s="112"/>
      <c r="E760" s="112"/>
      <c r="G760" s="112"/>
    </row>
    <row r="761" spans="3:7" hidden="1">
      <c r="C761" s="112"/>
      <c r="D761" s="112"/>
      <c r="E761" s="112"/>
      <c r="G761" s="112"/>
    </row>
    <row r="762" spans="3:7" hidden="1">
      <c r="C762" s="112"/>
      <c r="D762" s="112"/>
      <c r="E762" s="112"/>
      <c r="G762" s="112"/>
    </row>
    <row r="763" spans="3:7" hidden="1">
      <c r="C763" s="112"/>
      <c r="D763" s="112"/>
      <c r="E763" s="112"/>
      <c r="G763" s="112"/>
    </row>
    <row r="764" spans="3:7" hidden="1">
      <c r="C764" s="112"/>
      <c r="D764" s="112"/>
      <c r="E764" s="112"/>
      <c r="G764" s="112"/>
    </row>
    <row r="765" spans="3:7" hidden="1">
      <c r="C765" s="112"/>
      <c r="D765" s="112"/>
      <c r="E765" s="112"/>
      <c r="G765" s="112"/>
    </row>
    <row r="766" spans="3:7" hidden="1">
      <c r="C766" s="112"/>
      <c r="D766" s="112"/>
      <c r="E766" s="112"/>
      <c r="G766" s="112"/>
    </row>
    <row r="767" spans="3:7" hidden="1">
      <c r="C767" s="112"/>
      <c r="D767" s="112"/>
      <c r="E767" s="112"/>
      <c r="G767" s="112"/>
    </row>
    <row r="768" spans="3:7" hidden="1">
      <c r="C768" s="112"/>
      <c r="D768" s="112"/>
      <c r="E768" s="112"/>
      <c r="G768" s="112"/>
    </row>
    <row r="769" spans="3:7" hidden="1">
      <c r="C769" s="112"/>
      <c r="D769" s="112"/>
      <c r="E769" s="112"/>
      <c r="G769" s="112"/>
    </row>
    <row r="770" spans="3:7" hidden="1">
      <c r="C770" s="112"/>
      <c r="D770" s="112"/>
      <c r="E770" s="112"/>
      <c r="G770" s="112"/>
    </row>
    <row r="771" spans="3:7" hidden="1">
      <c r="C771" s="112"/>
      <c r="D771" s="112"/>
      <c r="E771" s="112"/>
      <c r="G771" s="112"/>
    </row>
    <row r="772" spans="3:7" hidden="1">
      <c r="C772" s="112"/>
      <c r="D772" s="112"/>
      <c r="E772" s="112"/>
      <c r="G772" s="112"/>
    </row>
    <row r="773" spans="3:7" hidden="1">
      <c r="C773" s="112"/>
      <c r="D773" s="112"/>
      <c r="E773" s="112"/>
      <c r="G773" s="112"/>
    </row>
    <row r="774" spans="3:7" hidden="1">
      <c r="C774" s="112"/>
      <c r="D774" s="112"/>
      <c r="E774" s="112"/>
      <c r="G774" s="112"/>
    </row>
    <row r="775" spans="3:7" hidden="1">
      <c r="C775" s="112"/>
      <c r="D775" s="112"/>
      <c r="E775" s="112"/>
      <c r="G775" s="112"/>
    </row>
    <row r="776" spans="3:7" hidden="1">
      <c r="C776" s="112"/>
      <c r="D776" s="112"/>
      <c r="E776" s="112"/>
      <c r="G776" s="112"/>
    </row>
    <row r="777" spans="3:7" hidden="1">
      <c r="C777" s="112"/>
      <c r="D777" s="112"/>
      <c r="E777" s="112"/>
      <c r="G777" s="112"/>
    </row>
    <row r="778" spans="3:7">
      <c r="C778" s="112"/>
      <c r="D778" s="112"/>
      <c r="E778" s="112"/>
      <c r="G778" s="112"/>
    </row>
    <row r="779" spans="3:7">
      <c r="C779" s="112"/>
      <c r="D779" s="112"/>
      <c r="E779" s="112"/>
      <c r="G779" s="112"/>
    </row>
    <row r="780" spans="3:7">
      <c r="C780" s="112"/>
      <c r="D780" s="112"/>
      <c r="E780" s="112"/>
      <c r="G780" s="112"/>
    </row>
    <row r="781" spans="3:7">
      <c r="C781" s="112"/>
      <c r="D781" s="112"/>
      <c r="E781" s="112"/>
      <c r="G781" s="112"/>
    </row>
    <row r="782" spans="3:7">
      <c r="C782" s="112"/>
      <c r="D782" s="112"/>
      <c r="E782" s="112"/>
      <c r="G782" s="112"/>
    </row>
    <row r="783" spans="3:7">
      <c r="C783" s="112"/>
      <c r="D783" s="112"/>
      <c r="E783" s="112"/>
      <c r="G783" s="112"/>
    </row>
    <row r="784" spans="3:7">
      <c r="C784" s="112"/>
      <c r="D784" s="112"/>
      <c r="E784" s="112"/>
      <c r="G784" s="112"/>
    </row>
    <row r="785" spans="3:7">
      <c r="C785" s="112"/>
      <c r="D785" s="112"/>
      <c r="E785" s="112"/>
      <c r="G785" s="112"/>
    </row>
    <row r="786" spans="3:7">
      <c r="C786" s="112"/>
      <c r="D786" s="112"/>
      <c r="E786" s="112"/>
      <c r="G786" s="112"/>
    </row>
    <row r="787" spans="3:7">
      <c r="C787" s="112"/>
      <c r="D787" s="112"/>
      <c r="E787" s="112"/>
      <c r="G787" s="112"/>
    </row>
    <row r="788" spans="3:7">
      <c r="C788" s="112"/>
      <c r="D788" s="112"/>
      <c r="E788" s="112"/>
      <c r="G788" s="112"/>
    </row>
    <row r="789" spans="3:7">
      <c r="C789" s="112"/>
      <c r="D789" s="112"/>
      <c r="E789" s="112"/>
      <c r="G789" s="112"/>
    </row>
    <row r="790" spans="3:7">
      <c r="C790" s="112"/>
      <c r="D790" s="112"/>
      <c r="E790" s="112"/>
      <c r="G790" s="112"/>
    </row>
    <row r="791" spans="3:7">
      <c r="C791" s="112"/>
      <c r="D791" s="112"/>
      <c r="E791" s="112"/>
      <c r="G791" s="112"/>
    </row>
  </sheetData>
  <sheetProtection password="C583" sheet="1" selectLockedCells="1"/>
  <mergeCells count="5">
    <mergeCell ref="O636:Q636"/>
    <mergeCell ref="D201:I201"/>
    <mergeCell ref="C206:I206"/>
    <mergeCell ref="C207:I212"/>
    <mergeCell ref="L636:N636"/>
  </mergeCells>
  <conditionalFormatting sqref="E174">
    <cfRule type="expression" dxfId="1" priority="3">
      <formula>IF($F$468="","",)</formula>
    </cfRule>
  </conditionalFormatting>
  <conditionalFormatting sqref="E175:E188">
    <cfRule type="expression" dxfId="0" priority="1">
      <formula>IF($F$468="","",)</formula>
    </cfRule>
  </conditionalFormatting>
  <dataValidations count="19">
    <dataValidation type="list" allowBlank="1" showInputMessage="1" showErrorMessage="1" sqref="F159" xr:uid="{00000000-0002-0000-0E00-000000000000}">
      <formula1>$AM$490:$AM$514</formula1>
    </dataValidation>
    <dataValidation type="list" allowBlank="1" showInputMessage="1" showErrorMessage="1" sqref="F130 F122:F124" xr:uid="{00000000-0002-0000-0E00-000001000000}">
      <formula1>$L$680:$L$681</formula1>
    </dataValidation>
    <dataValidation type="list" allowBlank="1" showInputMessage="1" showErrorMessage="1" sqref="D9" xr:uid="{00000000-0002-0000-0E00-000002000000}">
      <formula1>"IBTO, CTO"</formula1>
    </dataValidation>
    <dataValidation type="list" allowBlank="1" showInputMessage="1" showErrorMessage="1" sqref="F50" xr:uid="{00000000-0002-0000-0E00-000003000000}">
      <formula1>$F$655:$F$657</formula1>
    </dataValidation>
    <dataValidation type="list" allowBlank="1" showInputMessage="1" showErrorMessage="1" sqref="F46" xr:uid="{00000000-0002-0000-0E00-000004000000}">
      <formula1>$L$465:$L$479</formula1>
    </dataValidation>
    <dataValidation type="list" allowBlank="1" showInputMessage="1" showErrorMessage="1" sqref="F162 F48:F49 F142 F167 F158" xr:uid="{00000000-0002-0000-0E00-000005000000}">
      <formula1>$F$648:$F$650</formula1>
    </dataValidation>
    <dataValidation type="list" allowBlank="1" showInputMessage="1" showErrorMessage="1" sqref="F47" xr:uid="{00000000-0002-0000-0E00-000006000000}">
      <formula1>$F$638:$F$645</formula1>
    </dataValidation>
    <dataValidation type="list" allowBlank="1" showInputMessage="1" showErrorMessage="1" sqref="D8" xr:uid="{00000000-0002-0000-0E00-000007000000}">
      <formula1>"Yes,No"</formula1>
    </dataValidation>
    <dataValidation type="list" allowBlank="1" showInputMessage="1" showErrorMessage="1" sqref="F88 F63 F45" xr:uid="{00000000-0002-0000-0E00-000008000000}">
      <formula1>$L$458:$L$471</formula1>
    </dataValidation>
    <dataValidation type="list" allowBlank="1" showInputMessage="1" showErrorMessage="1" sqref="F125:F126" xr:uid="{00000000-0002-0000-0E00-000009000000}">
      <formula1>$F$677:$F$679</formula1>
    </dataValidation>
    <dataValidation type="list" allowBlank="1" showInputMessage="1" showErrorMessage="1" sqref="F68 F65" xr:uid="{00000000-0002-0000-0E00-00000A000000}">
      <formula1>$F$618:$F$620</formula1>
    </dataValidation>
    <dataValidation type="list" allowBlank="1" showInputMessage="1" showErrorMessage="1" sqref="F144 F163" xr:uid="{00000000-0002-0000-0E00-00000B000000}">
      <formula1>$F$577:$F$584</formula1>
    </dataValidation>
    <dataValidation type="list" allowBlank="1" showInputMessage="1" showErrorMessage="1" sqref="F38" xr:uid="{00000000-0002-0000-0E00-00000D000000}">
      <formula1>$F$411:$F$418</formula1>
    </dataValidation>
    <dataValidation type="list" allowBlank="1" showInputMessage="1" showErrorMessage="1" sqref="E174:E188" xr:uid="{00000000-0002-0000-0E00-00000E000000}">
      <formula1>"Datacapture, Engineering, IDSnet Express, IDSnet Enterprise"</formula1>
    </dataValidation>
    <dataValidation type="list" allowBlank="1" showInputMessage="1" showErrorMessage="1" sqref="F19:F20" xr:uid="{049A0BFB-AA09-4295-83B3-DAC7D18421E9}">
      <formula1>$F$398:$F$399</formula1>
    </dataValidation>
    <dataValidation type="list" allowBlank="1" showInputMessage="1" showErrorMessage="1" sqref="F21:F22" xr:uid="{19F42122-DB13-4C3C-A950-AB54C7C90660}">
      <formula1>$F$402:$F$404</formula1>
    </dataValidation>
    <dataValidation type="list" allowBlank="1" showInputMessage="1" showErrorMessage="1" sqref="F23" xr:uid="{641BE09A-99C4-4C5E-B2C7-6F826992B54F}">
      <formula1>$F$406:$F$408</formula1>
    </dataValidation>
    <dataValidation type="list" allowBlank="1" showInputMessage="1" showErrorMessage="1" sqref="F34:F35" xr:uid="{AF1A797F-AF41-4CFD-994E-96CA0C1FA306}">
      <formula1>$F$411:$F$414</formula1>
    </dataValidation>
    <dataValidation type="list" allowBlank="1" showInputMessage="1" showErrorMessage="1" sqref="F36:F37" xr:uid="{BD1292E3-25F1-42A1-8831-92E7A53CDD13}">
      <formula1>$F$416:$F$418</formula1>
    </dataValidation>
  </dataValidations>
  <pageMargins left="0.74803149606299213" right="0.74803149606299213" top="0.98425196850393704" bottom="0.98425196850393704" header="0.51181102362204722" footer="0.51181102362204722"/>
  <pageSetup paperSize="9" scale="57" fitToHeight="2" orientation="portrait" horizontalDpi="200" r:id="rId1"/>
  <headerFooter alignWithMargins="0">
    <oddHeader>&amp;F</oddHeader>
    <oddFooter>&amp;L&amp;BMatthews Australasia Pty Ltd Confidential&amp;B&amp;C&amp;D&amp;RPage &amp;P</oddFooter>
  </headerFooter>
  <rowBreaks count="1" manualBreakCount="1">
    <brk id="119" min="1" max="9" man="1"/>
  </rowBreaks>
  <ignoredErrors>
    <ignoredError sqref="G75:G77 G47:G50 G72:G73 G65 G67:G68 G71 G66 G103 F145 F151 F150 F147 F146 F157:F165 G147 G146 G99 G154 D225:E232 G155:G156 C174 G97 G149:G151 I412 G52:G54 G70" unlockedFormula="1"/>
    <ignoredError sqref="G392:H396 G398:G404 G470 G625:H629 E67 G478:G481 G490:G495 G416 D306:D308 G391 G406:G408 G604:G615 G475:G476 G522:G551 H477:H487 G460:G468 M641 G658 H490:H493 G484:G488 G411:G412 G421:I422 D288:D303" numberStoredAsText="1"/>
    <ignoredError sqref="E194 F215:F216 D154:E155 D111:E111 E320:E329" evalError="1"/>
    <ignoredError sqref="H150" formula="1" unlockedFormula="1"/>
    <ignoredError sqref="H155 H154" evalError="1" unlockedFormula="1"/>
    <ignoredError sqref="G283 E654:E658" formula="1"/>
  </ignoredError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F889B-E487-4CE5-8664-C30E3C6BEE1B}">
  <sheetPr>
    <tabColor theme="6" tint="0.39997558519241921"/>
  </sheetPr>
  <dimension ref="A1:AL123"/>
  <sheetViews>
    <sheetView showGridLines="0" showRowColHeaders="0" workbookViewId="0">
      <pane ySplit="15" topLeftCell="A16" activePane="bottomLeft" state="frozen"/>
      <selection pane="bottomLeft" activeCell="D36" sqref="D36"/>
    </sheetView>
  </sheetViews>
  <sheetFormatPr defaultRowHeight="12.75" outlineLevelRow="1"/>
  <cols>
    <col min="2" max="2" width="11" customWidth="1"/>
    <col min="3" max="3" width="22.28515625" customWidth="1"/>
    <col min="4" max="38" width="4.42578125" customWidth="1"/>
  </cols>
  <sheetData>
    <row r="1" spans="1:38" ht="24" thickBot="1">
      <c r="A1" s="1450" t="s">
        <v>1580</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row>
    <row r="2" spans="1:38" ht="7.5" customHeight="1"/>
    <row r="3" spans="1:38" ht="15.75">
      <c r="B3" s="1251" t="s">
        <v>1629</v>
      </c>
      <c r="C3" s="1147"/>
      <c r="D3" s="1147"/>
      <c r="E3" s="1147"/>
      <c r="F3" s="1147"/>
      <c r="G3" s="1147"/>
      <c r="H3" s="1147"/>
      <c r="I3" s="1147"/>
      <c r="J3" s="1147"/>
      <c r="K3" s="1147"/>
      <c r="L3" s="1147"/>
      <c r="M3" s="1147"/>
      <c r="N3" s="1147"/>
      <c r="O3" s="1147"/>
      <c r="P3" s="1147"/>
      <c r="Q3" s="1147"/>
      <c r="R3" s="1147"/>
      <c r="S3" s="1147"/>
      <c r="T3" s="1147"/>
      <c r="U3" s="1147"/>
      <c r="V3" s="1147"/>
      <c r="W3" s="1147"/>
      <c r="X3" s="1147"/>
      <c r="Y3" s="1147"/>
      <c r="Z3" s="1147"/>
      <c r="AA3" s="1147"/>
      <c r="AB3" s="1147"/>
      <c r="AC3" s="1147"/>
      <c r="AD3" s="1147"/>
      <c r="AE3" s="1147"/>
      <c r="AF3" s="1147"/>
      <c r="AG3" s="1147"/>
      <c r="AH3" s="1147"/>
      <c r="AI3" s="1147"/>
      <c r="AJ3" s="1147"/>
      <c r="AK3" s="1147"/>
      <c r="AL3" s="1147"/>
    </row>
    <row r="4" spans="1:38" ht="6" customHeight="1">
      <c r="B4" s="1435"/>
      <c r="C4" s="109"/>
      <c r="D4" s="109"/>
      <c r="E4" s="109"/>
      <c r="F4" s="109"/>
      <c r="G4" s="109"/>
      <c r="H4" s="109"/>
      <c r="I4" s="109"/>
      <c r="J4" s="109"/>
      <c r="K4" s="109"/>
      <c r="L4" s="109"/>
      <c r="M4" s="109"/>
      <c r="N4" s="109"/>
      <c r="O4" s="109"/>
      <c r="P4" s="109"/>
      <c r="Q4" s="109"/>
      <c r="R4" s="109"/>
      <c r="S4" s="109"/>
      <c r="T4" s="109"/>
      <c r="U4" s="109"/>
      <c r="V4" s="109"/>
      <c r="W4" s="109"/>
    </row>
    <row r="5" spans="1:38" ht="16.5" hidden="1" outlineLevel="1" thickBot="1">
      <c r="C5" s="1386" t="s">
        <v>1530</v>
      </c>
      <c r="D5" s="1387"/>
      <c r="E5" s="1387"/>
      <c r="H5" s="1386" t="s">
        <v>1542</v>
      </c>
      <c r="I5" s="1386"/>
      <c r="J5" s="1386"/>
      <c r="K5" s="1386"/>
      <c r="L5" s="1386"/>
      <c r="M5" s="1386"/>
      <c r="N5" s="1386"/>
      <c r="O5" s="1386"/>
      <c r="P5" s="1386"/>
      <c r="Q5" s="1386"/>
      <c r="R5" s="1386"/>
      <c r="S5" s="1386"/>
      <c r="T5" s="1386"/>
    </row>
    <row r="6" spans="1:38" ht="16.5" hidden="1" outlineLevel="1" thickTop="1">
      <c r="C6" s="1435"/>
      <c r="D6" s="109"/>
      <c r="H6" s="1435"/>
      <c r="I6" s="1435"/>
      <c r="J6" s="1435"/>
      <c r="K6" s="1435"/>
      <c r="L6" s="1435"/>
      <c r="M6" s="1435"/>
      <c r="N6" s="1435"/>
      <c r="O6" s="1435"/>
      <c r="P6" s="1435"/>
      <c r="Q6" s="1435"/>
      <c r="R6" s="1435"/>
      <c r="S6" s="1435"/>
      <c r="T6" s="1435"/>
    </row>
    <row r="7" spans="1:38" ht="14.25" hidden="1" outlineLevel="1">
      <c r="C7" s="1378" t="s">
        <v>1522</v>
      </c>
      <c r="D7" s="1379"/>
      <c r="E7" s="1379"/>
      <c r="H7" s="1405" t="s">
        <v>1538</v>
      </c>
      <c r="I7" s="205" t="s">
        <v>1545</v>
      </c>
    </row>
    <row r="8" spans="1:38" ht="14.25" hidden="1" outlineLevel="1">
      <c r="C8" s="1380" t="s">
        <v>1523</v>
      </c>
      <c r="D8" s="1380"/>
      <c r="E8" s="1380"/>
      <c r="H8" s="1404" t="s">
        <v>1539</v>
      </c>
      <c r="I8" s="205" t="s">
        <v>1546</v>
      </c>
    </row>
    <row r="9" spans="1:38" ht="15" hidden="1" outlineLevel="1">
      <c r="C9" s="1381" t="s">
        <v>1524</v>
      </c>
      <c r="D9" s="1382"/>
      <c r="E9" s="1382"/>
      <c r="H9" s="1433" t="s">
        <v>1540</v>
      </c>
      <c r="I9" s="1434" t="s">
        <v>1547</v>
      </c>
    </row>
    <row r="10" spans="1:38" hidden="1" outlineLevel="1">
      <c r="C10" s="1383" t="s">
        <v>1525</v>
      </c>
      <c r="D10" s="1384"/>
      <c r="E10" s="1384"/>
    </row>
    <row r="11" spans="1:38" ht="16.5" hidden="1" outlineLevel="1" thickBot="1">
      <c r="C11" s="1388" t="s">
        <v>1529</v>
      </c>
      <c r="D11" s="1388"/>
      <c r="E11" s="1388"/>
      <c r="H11" s="1386" t="s">
        <v>1544</v>
      </c>
      <c r="I11" s="1386"/>
      <c r="J11" s="1386"/>
      <c r="K11" s="1386"/>
      <c r="L11" s="1386"/>
      <c r="M11" s="1386"/>
      <c r="N11" s="1386"/>
      <c r="O11" s="1386"/>
      <c r="P11" s="1386"/>
      <c r="Q11" s="1386"/>
      <c r="R11" s="1386"/>
      <c r="S11" s="1386"/>
      <c r="T11" s="1386"/>
    </row>
    <row r="12" spans="1:38" ht="13.5" hidden="1" outlineLevel="1" thickTop="1">
      <c r="C12" s="1389" t="s">
        <v>1531</v>
      </c>
      <c r="D12" s="1390"/>
      <c r="E12" s="1390"/>
      <c r="H12" s="1436" t="s">
        <v>1548</v>
      </c>
      <c r="I12" s="205" t="s">
        <v>1551</v>
      </c>
    </row>
    <row r="13" spans="1:38" hidden="1" outlineLevel="1">
      <c r="C13" s="1391" t="s">
        <v>1532</v>
      </c>
      <c r="D13" s="1392"/>
      <c r="E13" s="1392"/>
      <c r="H13" s="1437" t="s">
        <v>1549</v>
      </c>
      <c r="I13" s="1434" t="s">
        <v>1552</v>
      </c>
    </row>
    <row r="14" spans="1:38" ht="13.5" collapsed="1" thickBot="1"/>
    <row r="15" spans="1:38" ht="162" thickBot="1">
      <c r="B15" s="1411"/>
      <c r="C15" s="122"/>
      <c r="D15" s="1457" t="s">
        <v>1487</v>
      </c>
      <c r="E15" s="1458" t="s">
        <v>1488</v>
      </c>
      <c r="F15" s="1458" t="s">
        <v>1489</v>
      </c>
      <c r="G15" s="1458" t="s">
        <v>1490</v>
      </c>
      <c r="H15" s="1458" t="s">
        <v>1491</v>
      </c>
      <c r="I15" s="1458" t="s">
        <v>1492</v>
      </c>
      <c r="J15" s="1458" t="s">
        <v>1493</v>
      </c>
      <c r="K15" s="1458" t="s">
        <v>1494</v>
      </c>
      <c r="L15" s="1458" t="s">
        <v>1495</v>
      </c>
      <c r="M15" s="1458" t="s">
        <v>1496</v>
      </c>
      <c r="N15" s="1458" t="s">
        <v>1497</v>
      </c>
      <c r="O15" s="1458" t="s">
        <v>1498</v>
      </c>
      <c r="P15" s="1458" t="s">
        <v>1499</v>
      </c>
      <c r="Q15" s="1458" t="s">
        <v>1500</v>
      </c>
      <c r="R15" s="1458" t="s">
        <v>1501</v>
      </c>
      <c r="S15" s="1458" t="s">
        <v>1502</v>
      </c>
      <c r="T15" s="1458" t="s">
        <v>1503</v>
      </c>
      <c r="U15" s="1458" t="s">
        <v>1504</v>
      </c>
      <c r="V15" s="1458" t="s">
        <v>1505</v>
      </c>
      <c r="W15" s="1458" t="s">
        <v>1506</v>
      </c>
      <c r="X15" s="1458" t="s">
        <v>1507</v>
      </c>
      <c r="Y15" s="1458" t="s">
        <v>1508</v>
      </c>
      <c r="Z15" s="1458" t="s">
        <v>1509</v>
      </c>
      <c r="AA15" s="1458" t="s">
        <v>1510</v>
      </c>
      <c r="AB15" s="1458" t="s">
        <v>1511</v>
      </c>
      <c r="AC15" s="1458" t="s">
        <v>1512</v>
      </c>
      <c r="AD15" s="1458" t="s">
        <v>1513</v>
      </c>
      <c r="AE15" s="1458" t="s">
        <v>1514</v>
      </c>
      <c r="AF15" s="1458" t="s">
        <v>1515</v>
      </c>
      <c r="AG15" s="1458" t="s">
        <v>1516</v>
      </c>
      <c r="AH15" s="1458" t="s">
        <v>1517</v>
      </c>
      <c r="AI15" s="1458" t="s">
        <v>1518</v>
      </c>
      <c r="AJ15" s="1458" t="s">
        <v>1519</v>
      </c>
      <c r="AK15" s="1458" t="s">
        <v>1520</v>
      </c>
      <c r="AL15" s="1459" t="s">
        <v>1521</v>
      </c>
    </row>
    <row r="16" spans="1:38">
      <c r="B16" s="1456" t="s">
        <v>619</v>
      </c>
      <c r="C16" s="1452" t="s">
        <v>1553</v>
      </c>
      <c r="D16" s="1453">
        <v>1010</v>
      </c>
      <c r="E16" s="1454">
        <v>1014</v>
      </c>
      <c r="F16" s="1454">
        <v>1016</v>
      </c>
      <c r="G16" s="1454">
        <v>1018</v>
      </c>
      <c r="H16" s="1454">
        <v>1035</v>
      </c>
      <c r="I16" s="1454">
        <v>1055</v>
      </c>
      <c r="J16" s="1454">
        <v>1056</v>
      </c>
      <c r="K16" s="1454">
        <v>1058</v>
      </c>
      <c r="L16" s="1454">
        <v>1062</v>
      </c>
      <c r="M16" s="1454">
        <v>1063</v>
      </c>
      <c r="N16" s="1454">
        <v>1065</v>
      </c>
      <c r="O16" s="1454">
        <v>1070</v>
      </c>
      <c r="P16" s="1454">
        <v>1075</v>
      </c>
      <c r="Q16" s="1454">
        <v>1085</v>
      </c>
      <c r="R16" s="1454">
        <v>1121</v>
      </c>
      <c r="S16" s="1454">
        <v>1130</v>
      </c>
      <c r="T16" s="1454">
        <v>1240</v>
      </c>
      <c r="U16" s="1454">
        <v>1243</v>
      </c>
      <c r="V16" s="1454">
        <v>1248</v>
      </c>
      <c r="W16" s="1454">
        <v>1281</v>
      </c>
      <c r="X16" s="1454">
        <v>1291</v>
      </c>
      <c r="Y16" s="1454">
        <v>1405</v>
      </c>
      <c r="Z16" s="1454">
        <v>2030</v>
      </c>
      <c r="AA16" s="1454">
        <v>2035</v>
      </c>
      <c r="AB16" s="1454">
        <v>2040</v>
      </c>
      <c r="AC16" s="1454">
        <v>2250</v>
      </c>
      <c r="AD16" s="1454">
        <v>3103</v>
      </c>
      <c r="AE16" s="1454">
        <v>3123</v>
      </c>
      <c r="AF16" s="1454">
        <v>3124</v>
      </c>
      <c r="AG16" s="1454">
        <v>3160</v>
      </c>
      <c r="AH16" s="1454">
        <v>3240</v>
      </c>
      <c r="AI16" s="1454">
        <v>3401</v>
      </c>
      <c r="AJ16" s="1454">
        <v>6100</v>
      </c>
      <c r="AK16" s="1454">
        <v>6120</v>
      </c>
      <c r="AL16" s="1455">
        <v>6220</v>
      </c>
    </row>
    <row r="17" spans="2:38">
      <c r="B17" s="1701" t="s">
        <v>1541</v>
      </c>
      <c r="C17" s="1424" t="s">
        <v>1537</v>
      </c>
      <c r="D17" s="1451">
        <v>1</v>
      </c>
      <c r="E17" s="1396">
        <v>1</v>
      </c>
      <c r="F17" s="1396">
        <v>1</v>
      </c>
      <c r="G17" s="1396">
        <v>1</v>
      </c>
      <c r="H17" s="1396">
        <v>1</v>
      </c>
      <c r="I17" s="1396">
        <v>1</v>
      </c>
      <c r="J17" s="1396">
        <v>1</v>
      </c>
      <c r="K17" s="1396">
        <v>1</v>
      </c>
      <c r="L17" s="1396">
        <v>1</v>
      </c>
      <c r="M17" s="1396">
        <v>1</v>
      </c>
      <c r="N17" s="1396">
        <v>1</v>
      </c>
      <c r="O17" s="1396">
        <v>1</v>
      </c>
      <c r="P17" s="1396">
        <v>1</v>
      </c>
      <c r="Q17" s="1396">
        <v>1</v>
      </c>
      <c r="R17" s="1396">
        <v>1</v>
      </c>
      <c r="S17" s="1396">
        <v>1</v>
      </c>
      <c r="T17" s="1396">
        <v>1</v>
      </c>
      <c r="U17" s="1396">
        <v>1</v>
      </c>
      <c r="V17" s="1396">
        <v>1</v>
      </c>
      <c r="W17" s="1396">
        <v>1</v>
      </c>
      <c r="X17" s="1396">
        <v>1</v>
      </c>
      <c r="Y17" s="1397">
        <v>2</v>
      </c>
      <c r="Z17" s="1398">
        <v>3</v>
      </c>
      <c r="AA17" s="1398">
        <v>3</v>
      </c>
      <c r="AB17" s="1399">
        <v>4</v>
      </c>
      <c r="AC17" s="1398">
        <v>3</v>
      </c>
      <c r="AD17" s="1400">
        <v>5</v>
      </c>
      <c r="AE17" s="1400">
        <v>5</v>
      </c>
      <c r="AF17" s="1400">
        <v>5</v>
      </c>
      <c r="AG17" s="1400">
        <v>5</v>
      </c>
      <c r="AH17" s="1401">
        <v>6</v>
      </c>
      <c r="AI17" s="1402">
        <v>7</v>
      </c>
      <c r="AJ17" s="1399">
        <v>4</v>
      </c>
      <c r="AK17" s="1399">
        <v>4</v>
      </c>
      <c r="AL17" s="1403">
        <v>4</v>
      </c>
    </row>
    <row r="18" spans="2:38">
      <c r="B18" s="1701"/>
      <c r="C18" s="1423" t="s">
        <v>1476</v>
      </c>
      <c r="D18" s="1425" t="s">
        <v>1526</v>
      </c>
      <c r="E18" s="1385" t="s">
        <v>1526</v>
      </c>
      <c r="F18" s="1385" t="s">
        <v>1526</v>
      </c>
      <c r="G18" s="1385" t="s">
        <v>1526</v>
      </c>
      <c r="H18" s="1385" t="s">
        <v>1527</v>
      </c>
      <c r="I18" s="1385" t="s">
        <v>1528</v>
      </c>
      <c r="J18" s="1385" t="s">
        <v>1528</v>
      </c>
      <c r="K18" s="1385" t="s">
        <v>1527</v>
      </c>
      <c r="L18" s="1385" t="s">
        <v>1526</v>
      </c>
      <c r="M18" s="1385" t="s">
        <v>1526</v>
      </c>
      <c r="N18" s="1385" t="s">
        <v>1526</v>
      </c>
      <c r="O18" s="1385" t="s">
        <v>1527</v>
      </c>
      <c r="P18" s="1385" t="s">
        <v>1526</v>
      </c>
      <c r="Q18" s="1385" t="s">
        <v>1526</v>
      </c>
      <c r="R18" s="1385" t="s">
        <v>1526</v>
      </c>
      <c r="S18" s="1385" t="s">
        <v>1526</v>
      </c>
      <c r="T18" s="1385" t="s">
        <v>1526</v>
      </c>
      <c r="U18" s="1385" t="s">
        <v>1526</v>
      </c>
      <c r="V18" s="1385" t="s">
        <v>1526</v>
      </c>
      <c r="W18" s="1385" t="s">
        <v>1534</v>
      </c>
      <c r="X18" s="1385" t="s">
        <v>1534</v>
      </c>
      <c r="Y18" s="1385" t="s">
        <v>1536</v>
      </c>
      <c r="Z18" s="1385" t="s">
        <v>1535</v>
      </c>
      <c r="AA18" s="1385" t="s">
        <v>1535</v>
      </c>
      <c r="AB18" s="1385" t="s">
        <v>1535</v>
      </c>
      <c r="AC18" s="1385" t="s">
        <v>1534</v>
      </c>
      <c r="AD18" s="1385" t="s">
        <v>1527</v>
      </c>
      <c r="AE18" s="1385" t="s">
        <v>1527</v>
      </c>
      <c r="AF18" s="1385" t="s">
        <v>1527</v>
      </c>
      <c r="AG18" s="1385" t="s">
        <v>1527</v>
      </c>
      <c r="AH18" s="1385" t="s">
        <v>1534</v>
      </c>
      <c r="AI18" s="1385" t="s">
        <v>1527</v>
      </c>
      <c r="AJ18" s="1385" t="s">
        <v>1533</v>
      </c>
      <c r="AK18" s="1385" t="s">
        <v>1533</v>
      </c>
      <c r="AL18" s="1393" t="s">
        <v>1533</v>
      </c>
    </row>
    <row r="19" spans="2:38">
      <c r="B19" s="1701"/>
      <c r="C19" s="1460" t="s">
        <v>1554</v>
      </c>
      <c r="D19" s="1461"/>
      <c r="E19" s="1462"/>
      <c r="F19" s="1462"/>
      <c r="G19" s="1462"/>
      <c r="H19" s="1462"/>
      <c r="I19" s="1462"/>
      <c r="J19" s="1462"/>
      <c r="K19" s="1462"/>
      <c r="L19" s="1462"/>
      <c r="M19" s="1462"/>
      <c r="N19" s="1462"/>
      <c r="O19" s="1441" t="s">
        <v>1549</v>
      </c>
      <c r="P19" s="1462"/>
      <c r="Q19" s="1462"/>
      <c r="R19" s="1462"/>
      <c r="S19" s="1462"/>
      <c r="T19" s="1462"/>
      <c r="U19" s="1462"/>
      <c r="V19" s="1462"/>
      <c r="W19" s="1462"/>
      <c r="X19" s="1462"/>
      <c r="Y19" s="1441" t="s">
        <v>1549</v>
      </c>
      <c r="Z19" s="1462"/>
      <c r="AA19" s="1441" t="s">
        <v>1549</v>
      </c>
      <c r="AB19" s="1462"/>
      <c r="AC19" s="1441" t="s">
        <v>1549</v>
      </c>
      <c r="AD19" s="1441" t="s">
        <v>1549</v>
      </c>
      <c r="AE19" s="1441" t="s">
        <v>1549</v>
      </c>
      <c r="AF19" s="1441" t="s">
        <v>1549</v>
      </c>
      <c r="AG19" s="1441" t="s">
        <v>1549</v>
      </c>
      <c r="AH19" s="1462"/>
      <c r="AI19" s="1462"/>
      <c r="AJ19" s="1441" t="s">
        <v>1549</v>
      </c>
      <c r="AK19" s="1441" t="s">
        <v>1549</v>
      </c>
      <c r="AL19" s="1463" t="s">
        <v>1549</v>
      </c>
    </row>
    <row r="20" spans="2:38" ht="15" thickBot="1">
      <c r="B20" s="1704"/>
      <c r="C20" s="1420" t="s">
        <v>1477</v>
      </c>
      <c r="D20" s="1426">
        <v>12</v>
      </c>
      <c r="E20" s="1394">
        <v>12</v>
      </c>
      <c r="F20" s="1394">
        <v>12</v>
      </c>
      <c r="G20" s="1394">
        <v>12</v>
      </c>
      <c r="H20" s="1394">
        <v>12</v>
      </c>
      <c r="I20" s="1394">
        <v>12</v>
      </c>
      <c r="J20" s="1394">
        <v>12</v>
      </c>
      <c r="K20" s="1394">
        <v>12</v>
      </c>
      <c r="L20" s="1394">
        <v>6</v>
      </c>
      <c r="M20" s="1394">
        <v>9</v>
      </c>
      <c r="N20" s="1394">
        <v>12</v>
      </c>
      <c r="O20" s="1394">
        <v>12</v>
      </c>
      <c r="P20" s="1394">
        <v>9</v>
      </c>
      <c r="Q20" s="1394">
        <v>15</v>
      </c>
      <c r="R20" s="1394">
        <v>12</v>
      </c>
      <c r="S20" s="1394">
        <v>12</v>
      </c>
      <c r="T20" s="1415" t="s">
        <v>1539</v>
      </c>
      <c r="U20" s="1394">
        <v>12</v>
      </c>
      <c r="V20" s="1394">
        <v>12</v>
      </c>
      <c r="W20" s="1394">
        <v>12</v>
      </c>
      <c r="X20" s="1394">
        <v>12</v>
      </c>
      <c r="Y20" s="1394">
        <v>15</v>
      </c>
      <c r="Z20" s="1394">
        <v>15</v>
      </c>
      <c r="AA20" s="1394">
        <v>15</v>
      </c>
      <c r="AB20" s="1394">
        <v>9</v>
      </c>
      <c r="AC20" s="1394">
        <v>12</v>
      </c>
      <c r="AD20" s="1394">
        <v>15</v>
      </c>
      <c r="AE20" s="1394">
        <v>12</v>
      </c>
      <c r="AF20" s="1394">
        <v>12</v>
      </c>
      <c r="AG20" s="1394">
        <v>12</v>
      </c>
      <c r="AH20" s="1394">
        <v>15</v>
      </c>
      <c r="AI20" s="1394">
        <v>12</v>
      </c>
      <c r="AJ20" s="1394">
        <v>12</v>
      </c>
      <c r="AK20" s="1394">
        <v>12</v>
      </c>
      <c r="AL20" s="1395">
        <v>9</v>
      </c>
    </row>
    <row r="21" spans="2:38" ht="15">
      <c r="B21" s="1700" t="s">
        <v>1542</v>
      </c>
      <c r="C21" s="1422" t="s">
        <v>1478</v>
      </c>
      <c r="D21" s="1427" t="s">
        <v>1538</v>
      </c>
      <c r="E21" s="1416" t="s">
        <v>1538</v>
      </c>
      <c r="F21" s="1416" t="s">
        <v>1538</v>
      </c>
      <c r="G21" s="1416" t="s">
        <v>1538</v>
      </c>
      <c r="H21" s="1417" t="s">
        <v>1539</v>
      </c>
      <c r="I21" s="1416" t="s">
        <v>1538</v>
      </c>
      <c r="J21" s="1416" t="s">
        <v>1538</v>
      </c>
      <c r="K21" s="1416" t="s">
        <v>1538</v>
      </c>
      <c r="L21" s="1416" t="s">
        <v>1538</v>
      </c>
      <c r="M21" s="1416" t="s">
        <v>1538</v>
      </c>
      <c r="N21" s="1416" t="s">
        <v>1538</v>
      </c>
      <c r="O21" s="1416" t="s">
        <v>1538</v>
      </c>
      <c r="P21" s="1416" t="s">
        <v>1538</v>
      </c>
      <c r="Q21" s="1416" t="s">
        <v>1538</v>
      </c>
      <c r="R21" s="1416" t="s">
        <v>1538</v>
      </c>
      <c r="S21" s="1416" t="s">
        <v>1538</v>
      </c>
      <c r="T21" s="1416" t="s">
        <v>1538</v>
      </c>
      <c r="U21" s="1416" t="s">
        <v>1538</v>
      </c>
      <c r="V21" s="1416" t="s">
        <v>1538</v>
      </c>
      <c r="W21" s="1416" t="s">
        <v>1538</v>
      </c>
      <c r="X21" s="1418" t="s">
        <v>1540</v>
      </c>
      <c r="Y21" s="1416" t="s">
        <v>1538</v>
      </c>
      <c r="Z21" s="1416" t="s">
        <v>1538</v>
      </c>
      <c r="AA21" s="1416" t="s">
        <v>1538</v>
      </c>
      <c r="AB21" s="1417" t="s">
        <v>1539</v>
      </c>
      <c r="AC21" s="1416" t="s">
        <v>1538</v>
      </c>
      <c r="AD21" s="1416" t="s">
        <v>1538</v>
      </c>
      <c r="AE21" s="1416" t="s">
        <v>1538</v>
      </c>
      <c r="AF21" s="1416" t="s">
        <v>1538</v>
      </c>
      <c r="AG21" s="1416" t="s">
        <v>1538</v>
      </c>
      <c r="AH21" s="1416" t="s">
        <v>1538</v>
      </c>
      <c r="AI21" s="1416" t="s">
        <v>1538</v>
      </c>
      <c r="AJ21" s="1417" t="s">
        <v>1539</v>
      </c>
      <c r="AK21" s="1417" t="s">
        <v>1539</v>
      </c>
      <c r="AL21" s="1419" t="s">
        <v>1539</v>
      </c>
    </row>
    <row r="22" spans="2:38" ht="15">
      <c r="B22" s="1702"/>
      <c r="C22" s="1410" t="s">
        <v>1479</v>
      </c>
      <c r="D22" s="1428" t="s">
        <v>1539</v>
      </c>
      <c r="E22" s="1406" t="s">
        <v>1538</v>
      </c>
      <c r="F22" s="1406" t="s">
        <v>1538</v>
      </c>
      <c r="G22" s="1406" t="s">
        <v>1538</v>
      </c>
      <c r="H22" s="1408" t="s">
        <v>1539</v>
      </c>
      <c r="I22" s="1408" t="s">
        <v>1539</v>
      </c>
      <c r="J22" s="1408" t="s">
        <v>1539</v>
      </c>
      <c r="K22" s="1408" t="s">
        <v>1539</v>
      </c>
      <c r="L22" s="1406" t="s">
        <v>1538</v>
      </c>
      <c r="M22" s="1406" t="s">
        <v>1538</v>
      </c>
      <c r="N22" s="1408" t="s">
        <v>1539</v>
      </c>
      <c r="O22" s="1408" t="s">
        <v>1539</v>
      </c>
      <c r="P22" s="1406" t="s">
        <v>1538</v>
      </c>
      <c r="Q22" s="1406" t="s">
        <v>1538</v>
      </c>
      <c r="R22" s="1408" t="s">
        <v>1539</v>
      </c>
      <c r="S22" s="1406" t="s">
        <v>1538</v>
      </c>
      <c r="T22" s="1406" t="s">
        <v>1538</v>
      </c>
      <c r="U22" s="1406" t="s">
        <v>1538</v>
      </c>
      <c r="V22" s="1406" t="s">
        <v>1538</v>
      </c>
      <c r="W22" s="1407" t="s">
        <v>1540</v>
      </c>
      <c r="X22" s="1407" t="s">
        <v>1540</v>
      </c>
      <c r="Y22" s="1406" t="s">
        <v>1538</v>
      </c>
      <c r="Z22" s="1407" t="s">
        <v>1540</v>
      </c>
      <c r="AA22" s="1407" t="s">
        <v>1540</v>
      </c>
      <c r="AB22" s="1408" t="s">
        <v>1539</v>
      </c>
      <c r="AC22" s="1408" t="s">
        <v>1539</v>
      </c>
      <c r="AD22" s="1406" t="s">
        <v>1538</v>
      </c>
      <c r="AE22" s="1406" t="s">
        <v>1538</v>
      </c>
      <c r="AF22" s="1406" t="s">
        <v>1538</v>
      </c>
      <c r="AG22" s="1406" t="s">
        <v>1538</v>
      </c>
      <c r="AH22" s="1406" t="s">
        <v>1538</v>
      </c>
      <c r="AI22" s="1406" t="s">
        <v>1538</v>
      </c>
      <c r="AJ22" s="1408" t="s">
        <v>1539</v>
      </c>
      <c r="AK22" s="1408" t="s">
        <v>1539</v>
      </c>
      <c r="AL22" s="1409" t="s">
        <v>1539</v>
      </c>
    </row>
    <row r="23" spans="2:38" ht="15">
      <c r="B23" s="1702"/>
      <c r="C23" s="1410" t="s">
        <v>1480</v>
      </c>
      <c r="D23" s="1429" t="s">
        <v>1538</v>
      </c>
      <c r="E23" s="1406" t="s">
        <v>1538</v>
      </c>
      <c r="F23" s="1406" t="s">
        <v>1538</v>
      </c>
      <c r="G23" s="1406" t="s">
        <v>1538</v>
      </c>
      <c r="H23" s="1408" t="s">
        <v>1539</v>
      </c>
      <c r="I23" s="1406" t="s">
        <v>1538</v>
      </c>
      <c r="J23" s="1406" t="s">
        <v>1538</v>
      </c>
      <c r="K23" s="1406" t="s">
        <v>1538</v>
      </c>
      <c r="L23" s="1406" t="s">
        <v>1538</v>
      </c>
      <c r="M23" s="1406" t="s">
        <v>1538</v>
      </c>
      <c r="N23" s="1407" t="s">
        <v>1540</v>
      </c>
      <c r="O23" s="1407" t="s">
        <v>1540</v>
      </c>
      <c r="P23" s="1406" t="s">
        <v>1538</v>
      </c>
      <c r="Q23" s="1406" t="s">
        <v>1538</v>
      </c>
      <c r="R23" s="1408" t="s">
        <v>1539</v>
      </c>
      <c r="S23" s="1406" t="s">
        <v>1538</v>
      </c>
      <c r="T23" s="1406" t="s">
        <v>1538</v>
      </c>
      <c r="U23" s="1406" t="s">
        <v>1538</v>
      </c>
      <c r="V23" s="1406" t="s">
        <v>1538</v>
      </c>
      <c r="W23" s="1406" t="s">
        <v>1538</v>
      </c>
      <c r="X23" s="1407" t="s">
        <v>1540</v>
      </c>
      <c r="Y23" s="1406" t="s">
        <v>1538</v>
      </c>
      <c r="Z23" s="1406" t="s">
        <v>1538</v>
      </c>
      <c r="AA23" s="1406" t="s">
        <v>1538</v>
      </c>
      <c r="AB23" s="1408" t="s">
        <v>1539</v>
      </c>
      <c r="AC23" s="1406" t="s">
        <v>1538</v>
      </c>
      <c r="AD23" s="1406" t="s">
        <v>1538</v>
      </c>
      <c r="AE23" s="1406" t="s">
        <v>1538</v>
      </c>
      <c r="AF23" s="1406" t="s">
        <v>1538</v>
      </c>
      <c r="AG23" s="1406" t="s">
        <v>1538</v>
      </c>
      <c r="AH23" s="1406" t="s">
        <v>1538</v>
      </c>
      <c r="AI23" s="1406" t="s">
        <v>1538</v>
      </c>
      <c r="AJ23" s="1408" t="s">
        <v>1539</v>
      </c>
      <c r="AK23" s="1408" t="s">
        <v>1539</v>
      </c>
      <c r="AL23" s="1409" t="s">
        <v>1539</v>
      </c>
    </row>
    <row r="24" spans="2:38" ht="14.25">
      <c r="B24" s="1702"/>
      <c r="C24" s="1410" t="s">
        <v>1481</v>
      </c>
      <c r="D24" s="1429" t="s">
        <v>1538</v>
      </c>
      <c r="E24" s="1406" t="s">
        <v>1538</v>
      </c>
      <c r="F24" s="1406" t="s">
        <v>1538</v>
      </c>
      <c r="G24" s="1406" t="s">
        <v>1538</v>
      </c>
      <c r="H24" s="1406" t="s">
        <v>1538</v>
      </c>
      <c r="I24" s="1406" t="s">
        <v>1538</v>
      </c>
      <c r="J24" s="1406" t="s">
        <v>1538</v>
      </c>
      <c r="K24" s="1406" t="s">
        <v>1538</v>
      </c>
      <c r="L24" s="1406" t="s">
        <v>1538</v>
      </c>
      <c r="M24" s="1406" t="s">
        <v>1538</v>
      </c>
      <c r="N24" s="1406" t="s">
        <v>1538</v>
      </c>
      <c r="O24" s="1406" t="s">
        <v>1538</v>
      </c>
      <c r="P24" s="1406" t="s">
        <v>1538</v>
      </c>
      <c r="Q24" s="1406" t="s">
        <v>1538</v>
      </c>
      <c r="R24" s="1406" t="s">
        <v>1538</v>
      </c>
      <c r="S24" s="1406" t="s">
        <v>1538</v>
      </c>
      <c r="T24" s="1406" t="s">
        <v>1538</v>
      </c>
      <c r="U24" s="1406" t="s">
        <v>1538</v>
      </c>
      <c r="V24" s="1406" t="s">
        <v>1538</v>
      </c>
      <c r="W24" s="1406" t="s">
        <v>1538</v>
      </c>
      <c r="X24" s="1406" t="s">
        <v>1538</v>
      </c>
      <c r="Y24" s="1406" t="s">
        <v>1538</v>
      </c>
      <c r="Z24" s="1406" t="s">
        <v>1538</v>
      </c>
      <c r="AA24" s="1406" t="s">
        <v>1538</v>
      </c>
      <c r="AB24" s="1408" t="s">
        <v>1539</v>
      </c>
      <c r="AC24" s="1406" t="s">
        <v>1538</v>
      </c>
      <c r="AD24" s="1406" t="s">
        <v>1538</v>
      </c>
      <c r="AE24" s="1406" t="s">
        <v>1538</v>
      </c>
      <c r="AF24" s="1406" t="s">
        <v>1538</v>
      </c>
      <c r="AG24" s="1406" t="s">
        <v>1538</v>
      </c>
      <c r="AH24" s="1406" t="s">
        <v>1538</v>
      </c>
      <c r="AI24" s="1406" t="s">
        <v>1538</v>
      </c>
      <c r="AJ24" s="1408" t="s">
        <v>1539</v>
      </c>
      <c r="AK24" s="1408" t="s">
        <v>1539</v>
      </c>
      <c r="AL24" s="1409" t="s">
        <v>1539</v>
      </c>
    </row>
    <row r="25" spans="2:38" ht="15" thickBot="1">
      <c r="B25" s="1703"/>
      <c r="C25" s="1420" t="s">
        <v>201</v>
      </c>
      <c r="D25" s="1430" t="s">
        <v>1538</v>
      </c>
      <c r="E25" s="1421" t="s">
        <v>1538</v>
      </c>
      <c r="F25" s="1421" t="s">
        <v>1538</v>
      </c>
      <c r="G25" s="1421" t="s">
        <v>1538</v>
      </c>
      <c r="H25" s="1415" t="s">
        <v>1539</v>
      </c>
      <c r="I25" s="1421" t="s">
        <v>1538</v>
      </c>
      <c r="J25" s="1421" t="s">
        <v>1538</v>
      </c>
      <c r="K25" s="1421" t="s">
        <v>1538</v>
      </c>
      <c r="L25" s="1421" t="s">
        <v>1538</v>
      </c>
      <c r="M25" s="1421" t="s">
        <v>1538</v>
      </c>
      <c r="N25" s="1421" t="s">
        <v>1538</v>
      </c>
      <c r="O25" s="1421" t="s">
        <v>1538</v>
      </c>
      <c r="P25" s="1421" t="s">
        <v>1538</v>
      </c>
      <c r="Q25" s="1421" t="s">
        <v>1538</v>
      </c>
      <c r="R25" s="1421" t="s">
        <v>1538</v>
      </c>
      <c r="S25" s="1421" t="s">
        <v>1538</v>
      </c>
      <c r="T25" s="1421" t="s">
        <v>1538</v>
      </c>
      <c r="U25" s="1421" t="s">
        <v>1538</v>
      </c>
      <c r="V25" s="1421" t="s">
        <v>1538</v>
      </c>
      <c r="W25" s="1421" t="s">
        <v>1538</v>
      </c>
      <c r="X25" s="1421" t="s">
        <v>1538</v>
      </c>
      <c r="Y25" s="1421" t="s">
        <v>1538</v>
      </c>
      <c r="Z25" s="1421" t="s">
        <v>1538</v>
      </c>
      <c r="AA25" s="1421" t="s">
        <v>1538</v>
      </c>
      <c r="AB25" s="1415" t="s">
        <v>1539</v>
      </c>
      <c r="AC25" s="1421" t="s">
        <v>1538</v>
      </c>
      <c r="AD25" s="1421" t="s">
        <v>1538</v>
      </c>
      <c r="AE25" s="1421" t="s">
        <v>1538</v>
      </c>
      <c r="AF25" s="1421" t="s">
        <v>1538</v>
      </c>
      <c r="AG25" s="1421" t="s">
        <v>1538</v>
      </c>
      <c r="AH25" s="1421" t="s">
        <v>1538</v>
      </c>
      <c r="AI25" s="1421" t="s">
        <v>1538</v>
      </c>
      <c r="AJ25" s="1415" t="s">
        <v>1539</v>
      </c>
      <c r="AK25" s="1415" t="s">
        <v>1539</v>
      </c>
      <c r="AL25" s="1432" t="s">
        <v>1539</v>
      </c>
    </row>
    <row r="26" spans="2:38">
      <c r="B26" s="1700" t="s">
        <v>1543</v>
      </c>
      <c r="C26" s="1424" t="s">
        <v>1482</v>
      </c>
      <c r="D26" s="1431">
        <v>200</v>
      </c>
      <c r="E26" s="1414">
        <v>200</v>
      </c>
      <c r="F26" s="1414">
        <v>300</v>
      </c>
      <c r="G26" s="1414">
        <v>300</v>
      </c>
      <c r="H26" s="1414">
        <v>300</v>
      </c>
      <c r="I26" s="1414">
        <v>300</v>
      </c>
      <c r="J26" s="1414">
        <v>300</v>
      </c>
      <c r="K26" s="1414">
        <v>300</v>
      </c>
      <c r="L26" s="1414">
        <v>300</v>
      </c>
      <c r="M26" s="1414">
        <v>300</v>
      </c>
      <c r="N26" s="1414">
        <v>200</v>
      </c>
      <c r="O26" s="1414">
        <v>200</v>
      </c>
      <c r="P26" s="1414">
        <v>200</v>
      </c>
      <c r="Q26" s="1414">
        <v>400</v>
      </c>
      <c r="R26" s="1414">
        <v>100</v>
      </c>
      <c r="S26" s="1414">
        <v>300</v>
      </c>
      <c r="T26" s="1414">
        <v>300</v>
      </c>
      <c r="U26" s="1414">
        <v>300</v>
      </c>
      <c r="V26" s="1414">
        <v>200</v>
      </c>
      <c r="W26" s="1414">
        <v>300</v>
      </c>
      <c r="X26" s="1414">
        <v>400</v>
      </c>
      <c r="Y26" s="1414">
        <v>300</v>
      </c>
      <c r="Z26" s="1414">
        <v>200</v>
      </c>
      <c r="AA26" s="1414">
        <v>200</v>
      </c>
      <c r="AB26" s="1448" t="s">
        <v>1550</v>
      </c>
      <c r="AC26" s="1448" t="s">
        <v>1550</v>
      </c>
      <c r="AD26" s="1414">
        <v>200</v>
      </c>
      <c r="AE26" s="1414">
        <v>200</v>
      </c>
      <c r="AF26" s="1414">
        <v>200</v>
      </c>
      <c r="AG26" s="1414">
        <v>100</v>
      </c>
      <c r="AH26" s="1414">
        <v>300</v>
      </c>
      <c r="AI26" s="1414">
        <v>300</v>
      </c>
      <c r="AJ26" s="1414">
        <v>300</v>
      </c>
      <c r="AK26" s="1414">
        <v>300</v>
      </c>
      <c r="AL26" s="1449" t="s">
        <v>1550</v>
      </c>
    </row>
    <row r="27" spans="2:38" ht="13.5" thickBot="1">
      <c r="B27" s="1702"/>
      <c r="C27" s="1438" t="s">
        <v>1483</v>
      </c>
      <c r="D27" s="1439"/>
      <c r="E27" s="1412"/>
      <c r="F27" s="1412"/>
      <c r="G27" s="1412"/>
      <c r="H27" s="1412"/>
      <c r="I27" s="1412"/>
      <c r="J27" s="1412"/>
      <c r="K27" s="1412"/>
      <c r="L27" s="1412"/>
      <c r="M27" s="1412"/>
      <c r="N27" s="1412"/>
      <c r="O27" s="1412"/>
      <c r="P27" s="1412"/>
      <c r="Q27" s="1412"/>
      <c r="R27" s="1412"/>
      <c r="S27" s="1412"/>
      <c r="T27" s="1412"/>
      <c r="U27" s="1412"/>
      <c r="V27" s="1412"/>
      <c r="W27" s="1412"/>
      <c r="X27" s="1412"/>
      <c r="Y27" s="1412"/>
      <c r="Z27" s="1412"/>
      <c r="AA27" s="1412"/>
      <c r="AB27" s="1412"/>
      <c r="AC27" s="1412"/>
      <c r="AD27" s="1412"/>
      <c r="AE27" s="1412"/>
      <c r="AF27" s="1412"/>
      <c r="AG27" s="1412"/>
      <c r="AH27" s="1412"/>
      <c r="AI27" s="1412"/>
      <c r="AJ27" s="1412"/>
      <c r="AK27" s="1412"/>
      <c r="AL27" s="1413"/>
    </row>
    <row r="28" spans="2:38">
      <c r="B28" s="1700" t="s">
        <v>1544</v>
      </c>
      <c r="C28" s="1422" t="s">
        <v>1484</v>
      </c>
      <c r="D28" s="1444" t="s">
        <v>1549</v>
      </c>
      <c r="E28" s="1440" t="s">
        <v>1549</v>
      </c>
      <c r="F28" s="1443" t="s">
        <v>1548</v>
      </c>
      <c r="G28" s="1440" t="s">
        <v>1549</v>
      </c>
      <c r="H28" s="1443" t="s">
        <v>1548</v>
      </c>
      <c r="I28" s="1440" t="s">
        <v>1549</v>
      </c>
      <c r="J28" s="1440" t="s">
        <v>1549</v>
      </c>
      <c r="K28" s="1440" t="s">
        <v>1549</v>
      </c>
      <c r="L28" s="1440" t="s">
        <v>1549</v>
      </c>
      <c r="M28" s="1440" t="s">
        <v>1549</v>
      </c>
      <c r="N28" s="1440" t="s">
        <v>1549</v>
      </c>
      <c r="O28" s="1440" t="s">
        <v>1549</v>
      </c>
      <c r="P28" s="1440" t="s">
        <v>1549</v>
      </c>
      <c r="Q28" s="1440" t="s">
        <v>1549</v>
      </c>
      <c r="R28" s="1440" t="s">
        <v>1549</v>
      </c>
      <c r="S28" s="1440" t="s">
        <v>1549</v>
      </c>
      <c r="T28" s="1440" t="s">
        <v>1549</v>
      </c>
      <c r="U28" s="1440" t="s">
        <v>1549</v>
      </c>
      <c r="V28" s="1440" t="s">
        <v>1549</v>
      </c>
      <c r="W28" s="1440" t="s">
        <v>1549</v>
      </c>
      <c r="X28" s="1440" t="s">
        <v>1549</v>
      </c>
      <c r="Y28" s="1440" t="s">
        <v>1549</v>
      </c>
      <c r="Z28" s="1443" t="s">
        <v>1548</v>
      </c>
      <c r="AA28" s="1443" t="s">
        <v>1548</v>
      </c>
      <c r="AB28" s="1443" t="s">
        <v>1548</v>
      </c>
      <c r="AC28" s="1443" t="s">
        <v>1548</v>
      </c>
      <c r="AD28" s="1443" t="s">
        <v>1548</v>
      </c>
      <c r="AE28" s="1443" t="s">
        <v>1548</v>
      </c>
      <c r="AF28" s="1443" t="s">
        <v>1548</v>
      </c>
      <c r="AG28" s="1443" t="s">
        <v>1548</v>
      </c>
      <c r="AH28" s="1440" t="s">
        <v>1549</v>
      </c>
      <c r="AI28" s="1443" t="s">
        <v>1548</v>
      </c>
      <c r="AJ28" s="1443" t="s">
        <v>1548</v>
      </c>
      <c r="AK28" s="1443" t="s">
        <v>1548</v>
      </c>
      <c r="AL28" s="1445" t="s">
        <v>1548</v>
      </c>
    </row>
    <row r="29" spans="2:38">
      <c r="B29" s="1702"/>
      <c r="C29" s="1410" t="s">
        <v>1485</v>
      </c>
      <c r="D29" s="1446" t="s">
        <v>1549</v>
      </c>
      <c r="E29" s="1441" t="s">
        <v>1549</v>
      </c>
      <c r="F29" s="1441" t="s">
        <v>1549</v>
      </c>
      <c r="G29" s="1441" t="s">
        <v>1549</v>
      </c>
      <c r="H29" s="1441" t="s">
        <v>1549</v>
      </c>
      <c r="I29" s="1441" t="s">
        <v>1549</v>
      </c>
      <c r="J29" s="1441" t="s">
        <v>1549</v>
      </c>
      <c r="K29" s="1441" t="s">
        <v>1549</v>
      </c>
      <c r="L29" s="1441" t="s">
        <v>1549</v>
      </c>
      <c r="M29" s="1441" t="s">
        <v>1549</v>
      </c>
      <c r="N29" s="1442" t="s">
        <v>1548</v>
      </c>
      <c r="O29" s="1441" t="s">
        <v>1549</v>
      </c>
      <c r="P29" s="1441" t="s">
        <v>1549</v>
      </c>
      <c r="Q29" s="1441" t="s">
        <v>1549</v>
      </c>
      <c r="R29" s="1441" t="s">
        <v>1549</v>
      </c>
      <c r="S29" s="1441" t="s">
        <v>1549</v>
      </c>
      <c r="T29" s="1441" t="s">
        <v>1549</v>
      </c>
      <c r="U29" s="1441" t="s">
        <v>1549</v>
      </c>
      <c r="V29" s="1441" t="s">
        <v>1549</v>
      </c>
      <c r="W29" s="1441" t="s">
        <v>1549</v>
      </c>
      <c r="X29" s="1441" t="s">
        <v>1549</v>
      </c>
      <c r="Y29" s="1441" t="s">
        <v>1549</v>
      </c>
      <c r="Z29" s="1441" t="s">
        <v>1549</v>
      </c>
      <c r="AA29" s="1441" t="s">
        <v>1549</v>
      </c>
      <c r="AB29" s="1442" t="s">
        <v>1548</v>
      </c>
      <c r="AC29" s="1441" t="s">
        <v>1549</v>
      </c>
      <c r="AD29" s="1441" t="s">
        <v>1549</v>
      </c>
      <c r="AE29" s="1441" t="s">
        <v>1549</v>
      </c>
      <c r="AF29" s="1441" t="s">
        <v>1549</v>
      </c>
      <c r="AG29" s="1441" t="s">
        <v>1549</v>
      </c>
      <c r="AH29" s="1441" t="s">
        <v>1549</v>
      </c>
      <c r="AI29" s="1441" t="s">
        <v>1549</v>
      </c>
      <c r="AJ29" s="1442" t="s">
        <v>1548</v>
      </c>
      <c r="AK29" s="1442" t="s">
        <v>1548</v>
      </c>
      <c r="AL29" s="1447" t="s">
        <v>1548</v>
      </c>
    </row>
    <row r="30" spans="2:38" ht="13.5" thickBot="1">
      <c r="B30" s="1703"/>
      <c r="C30" s="1438" t="s">
        <v>1486</v>
      </c>
      <c r="D30" s="1464" t="s">
        <v>1549</v>
      </c>
      <c r="E30" s="1465" t="s">
        <v>1549</v>
      </c>
      <c r="F30" s="1465" t="s">
        <v>1549</v>
      </c>
      <c r="G30" s="1465" t="s">
        <v>1549</v>
      </c>
      <c r="H30" s="1465" t="s">
        <v>1549</v>
      </c>
      <c r="I30" s="1465" t="s">
        <v>1549</v>
      </c>
      <c r="J30" s="1465" t="s">
        <v>1549</v>
      </c>
      <c r="K30" s="1465" t="s">
        <v>1549</v>
      </c>
      <c r="L30" s="1465" t="s">
        <v>1549</v>
      </c>
      <c r="M30" s="1465" t="s">
        <v>1549</v>
      </c>
      <c r="N30" s="1466" t="s">
        <v>1548</v>
      </c>
      <c r="O30" s="1465" t="s">
        <v>1549</v>
      </c>
      <c r="P30" s="1465" t="s">
        <v>1549</v>
      </c>
      <c r="Q30" s="1465" t="s">
        <v>1549</v>
      </c>
      <c r="R30" s="1465" t="s">
        <v>1549</v>
      </c>
      <c r="S30" s="1465" t="s">
        <v>1549</v>
      </c>
      <c r="T30" s="1465" t="s">
        <v>1549</v>
      </c>
      <c r="U30" s="1465" t="s">
        <v>1549</v>
      </c>
      <c r="V30" s="1465" t="s">
        <v>1549</v>
      </c>
      <c r="W30" s="1465" t="s">
        <v>1549</v>
      </c>
      <c r="X30" s="1465" t="s">
        <v>1549</v>
      </c>
      <c r="Y30" s="1465" t="s">
        <v>1549</v>
      </c>
      <c r="Z30" s="1465" t="s">
        <v>1549</v>
      </c>
      <c r="AA30" s="1465" t="s">
        <v>1549</v>
      </c>
      <c r="AB30" s="1466" t="s">
        <v>1548</v>
      </c>
      <c r="AC30" s="1465" t="s">
        <v>1549</v>
      </c>
      <c r="AD30" s="1465" t="s">
        <v>1549</v>
      </c>
      <c r="AE30" s="1465" t="s">
        <v>1549</v>
      </c>
      <c r="AF30" s="1465" t="s">
        <v>1549</v>
      </c>
      <c r="AG30" s="1465" t="s">
        <v>1549</v>
      </c>
      <c r="AH30" s="1465" t="s">
        <v>1549</v>
      </c>
      <c r="AI30" s="1465" t="s">
        <v>1549</v>
      </c>
      <c r="AJ30" s="1466" t="s">
        <v>1548</v>
      </c>
      <c r="AK30" s="1466" t="s">
        <v>1548</v>
      </c>
      <c r="AL30" s="1467" t="s">
        <v>1548</v>
      </c>
    </row>
    <row r="31" spans="2:38" ht="24">
      <c r="B31" s="1705" t="s">
        <v>1555</v>
      </c>
      <c r="C31" s="1490" t="s">
        <v>1556</v>
      </c>
      <c r="D31" s="1484"/>
      <c r="E31" s="1468"/>
      <c r="F31" s="1468"/>
      <c r="G31" s="1468"/>
      <c r="H31" s="1468"/>
      <c r="I31" s="1468"/>
      <c r="J31" s="1468"/>
      <c r="K31" s="1468"/>
      <c r="L31" s="1468"/>
      <c r="M31" s="1468"/>
      <c r="N31" s="1468"/>
      <c r="O31" s="1468"/>
      <c r="P31" s="1468"/>
      <c r="Q31" s="1468"/>
      <c r="R31" s="1468"/>
      <c r="S31" s="1468"/>
      <c r="T31" s="1468"/>
      <c r="U31" s="1468"/>
      <c r="V31" s="1468"/>
      <c r="W31" s="1468"/>
      <c r="X31" s="1468"/>
      <c r="Y31" s="1468"/>
      <c r="Z31" s="1468"/>
      <c r="AA31" s="1468"/>
      <c r="AB31" s="1468"/>
      <c r="AC31" s="1468"/>
      <c r="AD31" s="1468"/>
      <c r="AE31" s="1468"/>
      <c r="AF31" s="1468"/>
      <c r="AG31" s="1468"/>
      <c r="AH31" s="1468"/>
      <c r="AI31" s="1468"/>
      <c r="AJ31" s="1468"/>
      <c r="AK31" s="1468"/>
      <c r="AL31" s="1469"/>
    </row>
    <row r="32" spans="2:38" ht="24">
      <c r="B32" s="1706"/>
      <c r="C32" s="1491" t="s">
        <v>1557</v>
      </c>
      <c r="D32" s="1485"/>
      <c r="E32" s="98"/>
      <c r="F32" s="98"/>
      <c r="G32" s="98"/>
      <c r="H32" s="98"/>
      <c r="I32" s="98"/>
      <c r="J32" s="98"/>
      <c r="K32" s="98"/>
      <c r="L32" s="98"/>
      <c r="M32" s="98"/>
      <c r="N32" s="98"/>
      <c r="O32" s="98"/>
      <c r="P32" s="98"/>
      <c r="Q32" s="98"/>
      <c r="R32" s="98"/>
      <c r="S32" s="98"/>
      <c r="T32" s="98"/>
      <c r="U32" s="98"/>
      <c r="V32" s="98"/>
      <c r="W32" s="98"/>
      <c r="X32" s="98"/>
      <c r="Y32" s="98"/>
      <c r="Z32" s="98"/>
      <c r="AA32" s="98"/>
      <c r="AB32" s="98"/>
      <c r="AC32" s="98"/>
      <c r="AD32" s="98"/>
      <c r="AE32" s="98"/>
      <c r="AF32" s="98"/>
      <c r="AG32" s="98"/>
      <c r="AH32" s="98"/>
      <c r="AI32" s="98"/>
      <c r="AJ32" s="98"/>
      <c r="AK32" s="98"/>
      <c r="AL32" s="1253"/>
    </row>
    <row r="33" spans="2:38" ht="24">
      <c r="B33" s="1706"/>
      <c r="C33" s="1491" t="s">
        <v>1558</v>
      </c>
      <c r="D33" s="1485"/>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1253"/>
    </row>
    <row r="34" spans="2:38" ht="36">
      <c r="B34" s="1706"/>
      <c r="C34" s="1491" t="s">
        <v>1559</v>
      </c>
      <c r="D34" s="1485"/>
      <c r="E34" s="98"/>
      <c r="F34" s="98"/>
      <c r="G34" s="98"/>
      <c r="H34" s="98"/>
      <c r="I34" s="98"/>
      <c r="J34" s="98"/>
      <c r="K34" s="98"/>
      <c r="L34" s="98"/>
      <c r="M34" s="98"/>
      <c r="N34" s="98"/>
      <c r="O34" s="98"/>
      <c r="P34" s="98"/>
      <c r="Q34" s="98"/>
      <c r="R34" s="98"/>
      <c r="S34" s="98"/>
      <c r="T34" s="98"/>
      <c r="U34" s="98"/>
      <c r="V34" s="98"/>
      <c r="W34" s="98"/>
      <c r="X34" s="98"/>
      <c r="Y34" s="98"/>
      <c r="Z34" s="98"/>
      <c r="AA34" s="98"/>
      <c r="AB34" s="98"/>
      <c r="AC34" s="98"/>
      <c r="AD34" s="98"/>
      <c r="AE34" s="98"/>
      <c r="AF34" s="98"/>
      <c r="AG34" s="98"/>
      <c r="AH34" s="98"/>
      <c r="AI34" s="98"/>
      <c r="AJ34" s="98"/>
      <c r="AK34" s="98"/>
      <c r="AL34" s="1253"/>
    </row>
    <row r="35" spans="2:38" ht="24">
      <c r="B35" s="1706"/>
      <c r="C35" s="1491" t="s">
        <v>1560</v>
      </c>
      <c r="D35" s="1485"/>
      <c r="E35" s="98"/>
      <c r="F35" s="98"/>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1253"/>
    </row>
    <row r="36" spans="2:38">
      <c r="B36" s="1706"/>
      <c r="C36" s="1491" t="s">
        <v>1561</v>
      </c>
      <c r="D36" s="1485"/>
      <c r="E36" s="98"/>
      <c r="F36" s="98"/>
      <c r="G36" s="98"/>
      <c r="H36" s="98"/>
      <c r="I36" s="98"/>
      <c r="J36" s="98"/>
      <c r="K36" s="98"/>
      <c r="L36" s="98"/>
      <c r="M36" s="98"/>
      <c r="N36" s="98"/>
      <c r="O36" s="98"/>
      <c r="P36" s="98"/>
      <c r="Q36" s="98"/>
      <c r="R36" s="98"/>
      <c r="S36" s="98"/>
      <c r="T36" s="98"/>
      <c r="U36" s="98"/>
      <c r="V36" s="98"/>
      <c r="W36" s="98"/>
      <c r="X36" s="98"/>
      <c r="Y36" s="98"/>
      <c r="Z36" s="98"/>
      <c r="AA36" s="98"/>
      <c r="AB36" s="98"/>
      <c r="AC36" s="98"/>
      <c r="AD36" s="98"/>
      <c r="AE36" s="98"/>
      <c r="AF36" s="98"/>
      <c r="AG36" s="98"/>
      <c r="AH36" s="98"/>
      <c r="AI36" s="98"/>
      <c r="AJ36" s="98"/>
      <c r="AK36" s="98"/>
      <c r="AL36" s="1253"/>
    </row>
    <row r="37" spans="2:38" ht="24">
      <c r="B37" s="1706"/>
      <c r="C37" s="1491" t="s">
        <v>1562</v>
      </c>
      <c r="D37" s="1485"/>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1253"/>
    </row>
    <row r="38" spans="2:38" ht="24.75" thickBot="1">
      <c r="B38" s="1706"/>
      <c r="C38" s="1491" t="s">
        <v>1563</v>
      </c>
      <c r="D38" s="1485"/>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1253"/>
    </row>
    <row r="39" spans="2:38">
      <c r="B39" s="1700" t="s">
        <v>1568</v>
      </c>
      <c r="C39" s="1492" t="s">
        <v>1564</v>
      </c>
      <c r="D39" s="1486"/>
      <c r="E39" s="1440"/>
      <c r="F39" s="1443"/>
      <c r="G39" s="1440"/>
      <c r="H39" s="1443"/>
      <c r="I39" s="1440"/>
      <c r="J39" s="1440"/>
      <c r="K39" s="1440"/>
      <c r="L39" s="1440"/>
      <c r="M39" s="1440"/>
      <c r="N39" s="1440"/>
      <c r="O39" s="1440"/>
      <c r="P39" s="1440"/>
      <c r="Q39" s="1440"/>
      <c r="R39" s="1440"/>
      <c r="S39" s="1440"/>
      <c r="T39" s="1440"/>
      <c r="U39" s="1440"/>
      <c r="V39" s="1440"/>
      <c r="W39" s="1440"/>
      <c r="X39" s="1440"/>
      <c r="Y39" s="1440"/>
      <c r="Z39" s="1443"/>
      <c r="AA39" s="1443"/>
      <c r="AB39" s="1443"/>
      <c r="AC39" s="1443"/>
      <c r="AD39" s="1443"/>
      <c r="AE39" s="1443"/>
      <c r="AF39" s="1443"/>
      <c r="AG39" s="1443"/>
      <c r="AH39" s="1440"/>
      <c r="AI39" s="1443"/>
      <c r="AJ39" s="1443"/>
      <c r="AK39" s="1443"/>
      <c r="AL39" s="1445"/>
    </row>
    <row r="40" spans="2:38">
      <c r="B40" s="1701"/>
      <c r="C40" s="1493" t="s">
        <v>1565</v>
      </c>
      <c r="D40" s="1487"/>
      <c r="E40" s="1475"/>
      <c r="F40" s="1476"/>
      <c r="G40" s="1475"/>
      <c r="H40" s="1476"/>
      <c r="I40" s="1475"/>
      <c r="J40" s="1475"/>
      <c r="K40" s="1475"/>
      <c r="L40" s="1475"/>
      <c r="M40" s="1475"/>
      <c r="N40" s="1475"/>
      <c r="O40" s="1475"/>
      <c r="P40" s="1475"/>
      <c r="Q40" s="1475"/>
      <c r="R40" s="1475"/>
      <c r="S40" s="1475"/>
      <c r="T40" s="1475"/>
      <c r="U40" s="1475"/>
      <c r="V40" s="1475"/>
      <c r="W40" s="1475"/>
      <c r="X40" s="1475"/>
      <c r="Y40" s="1475"/>
      <c r="Z40" s="1476"/>
      <c r="AA40" s="1476"/>
      <c r="AB40" s="1476"/>
      <c r="AC40" s="1476"/>
      <c r="AD40" s="1476"/>
      <c r="AE40" s="1476"/>
      <c r="AF40" s="1476"/>
      <c r="AG40" s="1476"/>
      <c r="AH40" s="1475"/>
      <c r="AI40" s="1476"/>
      <c r="AJ40" s="1476"/>
      <c r="AK40" s="1476"/>
      <c r="AL40" s="1477"/>
    </row>
    <row r="41" spans="2:38">
      <c r="B41" s="1702"/>
      <c r="C41" s="1494" t="s">
        <v>1566</v>
      </c>
      <c r="D41" s="1488"/>
      <c r="E41" s="1441"/>
      <c r="F41" s="1441"/>
      <c r="G41" s="1441"/>
      <c r="H41" s="1441"/>
      <c r="I41" s="1441"/>
      <c r="J41" s="1441"/>
      <c r="K41" s="1441"/>
      <c r="L41" s="1441"/>
      <c r="M41" s="1441"/>
      <c r="N41" s="1442"/>
      <c r="O41" s="1441"/>
      <c r="P41" s="1441"/>
      <c r="Q41" s="1441"/>
      <c r="R41" s="1441"/>
      <c r="S41" s="1441"/>
      <c r="T41" s="1441"/>
      <c r="U41" s="1441"/>
      <c r="V41" s="1441"/>
      <c r="W41" s="1441"/>
      <c r="X41" s="1441"/>
      <c r="Y41" s="1441"/>
      <c r="Z41" s="1441"/>
      <c r="AA41" s="1441"/>
      <c r="AB41" s="1442"/>
      <c r="AC41" s="1441"/>
      <c r="AD41" s="1441"/>
      <c r="AE41" s="1441"/>
      <c r="AF41" s="1441"/>
      <c r="AG41" s="1441"/>
      <c r="AH41" s="1441"/>
      <c r="AI41" s="1441"/>
      <c r="AJ41" s="1442"/>
      <c r="AK41" s="1442"/>
      <c r="AL41" s="1447"/>
    </row>
    <row r="42" spans="2:38" ht="13.5" thickBot="1">
      <c r="B42" s="1703"/>
      <c r="C42" s="1495" t="s">
        <v>1567</v>
      </c>
      <c r="D42" s="1489"/>
      <c r="E42" s="1472"/>
      <c r="F42" s="1472"/>
      <c r="G42" s="1472"/>
      <c r="H42" s="1472"/>
      <c r="I42" s="1472"/>
      <c r="J42" s="1472"/>
      <c r="K42" s="1472"/>
      <c r="L42" s="1472"/>
      <c r="M42" s="1472"/>
      <c r="N42" s="1473"/>
      <c r="O42" s="1472"/>
      <c r="P42" s="1472"/>
      <c r="Q42" s="1472"/>
      <c r="R42" s="1472"/>
      <c r="S42" s="1472"/>
      <c r="T42" s="1472"/>
      <c r="U42" s="1472"/>
      <c r="V42" s="1472"/>
      <c r="W42" s="1472"/>
      <c r="X42" s="1472"/>
      <c r="Y42" s="1472"/>
      <c r="Z42" s="1472"/>
      <c r="AA42" s="1472"/>
      <c r="AB42" s="1473"/>
      <c r="AC42" s="1472"/>
      <c r="AD42" s="1472"/>
      <c r="AE42" s="1472"/>
      <c r="AF42" s="1472"/>
      <c r="AG42" s="1472"/>
      <c r="AH42" s="1472"/>
      <c r="AI42" s="1472"/>
      <c r="AJ42" s="1473"/>
      <c r="AK42" s="1473"/>
      <c r="AL42" s="1474"/>
    </row>
    <row r="43" spans="2:38">
      <c r="B43" s="1470"/>
      <c r="C43" s="1471"/>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row>
    <row r="44" spans="2:38">
      <c r="B44" s="1483" t="s">
        <v>1553</v>
      </c>
      <c r="C44" s="1482" t="s">
        <v>0</v>
      </c>
      <c r="E44" s="1481" t="s">
        <v>1570</v>
      </c>
      <c r="F44" s="109"/>
      <c r="G44" s="109"/>
      <c r="H44" s="109"/>
      <c r="I44" s="109"/>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row>
    <row r="45" spans="2:38">
      <c r="B45" s="1480">
        <v>1014</v>
      </c>
      <c r="C45" s="1471" t="s">
        <v>1569</v>
      </c>
      <c r="E45" s="382" t="s">
        <v>1569</v>
      </c>
      <c r="F45" s="109"/>
      <c r="G45" s="109"/>
      <c r="H45" s="109"/>
      <c r="I45" s="109"/>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row>
    <row r="46" spans="2:38">
      <c r="B46" s="1478"/>
      <c r="C46" s="1471"/>
      <c r="E46" s="382" t="s">
        <v>1571</v>
      </c>
      <c r="F46" s="109"/>
      <c r="G46" s="109"/>
      <c r="H46" s="109"/>
      <c r="I46" s="109"/>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row>
    <row r="47" spans="2:38">
      <c r="B47" s="1478"/>
      <c r="C47" s="1471"/>
      <c r="E47" s="1479" t="s">
        <v>1572</v>
      </c>
      <c r="F47" s="109"/>
      <c r="G47" s="109"/>
      <c r="H47" s="109"/>
      <c r="I47" s="109"/>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row>
    <row r="48" spans="2:38">
      <c r="B48" s="1478"/>
      <c r="C48" s="1471"/>
      <c r="E48" s="109"/>
      <c r="F48" s="109"/>
      <c r="G48" s="109"/>
      <c r="H48" s="109"/>
      <c r="I48" s="109"/>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row>
    <row r="49" spans="2:38">
      <c r="B49" s="1480">
        <v>1016</v>
      </c>
      <c r="C49" s="1471" t="s">
        <v>1573</v>
      </c>
      <c r="E49" s="321" t="s">
        <v>1574</v>
      </c>
      <c r="F49" s="109"/>
      <c r="G49" s="109"/>
      <c r="H49" s="109"/>
      <c r="I49" s="109"/>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row>
    <row r="50" spans="2:38">
      <c r="B50" s="1478"/>
      <c r="C50" s="1471"/>
      <c r="E50" s="321" t="s">
        <v>1575</v>
      </c>
      <c r="F50" s="109"/>
      <c r="G50" s="109"/>
      <c r="H50" s="109"/>
      <c r="I50" s="109"/>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row>
    <row r="51" spans="2:38">
      <c r="B51" s="1478"/>
      <c r="C51" s="1471"/>
      <c r="E51" s="321" t="s">
        <v>1576</v>
      </c>
      <c r="F51" s="109"/>
      <c r="G51" s="109"/>
      <c r="H51" s="109"/>
      <c r="I51" s="109"/>
      <c r="J51" s="109"/>
      <c r="K51" s="109"/>
      <c r="L51" s="109"/>
      <c r="M51" s="109"/>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row>
    <row r="52" spans="2:38">
      <c r="B52" s="1478"/>
      <c r="C52" s="1471"/>
      <c r="E52" s="321" t="s">
        <v>1577</v>
      </c>
      <c r="F52" s="109"/>
      <c r="G52" s="109"/>
      <c r="H52" s="109"/>
      <c r="I52" s="109"/>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row>
    <row r="53" spans="2:38">
      <c r="B53" s="1478"/>
      <c r="C53" s="1471"/>
      <c r="E53" s="321" t="s">
        <v>1578</v>
      </c>
      <c r="F53" s="109"/>
      <c r="G53" s="109"/>
      <c r="H53" s="109"/>
      <c r="I53" s="109"/>
      <c r="J53" s="109"/>
      <c r="K53" s="109"/>
      <c r="L53" s="109"/>
      <c r="M53" s="109"/>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row>
    <row r="54" spans="2:38">
      <c r="B54" s="1478"/>
      <c r="C54" s="1471"/>
      <c r="E54" s="321" t="s">
        <v>1579</v>
      </c>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row>
    <row r="55" spans="2:38">
      <c r="B55" s="106"/>
    </row>
    <row r="56" spans="2:38">
      <c r="B56" s="106">
        <v>1240</v>
      </c>
      <c r="C56" s="205" t="s">
        <v>1581</v>
      </c>
      <c r="E56" s="205" t="s">
        <v>1582</v>
      </c>
    </row>
    <row r="57" spans="2:38">
      <c r="B57" s="106"/>
      <c r="E57" s="205" t="s">
        <v>1571</v>
      </c>
    </row>
    <row r="58" spans="2:38">
      <c r="B58" s="106"/>
    </row>
    <row r="59" spans="2:38">
      <c r="B59" s="106">
        <v>1405</v>
      </c>
      <c r="C59" s="205" t="s">
        <v>1583</v>
      </c>
      <c r="E59" s="205" t="s">
        <v>1584</v>
      </c>
    </row>
    <row r="60" spans="2:38">
      <c r="B60" s="106"/>
      <c r="E60" s="205" t="s">
        <v>1585</v>
      </c>
    </row>
    <row r="61" spans="2:38">
      <c r="B61" s="106"/>
      <c r="E61" s="205" t="s">
        <v>1575</v>
      </c>
    </row>
    <row r="62" spans="2:38">
      <c r="E62" s="205" t="s">
        <v>1586</v>
      </c>
    </row>
    <row r="63" spans="2:38">
      <c r="E63" s="205" t="s">
        <v>1587</v>
      </c>
    </row>
    <row r="64" spans="2:38">
      <c r="E64" s="205" t="s">
        <v>1588</v>
      </c>
    </row>
    <row r="66" spans="2:5">
      <c r="B66" s="106">
        <v>2035</v>
      </c>
      <c r="C66" s="205" t="s">
        <v>1591</v>
      </c>
      <c r="E66" s="205" t="s">
        <v>1590</v>
      </c>
    </row>
    <row r="67" spans="2:5">
      <c r="E67" s="205" t="s">
        <v>1589</v>
      </c>
    </row>
    <row r="69" spans="2:5">
      <c r="B69" s="106">
        <v>2250</v>
      </c>
      <c r="C69" s="205" t="s">
        <v>1592</v>
      </c>
      <c r="E69" s="205" t="s">
        <v>1593</v>
      </c>
    </row>
    <row r="70" spans="2:5">
      <c r="E70" s="1434" t="s">
        <v>1589</v>
      </c>
    </row>
    <row r="71" spans="2:5">
      <c r="E71" s="1434" t="s">
        <v>1596</v>
      </c>
    </row>
    <row r="72" spans="2:5">
      <c r="E72" s="1434" t="s">
        <v>1595</v>
      </c>
    </row>
    <row r="73" spans="2:5">
      <c r="E73" s="1434" t="s">
        <v>1594</v>
      </c>
    </row>
    <row r="75" spans="2:5">
      <c r="B75" s="106">
        <v>3103</v>
      </c>
      <c r="C75" s="205" t="s">
        <v>1597</v>
      </c>
      <c r="E75" s="205" t="s">
        <v>1593</v>
      </c>
    </row>
    <row r="76" spans="2:5">
      <c r="E76" s="1434" t="s">
        <v>1594</v>
      </c>
    </row>
    <row r="78" spans="2:5">
      <c r="B78" s="106">
        <v>3240</v>
      </c>
      <c r="C78" s="205" t="s">
        <v>1517</v>
      </c>
      <c r="E78" t="s">
        <v>1598</v>
      </c>
    </row>
    <row r="79" spans="2:5">
      <c r="E79" t="s">
        <v>1599</v>
      </c>
    </row>
    <row r="80" spans="2:5">
      <c r="E80" t="s">
        <v>1600</v>
      </c>
    </row>
    <row r="81" spans="2:5">
      <c r="E81" t="s">
        <v>1601</v>
      </c>
    </row>
    <row r="82" spans="2:5">
      <c r="E82" t="s">
        <v>1602</v>
      </c>
    </row>
    <row r="83" spans="2:5">
      <c r="E83" t="s">
        <v>1603</v>
      </c>
    </row>
    <row r="85" spans="2:5">
      <c r="B85" s="106">
        <v>1018</v>
      </c>
      <c r="C85" s="205" t="s">
        <v>1604</v>
      </c>
      <c r="E85" t="s">
        <v>1605</v>
      </c>
    </row>
    <row r="86" spans="2:5">
      <c r="E86" t="s">
        <v>1603</v>
      </c>
    </row>
    <row r="87" spans="2:5">
      <c r="E87" t="s">
        <v>1606</v>
      </c>
    </row>
    <row r="88" spans="2:5">
      <c r="E88" t="s">
        <v>1607</v>
      </c>
    </row>
    <row r="90" spans="2:5">
      <c r="B90" s="106">
        <v>1243</v>
      </c>
      <c r="C90" t="s">
        <v>1608</v>
      </c>
      <c r="E90" s="205" t="s">
        <v>1609</v>
      </c>
    </row>
    <row r="91" spans="2:5">
      <c r="E91" s="205" t="s">
        <v>1582</v>
      </c>
    </row>
    <row r="92" spans="2:5">
      <c r="E92" t="s">
        <v>1610</v>
      </c>
    </row>
    <row r="93" spans="2:5">
      <c r="E93" t="s">
        <v>1611</v>
      </c>
    </row>
    <row r="95" spans="2:5">
      <c r="B95" s="106">
        <v>3123</v>
      </c>
      <c r="C95" s="205" t="s">
        <v>1612</v>
      </c>
      <c r="E95" t="s">
        <v>1609</v>
      </c>
    </row>
    <row r="96" spans="2:5">
      <c r="E96" t="s">
        <v>1599</v>
      </c>
    </row>
    <row r="97" spans="2:5">
      <c r="E97" t="s">
        <v>1613</v>
      </c>
    </row>
    <row r="99" spans="2:5">
      <c r="B99" s="106">
        <v>3124</v>
      </c>
      <c r="C99" t="s">
        <v>1614</v>
      </c>
      <c r="E99" s="1434" t="s">
        <v>1615</v>
      </c>
    </row>
    <row r="100" spans="2:5">
      <c r="E100" s="1434" t="s">
        <v>1599</v>
      </c>
    </row>
    <row r="101" spans="2:5">
      <c r="E101" s="1434" t="s">
        <v>1616</v>
      </c>
    </row>
    <row r="103" spans="2:5">
      <c r="B103" s="106">
        <v>1121</v>
      </c>
      <c r="C103" s="205" t="s">
        <v>1617</v>
      </c>
      <c r="E103" s="205" t="s">
        <v>1618</v>
      </c>
    </row>
    <row r="104" spans="2:5">
      <c r="E104" s="205" t="s">
        <v>1619</v>
      </c>
    </row>
    <row r="106" spans="2:5">
      <c r="B106" s="106">
        <v>3160</v>
      </c>
      <c r="C106" s="205" t="s">
        <v>1620</v>
      </c>
      <c r="E106" t="s">
        <v>1618</v>
      </c>
    </row>
    <row r="107" spans="2:5">
      <c r="E107" t="s">
        <v>1621</v>
      </c>
    </row>
    <row r="108" spans="2:5">
      <c r="E108" t="s">
        <v>1599</v>
      </c>
    </row>
    <row r="109" spans="2:5">
      <c r="E109" t="s">
        <v>1594</v>
      </c>
    </row>
    <row r="110" spans="2:5">
      <c r="E110" t="s">
        <v>1622</v>
      </c>
    </row>
    <row r="112" spans="2:5">
      <c r="B112" s="106">
        <v>1280</v>
      </c>
      <c r="C112" t="s">
        <v>1623</v>
      </c>
      <c r="E112" t="s">
        <v>1624</v>
      </c>
    </row>
    <row r="113" spans="2:5">
      <c r="E113" t="s">
        <v>1625</v>
      </c>
    </row>
    <row r="114" spans="2:5">
      <c r="E114" t="s">
        <v>1626</v>
      </c>
    </row>
    <row r="115" spans="2:5">
      <c r="E115" t="s">
        <v>1627</v>
      </c>
    </row>
    <row r="116" spans="2:5">
      <c r="E116" t="s">
        <v>1606</v>
      </c>
    </row>
    <row r="117" spans="2:5">
      <c r="E117" t="s">
        <v>1628</v>
      </c>
    </row>
    <row r="119" spans="2:5" ht="15">
      <c r="B119">
        <v>1290</v>
      </c>
      <c r="C119" t="s">
        <v>1630</v>
      </c>
      <c r="E119" s="1497" t="s">
        <v>1631</v>
      </c>
    </row>
    <row r="120" spans="2:5" ht="15">
      <c r="E120" s="1497" t="s">
        <v>1632</v>
      </c>
    </row>
    <row r="121" spans="2:5" ht="15">
      <c r="E121" s="1497" t="s">
        <v>1626</v>
      </c>
    </row>
    <row r="122" spans="2:5" ht="15">
      <c r="E122" s="1497" t="s">
        <v>1633</v>
      </c>
    </row>
    <row r="123" spans="2:5" ht="15">
      <c r="E123" s="1497" t="s">
        <v>1628</v>
      </c>
    </row>
  </sheetData>
  <sheetProtection password="C583" sheet="1" objects="1" scenarios="1" selectLockedCells="1"/>
  <mergeCells count="6">
    <mergeCell ref="B39:B42"/>
    <mergeCell ref="B17:B20"/>
    <mergeCell ref="B21:B25"/>
    <mergeCell ref="B26:B27"/>
    <mergeCell ref="B28:B30"/>
    <mergeCell ref="B31:B38"/>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theme="6" tint="0.59999389629810485"/>
    <pageSetUpPr fitToPage="1"/>
  </sheetPr>
  <dimension ref="A1:V90"/>
  <sheetViews>
    <sheetView showGridLines="0" workbookViewId="0">
      <pane xSplit="3" ySplit="3" topLeftCell="D4" activePane="bottomRight" state="frozen"/>
      <selection pane="topRight" activeCell="D1" sqref="D1"/>
      <selection pane="bottomLeft" activeCell="A4" sqref="A4"/>
      <selection pane="bottomRight"/>
    </sheetView>
  </sheetViews>
  <sheetFormatPr defaultColWidth="9.140625" defaultRowHeight="12.75"/>
  <cols>
    <col min="1" max="1" width="2.7109375" style="811" customWidth="1"/>
    <col min="2" max="2" width="13.42578125" style="812" customWidth="1"/>
    <col min="3" max="3" width="23.140625" style="811" customWidth="1"/>
    <col min="4" max="4" width="20.7109375" style="811" customWidth="1"/>
    <col min="5" max="5" width="16" style="811" customWidth="1"/>
    <col min="6" max="6" width="23.7109375" style="813" customWidth="1"/>
    <col min="7" max="7" width="20.140625" style="812" customWidth="1"/>
    <col min="8" max="8" width="6.7109375" style="812" customWidth="1"/>
    <col min="9" max="9" width="20.42578125" style="811" customWidth="1"/>
    <col min="10" max="10" width="13.5703125" style="812" hidden="1" customWidth="1"/>
    <col min="11" max="11" width="29.85546875" style="811" customWidth="1"/>
    <col min="12" max="12" width="13.85546875" style="813" customWidth="1"/>
    <col min="13" max="13" width="24.5703125" style="811" customWidth="1"/>
    <col min="14" max="14" width="10.5703125" style="811" hidden="1" customWidth="1"/>
    <col min="15" max="15" width="11.140625" style="812" bestFit="1" customWidth="1"/>
    <col min="16" max="16" width="8.5703125" bestFit="1" customWidth="1"/>
    <col min="17" max="17" width="37.140625" hidden="1" customWidth="1"/>
    <col min="18" max="19" width="9.42578125" hidden="1" customWidth="1"/>
    <col min="20" max="20" width="8.85546875" hidden="1" customWidth="1"/>
    <col min="21" max="21" width="12.85546875" style="811" bestFit="1" customWidth="1"/>
    <col min="22" max="22" width="8" style="811" bestFit="1" customWidth="1"/>
    <col min="23" max="16384" width="9.140625" style="811"/>
  </cols>
  <sheetData>
    <row r="1" spans="1:22" ht="27" thickBot="1">
      <c r="A1" s="807" t="s">
        <v>779</v>
      </c>
      <c r="B1" s="808"/>
      <c r="C1" s="809"/>
      <c r="D1" s="809"/>
      <c r="E1" s="809"/>
      <c r="F1" s="810"/>
      <c r="G1" s="808"/>
      <c r="H1" s="808"/>
      <c r="I1" s="809"/>
      <c r="J1" s="808"/>
      <c r="K1" s="809"/>
      <c r="L1" s="810"/>
      <c r="M1" s="809"/>
      <c r="N1" s="809"/>
      <c r="O1" s="808"/>
      <c r="R1" s="205" t="s">
        <v>747</v>
      </c>
    </row>
    <row r="2" spans="1:22" ht="19.5" customHeight="1" thickBot="1"/>
    <row r="3" spans="1:22" ht="16.5" customHeight="1" thickBot="1">
      <c r="B3" s="814" t="s">
        <v>650</v>
      </c>
      <c r="C3" s="815" t="s">
        <v>780</v>
      </c>
      <c r="D3" s="816" t="s">
        <v>777</v>
      </c>
      <c r="E3" s="817" t="s">
        <v>781</v>
      </c>
      <c r="F3" s="818" t="s">
        <v>782</v>
      </c>
      <c r="G3" s="818" t="s">
        <v>783</v>
      </c>
      <c r="H3" s="819" t="s">
        <v>747</v>
      </c>
      <c r="I3" s="816" t="s">
        <v>784</v>
      </c>
      <c r="J3" s="819" t="s">
        <v>785</v>
      </c>
      <c r="K3" s="816" t="s">
        <v>786</v>
      </c>
      <c r="L3" s="818" t="s">
        <v>787</v>
      </c>
      <c r="M3" s="816" t="s">
        <v>788</v>
      </c>
      <c r="N3" s="819" t="s">
        <v>34</v>
      </c>
      <c r="O3" s="820" t="s">
        <v>9</v>
      </c>
      <c r="P3" s="821"/>
      <c r="Q3" s="821" t="s">
        <v>789</v>
      </c>
      <c r="R3" s="821" t="s">
        <v>790</v>
      </c>
      <c r="S3" s="821" t="s">
        <v>791</v>
      </c>
      <c r="T3" s="821" t="s">
        <v>792</v>
      </c>
    </row>
    <row r="4" spans="1:22" ht="21.75" customHeight="1">
      <c r="B4" s="1710" t="s">
        <v>793</v>
      </c>
      <c r="C4" s="822" t="s">
        <v>794</v>
      </c>
      <c r="D4" s="823" t="s">
        <v>795</v>
      </c>
      <c r="E4" s="823" t="s">
        <v>796</v>
      </c>
      <c r="F4" s="824" t="s">
        <v>797</v>
      </c>
      <c r="G4" s="825" t="s">
        <v>798</v>
      </c>
      <c r="H4" s="825" t="s">
        <v>791</v>
      </c>
      <c r="I4" s="823" t="s">
        <v>799</v>
      </c>
      <c r="J4" s="825"/>
      <c r="K4" s="823" t="s">
        <v>800</v>
      </c>
      <c r="L4" s="824"/>
      <c r="M4" s="823" t="s">
        <v>801</v>
      </c>
      <c r="N4" s="824" t="s">
        <v>802</v>
      </c>
      <c r="O4" s="826" t="s">
        <v>803</v>
      </c>
      <c r="Q4" s="205" t="s">
        <v>804</v>
      </c>
      <c r="R4" s="827" t="str">
        <f>N5</f>
        <v>MU01478</v>
      </c>
      <c r="V4" s="828"/>
    </row>
    <row r="5" spans="1:22" ht="26.25" customHeight="1" thickBot="1">
      <c r="B5" s="1711"/>
      <c r="C5" s="829" t="s">
        <v>805</v>
      </c>
      <c r="D5" s="830" t="s">
        <v>806</v>
      </c>
      <c r="E5" s="830"/>
      <c r="F5" s="831"/>
      <c r="G5" s="831"/>
      <c r="H5" s="831"/>
      <c r="I5" s="830" t="s">
        <v>807</v>
      </c>
      <c r="J5" s="831"/>
      <c r="K5" s="830"/>
      <c r="L5" s="831"/>
      <c r="M5" s="830"/>
      <c r="N5" s="831" t="s">
        <v>542</v>
      </c>
      <c r="O5" s="832" t="s">
        <v>541</v>
      </c>
      <c r="P5" s="205"/>
      <c r="Q5" s="205" t="s">
        <v>808</v>
      </c>
    </row>
    <row r="6" spans="1:22" ht="37.5" customHeight="1">
      <c r="B6" s="1711"/>
      <c r="C6" s="822" t="s">
        <v>809</v>
      </c>
      <c r="D6" s="833" t="s">
        <v>806</v>
      </c>
      <c r="E6" s="833" t="s">
        <v>810</v>
      </c>
      <c r="F6" s="824" t="s">
        <v>797</v>
      </c>
      <c r="G6" s="824" t="s">
        <v>811</v>
      </c>
      <c r="H6" s="824" t="s">
        <v>812</v>
      </c>
      <c r="I6" s="823" t="s">
        <v>813</v>
      </c>
      <c r="J6" s="824"/>
      <c r="K6" s="823" t="s">
        <v>800</v>
      </c>
      <c r="L6" s="824" t="s">
        <v>814</v>
      </c>
      <c r="M6" s="823" t="s">
        <v>815</v>
      </c>
      <c r="N6" s="824">
        <v>6013254</v>
      </c>
      <c r="O6" s="826">
        <v>11060010</v>
      </c>
      <c r="P6" s="205"/>
      <c r="Q6" s="205" t="s">
        <v>816</v>
      </c>
      <c r="R6" s="827">
        <f>N7</f>
        <v>7030536</v>
      </c>
      <c r="S6" s="827" t="str">
        <f>N8</f>
        <v>MU01478</v>
      </c>
    </row>
    <row r="7" spans="1:22" ht="28.5" customHeight="1">
      <c r="B7" s="1711"/>
      <c r="C7" s="834" t="s">
        <v>805</v>
      </c>
      <c r="D7" s="835" t="s">
        <v>806</v>
      </c>
      <c r="E7" s="835"/>
      <c r="F7" s="836"/>
      <c r="G7" s="836"/>
      <c r="H7" s="836"/>
      <c r="I7" s="835" t="s">
        <v>817</v>
      </c>
      <c r="J7" s="836"/>
      <c r="K7" s="835"/>
      <c r="L7" s="836"/>
      <c r="M7" s="835"/>
      <c r="N7" s="836">
        <v>7030536</v>
      </c>
      <c r="O7" s="837">
        <v>11060039</v>
      </c>
      <c r="P7" s="205"/>
      <c r="Q7" s="205" t="s">
        <v>818</v>
      </c>
    </row>
    <row r="8" spans="1:22" ht="28.5" customHeight="1" thickBot="1">
      <c r="B8" s="1711"/>
      <c r="C8" s="838"/>
      <c r="D8" s="830" t="s">
        <v>806</v>
      </c>
      <c r="E8" s="830"/>
      <c r="F8" s="831"/>
      <c r="G8" s="831"/>
      <c r="H8" s="831"/>
      <c r="I8" s="830" t="s">
        <v>807</v>
      </c>
      <c r="J8" s="831"/>
      <c r="K8" s="830"/>
      <c r="L8" s="831"/>
      <c r="M8" s="830"/>
      <c r="N8" s="831" t="s">
        <v>542</v>
      </c>
      <c r="O8" s="832">
        <v>11060038</v>
      </c>
      <c r="P8" s="205"/>
      <c r="Q8" s="205" t="s">
        <v>808</v>
      </c>
    </row>
    <row r="9" spans="1:22" ht="56.25" customHeight="1">
      <c r="B9" s="1711"/>
      <c r="C9" s="822" t="s">
        <v>819</v>
      </c>
      <c r="D9" s="823" t="s">
        <v>806</v>
      </c>
      <c r="E9" s="823" t="s">
        <v>810</v>
      </c>
      <c r="F9" s="824" t="s">
        <v>820</v>
      </c>
      <c r="G9" s="824" t="s">
        <v>821</v>
      </c>
      <c r="H9" s="824" t="s">
        <v>812</v>
      </c>
      <c r="I9" s="823" t="s">
        <v>813</v>
      </c>
      <c r="J9" s="824"/>
      <c r="K9" s="823" t="s">
        <v>822</v>
      </c>
      <c r="L9" s="824" t="s">
        <v>823</v>
      </c>
      <c r="M9" s="823" t="s">
        <v>824</v>
      </c>
      <c r="N9" s="824">
        <v>6013542</v>
      </c>
      <c r="O9" s="826">
        <v>11060095</v>
      </c>
      <c r="P9" s="205"/>
      <c r="Q9" s="205" t="s">
        <v>825</v>
      </c>
      <c r="R9" s="827">
        <f>N10</f>
        <v>7030536</v>
      </c>
      <c r="S9" s="827" t="str">
        <f>N11</f>
        <v>MU01478</v>
      </c>
    </row>
    <row r="10" spans="1:22" ht="26.25" customHeight="1">
      <c r="B10" s="1711"/>
      <c r="C10" s="834" t="s">
        <v>805</v>
      </c>
      <c r="D10" s="835" t="s">
        <v>806</v>
      </c>
      <c r="E10" s="835"/>
      <c r="F10" s="836"/>
      <c r="G10" s="836"/>
      <c r="H10" s="836"/>
      <c r="I10" s="835" t="s">
        <v>817</v>
      </c>
      <c r="J10" s="836"/>
      <c r="K10" s="835"/>
      <c r="L10" s="836"/>
      <c r="M10" s="835"/>
      <c r="N10" s="836">
        <v>7030536</v>
      </c>
      <c r="O10" s="837">
        <v>11060039</v>
      </c>
      <c r="P10" s="205"/>
      <c r="Q10" s="205" t="s">
        <v>818</v>
      </c>
    </row>
    <row r="11" spans="1:22" ht="26.25" customHeight="1" thickBot="1">
      <c r="B11" s="1711"/>
      <c r="C11" s="839"/>
      <c r="D11" s="830" t="s">
        <v>806</v>
      </c>
      <c r="E11" s="830"/>
      <c r="F11" s="831"/>
      <c r="G11" s="831"/>
      <c r="H11" s="831"/>
      <c r="I11" s="830" t="s">
        <v>807</v>
      </c>
      <c r="J11" s="831"/>
      <c r="K11" s="830"/>
      <c r="L11" s="831"/>
      <c r="M11" s="830"/>
      <c r="N11" s="831" t="s">
        <v>542</v>
      </c>
      <c r="O11" s="832">
        <v>11060038</v>
      </c>
      <c r="P11" s="205"/>
      <c r="Q11" s="205" t="s">
        <v>808</v>
      </c>
    </row>
    <row r="12" spans="1:22" ht="57" customHeight="1">
      <c r="B12" s="1711"/>
      <c r="C12" s="822" t="s">
        <v>826</v>
      </c>
      <c r="D12" s="823" t="s">
        <v>806</v>
      </c>
      <c r="E12" s="823" t="s">
        <v>827</v>
      </c>
      <c r="F12" s="824" t="s">
        <v>828</v>
      </c>
      <c r="G12" s="824" t="s">
        <v>829</v>
      </c>
      <c r="H12" s="824" t="s">
        <v>812</v>
      </c>
      <c r="I12" s="823" t="s">
        <v>813</v>
      </c>
      <c r="J12" s="824"/>
      <c r="K12" s="823" t="s">
        <v>822</v>
      </c>
      <c r="L12" s="824" t="s">
        <v>823</v>
      </c>
      <c r="M12" s="823" t="s">
        <v>830</v>
      </c>
      <c r="N12" s="824" t="s">
        <v>831</v>
      </c>
      <c r="O12" s="826">
        <v>11060050</v>
      </c>
      <c r="P12" s="205"/>
      <c r="Q12" s="205" t="s">
        <v>832</v>
      </c>
      <c r="R12" s="827">
        <f>N13</f>
        <v>7030536</v>
      </c>
      <c r="S12" s="827" t="str">
        <f>N14</f>
        <v>MU01478</v>
      </c>
    </row>
    <row r="13" spans="1:22" ht="26.25" customHeight="1">
      <c r="B13" s="1711"/>
      <c r="C13" s="834" t="s">
        <v>805</v>
      </c>
      <c r="D13" s="835" t="s">
        <v>806</v>
      </c>
      <c r="E13" s="835"/>
      <c r="F13" s="836"/>
      <c r="G13" s="836"/>
      <c r="H13" s="836"/>
      <c r="I13" s="835" t="s">
        <v>817</v>
      </c>
      <c r="J13" s="836"/>
      <c r="K13" s="835"/>
      <c r="L13" s="836"/>
      <c r="M13" s="835"/>
      <c r="N13" s="836">
        <v>7030536</v>
      </c>
      <c r="O13" s="837">
        <v>11060039</v>
      </c>
      <c r="P13" s="205"/>
      <c r="Q13" s="205" t="s">
        <v>818</v>
      </c>
    </row>
    <row r="14" spans="1:22" ht="26.25" customHeight="1" thickBot="1">
      <c r="B14" s="1711"/>
      <c r="C14" s="839"/>
      <c r="D14" s="830" t="s">
        <v>806</v>
      </c>
      <c r="E14" s="830"/>
      <c r="F14" s="831"/>
      <c r="G14" s="831"/>
      <c r="H14" s="831"/>
      <c r="I14" s="830" t="s">
        <v>807</v>
      </c>
      <c r="J14" s="831"/>
      <c r="K14" s="830"/>
      <c r="L14" s="831"/>
      <c r="M14" s="830"/>
      <c r="N14" s="831" t="s">
        <v>542</v>
      </c>
      <c r="O14" s="832">
        <v>11060038</v>
      </c>
      <c r="P14" s="205"/>
      <c r="Q14" s="205" t="s">
        <v>808</v>
      </c>
    </row>
    <row r="15" spans="1:22" ht="38.25" customHeight="1">
      <c r="B15" s="1711"/>
      <c r="C15" s="822" t="s">
        <v>833</v>
      </c>
      <c r="D15" s="823" t="s">
        <v>806</v>
      </c>
      <c r="E15" s="823" t="s">
        <v>827</v>
      </c>
      <c r="F15" s="824" t="s">
        <v>834</v>
      </c>
      <c r="G15" s="824" t="s">
        <v>835</v>
      </c>
      <c r="H15" s="824" t="s">
        <v>812</v>
      </c>
      <c r="I15" s="823" t="s">
        <v>813</v>
      </c>
      <c r="J15" s="824"/>
      <c r="K15" s="823" t="s">
        <v>836</v>
      </c>
      <c r="L15" s="824" t="s">
        <v>837</v>
      </c>
      <c r="M15" s="823" t="s">
        <v>838</v>
      </c>
      <c r="N15" s="824">
        <v>6011992</v>
      </c>
      <c r="O15" s="826">
        <v>11060116</v>
      </c>
      <c r="P15" s="205"/>
      <c r="Q15" s="205" t="s">
        <v>839</v>
      </c>
      <c r="R15" s="827">
        <f>N16</f>
        <v>7030536</v>
      </c>
      <c r="S15" s="827" t="str">
        <f>N17</f>
        <v>MU01478</v>
      </c>
    </row>
    <row r="16" spans="1:22" ht="26.25" customHeight="1">
      <c r="B16" s="1711"/>
      <c r="C16" s="841"/>
      <c r="D16" s="835" t="s">
        <v>806</v>
      </c>
      <c r="E16" s="835"/>
      <c r="F16" s="836"/>
      <c r="G16" s="836"/>
      <c r="H16" s="836"/>
      <c r="I16" s="835" t="s">
        <v>817</v>
      </c>
      <c r="J16" s="836"/>
      <c r="K16" s="835" t="s">
        <v>836</v>
      </c>
      <c r="L16" s="836"/>
      <c r="M16" s="835"/>
      <c r="N16" s="836">
        <v>7030536</v>
      </c>
      <c r="O16" s="837">
        <v>11060039</v>
      </c>
      <c r="Q16" s="205" t="s">
        <v>818</v>
      </c>
    </row>
    <row r="17" spans="2:19" ht="26.25" customHeight="1" thickBot="1">
      <c r="B17" s="1712"/>
      <c r="C17" s="839"/>
      <c r="D17" s="830" t="s">
        <v>806</v>
      </c>
      <c r="E17" s="830"/>
      <c r="F17" s="831"/>
      <c r="G17" s="831"/>
      <c r="H17" s="831"/>
      <c r="I17" s="830" t="s">
        <v>807</v>
      </c>
      <c r="J17" s="831"/>
      <c r="K17" s="830" t="s">
        <v>836</v>
      </c>
      <c r="L17" s="831"/>
      <c r="M17" s="830"/>
      <c r="N17" s="831" t="s">
        <v>542</v>
      </c>
      <c r="O17" s="832">
        <v>11060038</v>
      </c>
      <c r="P17" s="205"/>
      <c r="Q17" s="205" t="s">
        <v>808</v>
      </c>
    </row>
    <row r="18" spans="2:19" s="844" customFormat="1" ht="12" customHeight="1" thickBot="1">
      <c r="B18" s="842"/>
      <c r="C18" s="835"/>
      <c r="D18" s="835"/>
      <c r="E18" s="835"/>
      <c r="F18" s="836"/>
      <c r="G18" s="836"/>
      <c r="H18" s="836"/>
      <c r="I18" s="835"/>
      <c r="J18" s="836"/>
      <c r="K18" s="835"/>
      <c r="L18" s="836"/>
      <c r="M18" s="835"/>
      <c r="N18" s="836"/>
      <c r="O18" s="843"/>
    </row>
    <row r="19" spans="2:19" ht="45">
      <c r="B19" s="1710" t="s">
        <v>840</v>
      </c>
      <c r="C19" s="822" t="s">
        <v>841</v>
      </c>
      <c r="D19" s="823" t="s">
        <v>806</v>
      </c>
      <c r="E19" s="823" t="s">
        <v>842</v>
      </c>
      <c r="F19" s="824" t="s">
        <v>843</v>
      </c>
      <c r="G19" s="824" t="s">
        <v>844</v>
      </c>
      <c r="H19" s="824" t="s">
        <v>791</v>
      </c>
      <c r="I19" s="823" t="s">
        <v>799</v>
      </c>
      <c r="J19" s="824"/>
      <c r="K19" s="823" t="s">
        <v>822</v>
      </c>
      <c r="L19" s="824" t="s">
        <v>845</v>
      </c>
      <c r="M19" s="823" t="s">
        <v>846</v>
      </c>
      <c r="N19" s="824">
        <v>6033185</v>
      </c>
      <c r="O19" s="826">
        <v>11060101</v>
      </c>
      <c r="Q19" s="205" t="s">
        <v>847</v>
      </c>
      <c r="R19" s="827" t="str">
        <f>N20</f>
        <v xml:space="preserve">MU00091 </v>
      </c>
      <c r="S19" s="827"/>
    </row>
    <row r="20" spans="2:19" ht="23.25" thickBot="1">
      <c r="B20" s="1711"/>
      <c r="C20" s="845" t="s">
        <v>805</v>
      </c>
      <c r="D20" s="835" t="s">
        <v>806</v>
      </c>
      <c r="E20" s="835"/>
      <c r="F20" s="836"/>
      <c r="G20" s="836"/>
      <c r="H20" s="836"/>
      <c r="I20" s="835" t="s">
        <v>848</v>
      </c>
      <c r="J20" s="836"/>
      <c r="K20" s="835"/>
      <c r="L20" s="836"/>
      <c r="M20" s="835"/>
      <c r="N20" s="836" t="s">
        <v>538</v>
      </c>
      <c r="O20" s="837">
        <v>11020004</v>
      </c>
      <c r="Q20" s="205" t="s">
        <v>849</v>
      </c>
    </row>
    <row r="21" spans="2:19" ht="33.75">
      <c r="B21" s="1711"/>
      <c r="C21" s="822" t="s">
        <v>850</v>
      </c>
      <c r="D21" s="823" t="s">
        <v>806</v>
      </c>
      <c r="E21" s="823" t="s">
        <v>842</v>
      </c>
      <c r="F21" s="824" t="s">
        <v>851</v>
      </c>
      <c r="G21" s="824" t="s">
        <v>852</v>
      </c>
      <c r="H21" s="824" t="s">
        <v>812</v>
      </c>
      <c r="I21" s="823" t="s">
        <v>799</v>
      </c>
      <c r="J21" s="824"/>
      <c r="K21" s="823" t="s">
        <v>800</v>
      </c>
      <c r="L21" s="824" t="s">
        <v>853</v>
      </c>
      <c r="M21" s="823" t="s">
        <v>854</v>
      </c>
      <c r="N21" s="824">
        <v>6033206</v>
      </c>
      <c r="O21" s="826">
        <v>11060102</v>
      </c>
      <c r="Q21" s="205" t="s">
        <v>855</v>
      </c>
      <c r="R21" s="827" t="str">
        <f>N22</f>
        <v xml:space="preserve"> MU00091</v>
      </c>
      <c r="S21" s="827" t="str">
        <f>N23</f>
        <v xml:space="preserve"> MU00432</v>
      </c>
    </row>
    <row r="22" spans="2:19" ht="22.5">
      <c r="B22" s="1711"/>
      <c r="C22" s="834" t="s">
        <v>805</v>
      </c>
      <c r="D22" s="835" t="s">
        <v>806</v>
      </c>
      <c r="E22" s="835"/>
      <c r="F22" s="836"/>
      <c r="G22" s="836"/>
      <c r="H22" s="836"/>
      <c r="I22" s="835" t="s">
        <v>848</v>
      </c>
      <c r="J22" s="836"/>
      <c r="K22" s="835"/>
      <c r="L22" s="836"/>
      <c r="M22" s="835"/>
      <c r="N22" s="836" t="s">
        <v>539</v>
      </c>
      <c r="O22" s="837">
        <v>11020004</v>
      </c>
      <c r="Q22" s="205" t="s">
        <v>849</v>
      </c>
    </row>
    <row r="23" spans="2:19" ht="28.5" customHeight="1" thickBot="1">
      <c r="B23" s="1711"/>
      <c r="C23" s="838"/>
      <c r="D23" s="830" t="s">
        <v>806</v>
      </c>
      <c r="E23" s="830"/>
      <c r="F23" s="831"/>
      <c r="G23" s="831"/>
      <c r="H23" s="831"/>
      <c r="I23" s="830" t="s">
        <v>856</v>
      </c>
      <c r="J23" s="831"/>
      <c r="K23" s="830"/>
      <c r="L23" s="831"/>
      <c r="M23" s="830"/>
      <c r="N23" s="836" t="s">
        <v>540</v>
      </c>
      <c r="O23" s="837">
        <v>11060096</v>
      </c>
      <c r="Q23" s="205" t="s">
        <v>857</v>
      </c>
    </row>
    <row r="24" spans="2:19" ht="38.25" customHeight="1">
      <c r="B24" s="1711"/>
      <c r="C24" s="822" t="s">
        <v>858</v>
      </c>
      <c r="D24" s="823" t="s">
        <v>806</v>
      </c>
      <c r="E24" s="823" t="s">
        <v>859</v>
      </c>
      <c r="F24" s="824" t="s">
        <v>851</v>
      </c>
      <c r="G24" s="824" t="s">
        <v>860</v>
      </c>
      <c r="H24" s="824" t="s">
        <v>812</v>
      </c>
      <c r="I24" s="823" t="s">
        <v>799</v>
      </c>
      <c r="J24" s="824"/>
      <c r="K24" s="823" t="s">
        <v>800</v>
      </c>
      <c r="L24" s="824" t="s">
        <v>861</v>
      </c>
      <c r="M24" s="823" t="s">
        <v>862</v>
      </c>
      <c r="N24" s="824" t="s">
        <v>863</v>
      </c>
      <c r="O24" s="826">
        <v>11060104</v>
      </c>
      <c r="P24" s="205"/>
      <c r="Q24" s="205" t="s">
        <v>818</v>
      </c>
      <c r="R24" s="827" t="str">
        <f>N25</f>
        <v>7030536</v>
      </c>
      <c r="S24" s="827" t="str">
        <f>N26</f>
        <v>MU01478</v>
      </c>
    </row>
    <row r="25" spans="2:19" ht="24" customHeight="1">
      <c r="B25" s="1711"/>
      <c r="C25" s="834" t="s">
        <v>805</v>
      </c>
      <c r="D25" s="835" t="s">
        <v>806</v>
      </c>
      <c r="E25" s="835"/>
      <c r="F25" s="836"/>
      <c r="G25" s="836"/>
      <c r="H25" s="836"/>
      <c r="I25" s="835" t="s">
        <v>817</v>
      </c>
      <c r="J25" s="836"/>
      <c r="K25" s="835"/>
      <c r="L25" s="836"/>
      <c r="M25" s="835"/>
      <c r="N25" s="836" t="s">
        <v>864</v>
      </c>
      <c r="O25" s="837">
        <v>11060039</v>
      </c>
      <c r="Q25" s="205" t="s">
        <v>818</v>
      </c>
    </row>
    <row r="26" spans="2:19" ht="24" customHeight="1" thickBot="1">
      <c r="B26" s="1711"/>
      <c r="C26" s="838"/>
      <c r="D26" s="830" t="s">
        <v>806</v>
      </c>
      <c r="E26" s="830"/>
      <c r="F26" s="831"/>
      <c r="G26" s="831"/>
      <c r="H26" s="831"/>
      <c r="I26" s="830" t="s">
        <v>865</v>
      </c>
      <c r="J26" s="831"/>
      <c r="K26" s="830"/>
      <c r="L26" s="831"/>
      <c r="M26" s="830"/>
      <c r="N26" s="831" t="s">
        <v>542</v>
      </c>
      <c r="O26" s="832">
        <v>11060038</v>
      </c>
      <c r="P26" s="205"/>
      <c r="Q26" s="205" t="s">
        <v>808</v>
      </c>
    </row>
    <row r="27" spans="2:19" ht="33.75" customHeight="1">
      <c r="B27" s="1711"/>
      <c r="C27" s="822" t="s">
        <v>866</v>
      </c>
      <c r="D27" s="823" t="s">
        <v>806</v>
      </c>
      <c r="E27" s="823" t="s">
        <v>867</v>
      </c>
      <c r="F27" s="824" t="s">
        <v>851</v>
      </c>
      <c r="G27" s="824" t="s">
        <v>860</v>
      </c>
      <c r="H27" s="824" t="s">
        <v>812</v>
      </c>
      <c r="I27" s="823" t="s">
        <v>799</v>
      </c>
      <c r="J27" s="824"/>
      <c r="K27" s="823" t="s">
        <v>800</v>
      </c>
      <c r="L27" s="824" t="s">
        <v>868</v>
      </c>
      <c r="M27" s="823" t="s">
        <v>869</v>
      </c>
      <c r="N27" s="824">
        <v>6010703</v>
      </c>
      <c r="O27" s="826">
        <v>11060029</v>
      </c>
      <c r="R27" s="827">
        <f>N28</f>
        <v>7030536</v>
      </c>
      <c r="S27" s="827" t="str">
        <f>N29</f>
        <v>MU01478</v>
      </c>
    </row>
    <row r="28" spans="2:19" ht="24" customHeight="1">
      <c r="B28" s="1711"/>
      <c r="C28" s="834" t="s">
        <v>805</v>
      </c>
      <c r="D28" s="835" t="s">
        <v>806</v>
      </c>
      <c r="E28" s="835"/>
      <c r="F28" s="836"/>
      <c r="G28" s="836"/>
      <c r="H28" s="836"/>
      <c r="I28" s="835" t="s">
        <v>817</v>
      </c>
      <c r="J28" s="836"/>
      <c r="K28" s="835"/>
      <c r="L28" s="836"/>
      <c r="M28" s="835"/>
      <c r="N28" s="836">
        <v>7030536</v>
      </c>
      <c r="O28" s="837">
        <v>11060039</v>
      </c>
    </row>
    <row r="29" spans="2:19" ht="24" customHeight="1" thickBot="1">
      <c r="B29" s="1711"/>
      <c r="C29" s="838"/>
      <c r="D29" s="830" t="s">
        <v>806</v>
      </c>
      <c r="E29" s="830"/>
      <c r="F29" s="831"/>
      <c r="G29" s="831"/>
      <c r="H29" s="831"/>
      <c r="I29" s="830" t="s">
        <v>807</v>
      </c>
      <c r="J29" s="831"/>
      <c r="K29" s="830"/>
      <c r="L29" s="831"/>
      <c r="M29" s="830"/>
      <c r="N29" s="831" t="s">
        <v>542</v>
      </c>
      <c r="O29" s="832">
        <v>11060038</v>
      </c>
      <c r="P29" s="205"/>
      <c r="Q29" s="205" t="s">
        <v>808</v>
      </c>
    </row>
    <row r="30" spans="2:19" ht="39.75" customHeight="1">
      <c r="B30" s="1711"/>
      <c r="C30" s="822" t="s">
        <v>870</v>
      </c>
      <c r="D30" s="823" t="s">
        <v>806</v>
      </c>
      <c r="E30" s="823" t="s">
        <v>871</v>
      </c>
      <c r="F30" s="824" t="s">
        <v>843</v>
      </c>
      <c r="G30" s="824" t="s">
        <v>872</v>
      </c>
      <c r="H30" s="824" t="s">
        <v>812</v>
      </c>
      <c r="I30" s="823" t="s">
        <v>799</v>
      </c>
      <c r="J30" s="824"/>
      <c r="K30" s="823" t="s">
        <v>822</v>
      </c>
      <c r="L30" s="824" t="s">
        <v>873</v>
      </c>
      <c r="M30" s="823" t="s">
        <v>874</v>
      </c>
      <c r="N30" s="824">
        <v>6010607</v>
      </c>
      <c r="O30" s="826">
        <v>11060027</v>
      </c>
      <c r="Q30" s="205" t="s">
        <v>875</v>
      </c>
      <c r="R30" s="827">
        <f>N31</f>
        <v>7030536</v>
      </c>
      <c r="S30" s="827" t="str">
        <f>N32</f>
        <v>MU01478</v>
      </c>
    </row>
    <row r="31" spans="2:19" ht="24" customHeight="1">
      <c r="B31" s="1711"/>
      <c r="C31" s="846" t="s">
        <v>805</v>
      </c>
      <c r="D31" s="835" t="s">
        <v>806</v>
      </c>
      <c r="E31" s="835"/>
      <c r="F31" s="836"/>
      <c r="G31" s="836"/>
      <c r="H31" s="836"/>
      <c r="I31" s="835" t="s">
        <v>817</v>
      </c>
      <c r="J31" s="836"/>
      <c r="K31" s="835"/>
      <c r="L31" s="836"/>
      <c r="M31" s="835"/>
      <c r="N31" s="836">
        <v>7030536</v>
      </c>
      <c r="O31" s="837">
        <v>11060039</v>
      </c>
      <c r="Q31" s="205" t="s">
        <v>818</v>
      </c>
    </row>
    <row r="32" spans="2:19" ht="24" customHeight="1" thickBot="1">
      <c r="B32" s="1711"/>
      <c r="C32" s="838"/>
      <c r="D32" s="830" t="s">
        <v>806</v>
      </c>
      <c r="E32" s="830"/>
      <c r="F32" s="831"/>
      <c r="G32" s="831"/>
      <c r="H32" s="831"/>
      <c r="I32" s="830" t="s">
        <v>807</v>
      </c>
      <c r="J32" s="831"/>
      <c r="K32" s="830"/>
      <c r="L32" s="831"/>
      <c r="M32" s="830"/>
      <c r="N32" s="831" t="s">
        <v>542</v>
      </c>
      <c r="O32" s="832">
        <v>11060038</v>
      </c>
      <c r="P32" s="205"/>
      <c r="Q32" s="205" t="s">
        <v>808</v>
      </c>
    </row>
    <row r="33" spans="2:20" ht="33.75">
      <c r="B33" s="1716"/>
      <c r="C33" s="822" t="s">
        <v>876</v>
      </c>
      <c r="D33" s="823" t="s">
        <v>806</v>
      </c>
      <c r="E33" s="823" t="s">
        <v>877</v>
      </c>
      <c r="F33" s="824" t="s">
        <v>878</v>
      </c>
      <c r="G33" s="824" t="s">
        <v>879</v>
      </c>
      <c r="H33" s="824" t="s">
        <v>812</v>
      </c>
      <c r="I33" s="823" t="s">
        <v>799</v>
      </c>
      <c r="J33" s="824"/>
      <c r="K33" s="823" t="s">
        <v>800</v>
      </c>
      <c r="L33" s="824" t="s">
        <v>880</v>
      </c>
      <c r="M33" s="823" t="s">
        <v>881</v>
      </c>
      <c r="N33" s="824">
        <v>1045091</v>
      </c>
      <c r="O33" s="826">
        <v>11060117</v>
      </c>
      <c r="Q33" s="205" t="s">
        <v>882</v>
      </c>
      <c r="R33" s="827">
        <f>N34</f>
        <v>6033671</v>
      </c>
      <c r="S33" s="827" t="str">
        <f>N35</f>
        <v xml:space="preserve">MU00432 </v>
      </c>
      <c r="T33" s="827" t="str">
        <f>N36</f>
        <v>MU01478</v>
      </c>
    </row>
    <row r="34" spans="2:20" ht="22.5">
      <c r="B34" s="1716"/>
      <c r="C34" s="834" t="s">
        <v>883</v>
      </c>
      <c r="D34" s="835" t="s">
        <v>806</v>
      </c>
      <c r="E34" s="835"/>
      <c r="F34" s="836"/>
      <c r="G34" s="847"/>
      <c r="H34" s="847"/>
      <c r="I34" s="835" t="s">
        <v>884</v>
      </c>
      <c r="J34" s="847"/>
      <c r="K34" s="835"/>
      <c r="L34" s="836"/>
      <c r="M34" s="835"/>
      <c r="N34" s="836">
        <v>6033671</v>
      </c>
      <c r="O34" s="837">
        <v>11060120</v>
      </c>
      <c r="Q34" s="205" t="s">
        <v>885</v>
      </c>
    </row>
    <row r="35" spans="2:20" ht="24" customHeight="1">
      <c r="B35" s="1716"/>
      <c r="C35" s="846"/>
      <c r="D35" s="835" t="s">
        <v>806</v>
      </c>
      <c r="E35" s="835"/>
      <c r="F35" s="836"/>
      <c r="G35" s="836"/>
      <c r="H35" s="836"/>
      <c r="I35" s="835" t="s">
        <v>856</v>
      </c>
      <c r="J35" s="836"/>
      <c r="K35" s="835"/>
      <c r="L35" s="836"/>
      <c r="M35" s="835"/>
      <c r="N35" s="836" t="s">
        <v>776</v>
      </c>
      <c r="O35" s="837">
        <v>11060096</v>
      </c>
      <c r="Q35" s="205" t="s">
        <v>857</v>
      </c>
    </row>
    <row r="36" spans="2:20" ht="24" customHeight="1" thickBot="1">
      <c r="B36" s="1717"/>
      <c r="C36" s="838"/>
      <c r="D36" s="830" t="s">
        <v>806</v>
      </c>
      <c r="E36" s="830"/>
      <c r="F36" s="831"/>
      <c r="G36" s="831"/>
      <c r="H36" s="831"/>
      <c r="I36" s="830" t="s">
        <v>886</v>
      </c>
      <c r="J36" s="831"/>
      <c r="K36" s="830"/>
      <c r="L36" s="831"/>
      <c r="M36" s="830"/>
      <c r="N36" s="831" t="s">
        <v>542</v>
      </c>
      <c r="O36" s="832">
        <v>11060038</v>
      </c>
      <c r="P36" s="205"/>
      <c r="Q36" s="205" t="s">
        <v>808</v>
      </c>
    </row>
    <row r="37" spans="2:20" ht="9" customHeight="1" thickBot="1">
      <c r="B37" s="848"/>
      <c r="C37" s="835"/>
      <c r="D37" s="835"/>
      <c r="E37" s="835"/>
      <c r="F37" s="836"/>
      <c r="G37" s="836"/>
      <c r="H37" s="836"/>
      <c r="I37" s="835"/>
      <c r="J37" s="836"/>
      <c r="K37" s="835"/>
      <c r="L37" s="836"/>
      <c r="M37" s="835"/>
      <c r="N37" s="836"/>
      <c r="O37" s="843"/>
    </row>
    <row r="38" spans="2:20" ht="53.25" customHeight="1">
      <c r="B38" s="1718" t="s">
        <v>887</v>
      </c>
      <c r="C38" s="849" t="s">
        <v>888</v>
      </c>
      <c r="D38" s="823" t="s">
        <v>806</v>
      </c>
      <c r="E38" s="823" t="s">
        <v>827</v>
      </c>
      <c r="F38" s="873" t="s">
        <v>889</v>
      </c>
      <c r="G38" s="873" t="s">
        <v>890</v>
      </c>
      <c r="H38" s="873" t="s">
        <v>791</v>
      </c>
      <c r="I38" s="823" t="s">
        <v>891</v>
      </c>
      <c r="J38" s="850"/>
      <c r="K38" s="823"/>
      <c r="L38" s="824"/>
      <c r="M38" s="851" t="s">
        <v>892</v>
      </c>
      <c r="N38" s="824">
        <v>6029517</v>
      </c>
      <c r="O38" s="826">
        <v>11060103</v>
      </c>
      <c r="Q38" s="205" t="s">
        <v>893</v>
      </c>
      <c r="R38" s="827" t="str">
        <f>N39</f>
        <v xml:space="preserve">MU00091 </v>
      </c>
      <c r="S38" s="827">
        <f>N40</f>
        <v>5308074</v>
      </c>
    </row>
    <row r="39" spans="2:20" ht="26.25" customHeight="1">
      <c r="B39" s="1719"/>
      <c r="C39" s="852" t="s">
        <v>894</v>
      </c>
      <c r="D39" s="835" t="s">
        <v>806</v>
      </c>
      <c r="E39" s="835"/>
      <c r="F39" s="836"/>
      <c r="G39" s="836"/>
      <c r="H39" s="836"/>
      <c r="I39" s="835" t="s">
        <v>848</v>
      </c>
      <c r="J39" s="836"/>
      <c r="K39" s="835"/>
      <c r="L39" s="836"/>
      <c r="M39" s="835"/>
      <c r="N39" s="836" t="s">
        <v>538</v>
      </c>
      <c r="O39" s="837">
        <v>11020004</v>
      </c>
      <c r="Q39" s="205" t="s">
        <v>849</v>
      </c>
    </row>
    <row r="40" spans="2:20" ht="47.25" customHeight="1" thickBot="1">
      <c r="B40" s="1720"/>
      <c r="C40" s="853" t="s">
        <v>895</v>
      </c>
      <c r="D40" s="830" t="s">
        <v>806</v>
      </c>
      <c r="E40" s="830"/>
      <c r="F40" s="854"/>
      <c r="G40" s="855"/>
      <c r="H40" s="855"/>
      <c r="I40" s="830" t="s">
        <v>896</v>
      </c>
      <c r="J40" s="855"/>
      <c r="K40" s="830"/>
      <c r="L40" s="831"/>
      <c r="M40" s="856" t="s">
        <v>897</v>
      </c>
      <c r="N40" s="831">
        <v>5308074</v>
      </c>
      <c r="O40" s="832">
        <v>11060045</v>
      </c>
      <c r="Q40" s="205" t="s">
        <v>898</v>
      </c>
    </row>
    <row r="41" spans="2:20" s="844" customFormat="1" ht="6.75" customHeight="1" thickBot="1">
      <c r="B41" s="842"/>
      <c r="C41" s="835"/>
      <c r="D41" s="835"/>
      <c r="E41" s="835"/>
      <c r="F41" s="836"/>
      <c r="G41" s="836"/>
      <c r="H41" s="836"/>
      <c r="I41" s="835"/>
      <c r="J41" s="836"/>
      <c r="K41" s="835"/>
      <c r="L41" s="836"/>
      <c r="M41" s="835"/>
      <c r="N41" s="836"/>
      <c r="O41" s="843"/>
    </row>
    <row r="42" spans="2:20" s="844" customFormat="1" ht="12" hidden="1" customHeight="1" thickBot="1">
      <c r="B42" s="842"/>
      <c r="C42" s="835"/>
      <c r="D42" s="835"/>
      <c r="E42" s="835"/>
      <c r="F42" s="836"/>
      <c r="G42" s="836" t="e">
        <v>#N/A</v>
      </c>
      <c r="H42" s="836"/>
      <c r="I42" s="835"/>
      <c r="J42" s="836"/>
      <c r="K42" s="835"/>
      <c r="L42" s="836"/>
      <c r="M42" s="835"/>
      <c r="N42" s="836"/>
      <c r="O42" s="843"/>
    </row>
    <row r="43" spans="2:20" ht="39" customHeight="1">
      <c r="B43" s="1710" t="s">
        <v>899</v>
      </c>
      <c r="C43" s="822" t="s">
        <v>900</v>
      </c>
      <c r="D43" s="823" t="s">
        <v>806</v>
      </c>
      <c r="E43" s="823" t="s">
        <v>901</v>
      </c>
      <c r="F43" s="824" t="s">
        <v>902</v>
      </c>
      <c r="G43" s="824" t="s">
        <v>903</v>
      </c>
      <c r="H43" s="824" t="s">
        <v>790</v>
      </c>
      <c r="I43" s="823" t="s">
        <v>799</v>
      </c>
      <c r="J43" s="840"/>
      <c r="K43" s="823" t="s">
        <v>822</v>
      </c>
      <c r="L43" s="824"/>
      <c r="M43" s="823" t="s">
        <v>904</v>
      </c>
      <c r="N43" s="824">
        <v>6034888</v>
      </c>
      <c r="O43" s="826">
        <v>11060110</v>
      </c>
      <c r="Q43" s="205" t="s">
        <v>905</v>
      </c>
      <c r="R43" s="827" t="str">
        <f>N44</f>
        <v xml:space="preserve">MU00432 </v>
      </c>
    </row>
    <row r="44" spans="2:20" ht="25.5" customHeight="1" thickBot="1">
      <c r="B44" s="1712"/>
      <c r="C44" s="838" t="s">
        <v>906</v>
      </c>
      <c r="D44" s="830" t="s">
        <v>806</v>
      </c>
      <c r="E44" s="830"/>
      <c r="F44" s="831"/>
      <c r="G44" s="831"/>
      <c r="H44" s="831"/>
      <c r="I44" s="830" t="s">
        <v>856</v>
      </c>
      <c r="J44" s="831"/>
      <c r="K44" s="830"/>
      <c r="L44" s="831"/>
      <c r="M44" s="830"/>
      <c r="N44" s="831" t="s">
        <v>776</v>
      </c>
      <c r="O44" s="832">
        <v>11060096</v>
      </c>
      <c r="Q44" s="205" t="s">
        <v>857</v>
      </c>
    </row>
    <row r="45" spans="2:20" ht="13.5" thickBot="1">
      <c r="G45" s="813"/>
      <c r="H45" s="813"/>
      <c r="M45" s="857"/>
      <c r="N45" s="858"/>
      <c r="O45" s="859"/>
    </row>
    <row r="46" spans="2:20" ht="33.75" customHeight="1">
      <c r="B46" s="1710" t="s">
        <v>907</v>
      </c>
      <c r="C46" s="822" t="s">
        <v>908</v>
      </c>
      <c r="D46" s="823" t="s">
        <v>806</v>
      </c>
      <c r="E46" s="823" t="s">
        <v>909</v>
      </c>
      <c r="F46" s="824" t="s">
        <v>910</v>
      </c>
      <c r="G46" s="824" t="s">
        <v>911</v>
      </c>
      <c r="H46" s="824" t="s">
        <v>812</v>
      </c>
      <c r="I46" s="823" t="s">
        <v>799</v>
      </c>
      <c r="J46" s="824"/>
      <c r="K46" s="823" t="s">
        <v>800</v>
      </c>
      <c r="L46" s="824" t="s">
        <v>912</v>
      </c>
      <c r="M46" s="823" t="s">
        <v>913</v>
      </c>
      <c r="N46" s="824" t="s">
        <v>914</v>
      </c>
      <c r="O46" s="826">
        <v>1106121</v>
      </c>
      <c r="R46" s="827" t="str">
        <f>N47</f>
        <v xml:space="preserve">MU00432 </v>
      </c>
      <c r="S46" s="827" t="str">
        <f>N48</f>
        <v>MU01478</v>
      </c>
    </row>
    <row r="47" spans="2:20" ht="24" customHeight="1">
      <c r="B47" s="1711"/>
      <c r="C47" s="834" t="s">
        <v>883</v>
      </c>
      <c r="D47" s="835"/>
      <c r="E47" s="835"/>
      <c r="F47" s="836"/>
      <c r="G47" s="836"/>
      <c r="H47" s="836"/>
      <c r="I47" s="835" t="s">
        <v>817</v>
      </c>
      <c r="J47" s="836"/>
      <c r="K47" s="835"/>
      <c r="L47" s="836"/>
      <c r="M47" s="835"/>
      <c r="N47" s="836" t="s">
        <v>776</v>
      </c>
      <c r="O47" s="837">
        <v>11060096</v>
      </c>
      <c r="Q47" s="205" t="s">
        <v>857</v>
      </c>
    </row>
    <row r="48" spans="2:20" ht="26.25" customHeight="1" thickBot="1">
      <c r="B48" s="1711"/>
      <c r="C48" s="846"/>
      <c r="D48" s="835"/>
      <c r="E48" s="835"/>
      <c r="F48" s="836"/>
      <c r="G48" s="836"/>
      <c r="H48" s="836"/>
      <c r="I48" s="835" t="s">
        <v>807</v>
      </c>
      <c r="J48" s="836"/>
      <c r="K48" s="835"/>
      <c r="L48" s="836"/>
      <c r="M48" s="835"/>
      <c r="N48" s="831" t="s">
        <v>542</v>
      </c>
      <c r="O48" s="837">
        <v>11060038</v>
      </c>
      <c r="P48" s="205"/>
      <c r="Q48" s="205" t="s">
        <v>808</v>
      </c>
    </row>
    <row r="49" spans="2:22" ht="33" customHeight="1">
      <c r="B49" s="1711"/>
      <c r="C49" s="822" t="s">
        <v>915</v>
      </c>
      <c r="D49" s="823" t="s">
        <v>806</v>
      </c>
      <c r="E49" s="823" t="s">
        <v>909</v>
      </c>
      <c r="F49" s="824" t="s">
        <v>910</v>
      </c>
      <c r="G49" s="824" t="s">
        <v>911</v>
      </c>
      <c r="H49" s="824" t="s">
        <v>812</v>
      </c>
      <c r="I49" s="823" t="s">
        <v>799</v>
      </c>
      <c r="J49" s="824"/>
      <c r="K49" s="823" t="s">
        <v>800</v>
      </c>
      <c r="L49" s="824" t="s">
        <v>912</v>
      </c>
      <c r="M49" s="823" t="s">
        <v>916</v>
      </c>
      <c r="N49" s="824" t="s">
        <v>917</v>
      </c>
      <c r="O49" s="826">
        <v>11060106</v>
      </c>
      <c r="Q49" s="205" t="s">
        <v>918</v>
      </c>
      <c r="R49" s="827" t="str">
        <f>N50</f>
        <v xml:space="preserve">MU00432 </v>
      </c>
      <c r="S49" s="827" t="str">
        <f>N51</f>
        <v>MU01478</v>
      </c>
    </row>
    <row r="50" spans="2:22" ht="28.5" customHeight="1">
      <c r="B50" s="1711"/>
      <c r="C50" s="834" t="s">
        <v>883</v>
      </c>
      <c r="D50" s="835" t="s">
        <v>806</v>
      </c>
      <c r="E50" s="835"/>
      <c r="F50" s="836"/>
      <c r="G50" s="836"/>
      <c r="H50" s="836"/>
      <c r="I50" s="835" t="s">
        <v>817</v>
      </c>
      <c r="J50" s="836"/>
      <c r="K50" s="835"/>
      <c r="L50" s="836"/>
      <c r="M50" s="835"/>
      <c r="N50" s="836" t="s">
        <v>776</v>
      </c>
      <c r="O50" s="837">
        <v>11060096</v>
      </c>
      <c r="Q50" s="205" t="s">
        <v>857</v>
      </c>
    </row>
    <row r="51" spans="2:22" ht="28.5" customHeight="1" thickBot="1">
      <c r="B51" s="1711"/>
      <c r="C51" s="838"/>
      <c r="D51" s="830" t="s">
        <v>806</v>
      </c>
      <c r="E51" s="830"/>
      <c r="F51" s="831"/>
      <c r="G51" s="831"/>
      <c r="H51" s="831"/>
      <c r="I51" s="830" t="s">
        <v>807</v>
      </c>
      <c r="J51" s="831"/>
      <c r="K51" s="830"/>
      <c r="L51" s="831"/>
      <c r="M51" s="830"/>
      <c r="N51" s="831" t="s">
        <v>542</v>
      </c>
      <c r="O51" s="832">
        <v>11060038</v>
      </c>
      <c r="P51" s="205"/>
      <c r="Q51" s="205" t="s">
        <v>808</v>
      </c>
    </row>
    <row r="52" spans="2:22" ht="33.75" customHeight="1">
      <c r="B52" s="1711"/>
      <c r="C52" s="822" t="s">
        <v>919</v>
      </c>
      <c r="D52" s="823" t="s">
        <v>806</v>
      </c>
      <c r="E52" s="823" t="s">
        <v>909</v>
      </c>
      <c r="F52" s="824" t="s">
        <v>920</v>
      </c>
      <c r="G52" s="824" t="s">
        <v>911</v>
      </c>
      <c r="H52" s="824" t="s">
        <v>812</v>
      </c>
      <c r="I52" s="823" t="s">
        <v>799</v>
      </c>
      <c r="J52" s="824"/>
      <c r="K52" s="823" t="s">
        <v>800</v>
      </c>
      <c r="L52" s="824" t="s">
        <v>912</v>
      </c>
      <c r="M52" s="823" t="s">
        <v>921</v>
      </c>
      <c r="N52" s="824" t="s">
        <v>922</v>
      </c>
      <c r="O52" s="826">
        <v>11060123</v>
      </c>
      <c r="R52" s="827" t="str">
        <f>N53</f>
        <v xml:space="preserve">MU00432 </v>
      </c>
      <c r="S52" s="827" t="str">
        <f>N54</f>
        <v>MU01478</v>
      </c>
      <c r="U52" s="860"/>
      <c r="V52" s="860"/>
    </row>
    <row r="53" spans="2:22" ht="28.5" customHeight="1">
      <c r="B53" s="1711"/>
      <c r="C53" s="834" t="s">
        <v>883</v>
      </c>
      <c r="D53" s="835" t="s">
        <v>806</v>
      </c>
      <c r="E53" s="835"/>
      <c r="F53" s="836"/>
      <c r="G53" s="836"/>
      <c r="H53" s="836"/>
      <c r="I53" s="835" t="s">
        <v>817</v>
      </c>
      <c r="J53" s="836"/>
      <c r="K53" s="835"/>
      <c r="L53" s="836"/>
      <c r="M53" s="835"/>
      <c r="N53" s="836" t="s">
        <v>776</v>
      </c>
      <c r="O53" s="837">
        <v>11060096</v>
      </c>
      <c r="U53" s="860"/>
      <c r="V53" s="860"/>
    </row>
    <row r="54" spans="2:22" ht="28.5" customHeight="1" thickBot="1">
      <c r="B54" s="1711"/>
      <c r="C54" s="838"/>
      <c r="D54" s="830" t="s">
        <v>806</v>
      </c>
      <c r="E54" s="830"/>
      <c r="F54" s="831"/>
      <c r="G54" s="831"/>
      <c r="H54" s="831"/>
      <c r="I54" s="830" t="s">
        <v>807</v>
      </c>
      <c r="J54" s="831"/>
      <c r="K54" s="830"/>
      <c r="L54" s="831"/>
      <c r="M54" s="830"/>
      <c r="N54" s="831" t="s">
        <v>542</v>
      </c>
      <c r="O54" s="832">
        <v>11060038</v>
      </c>
      <c r="P54" s="205"/>
      <c r="Q54" s="205" t="s">
        <v>808</v>
      </c>
      <c r="U54" s="860"/>
      <c r="V54" s="860"/>
    </row>
    <row r="55" spans="2:22" ht="50.25" customHeight="1">
      <c r="B55" s="1711"/>
      <c r="C55" s="822" t="s">
        <v>923</v>
      </c>
      <c r="D55" s="823" t="s">
        <v>806</v>
      </c>
      <c r="E55" s="823" t="s">
        <v>909</v>
      </c>
      <c r="F55" s="824" t="s">
        <v>910</v>
      </c>
      <c r="G55" s="824" t="s">
        <v>911</v>
      </c>
      <c r="H55" s="824" t="s">
        <v>812</v>
      </c>
      <c r="I55" s="823" t="s">
        <v>799</v>
      </c>
      <c r="J55" s="824"/>
      <c r="K55" s="823" t="s">
        <v>800</v>
      </c>
      <c r="L55" s="824" t="s">
        <v>924</v>
      </c>
      <c r="M55" s="823" t="s">
        <v>925</v>
      </c>
      <c r="N55" s="824">
        <v>1026244</v>
      </c>
      <c r="O55" s="826">
        <v>11060124</v>
      </c>
      <c r="R55" s="827" t="str">
        <f>N56</f>
        <v xml:space="preserve">MU00432 </v>
      </c>
      <c r="S55" s="827" t="str">
        <f>N57</f>
        <v>MU01478</v>
      </c>
      <c r="U55" s="860"/>
      <c r="V55" s="860"/>
    </row>
    <row r="56" spans="2:22" ht="28.5" customHeight="1">
      <c r="B56" s="1711"/>
      <c r="C56" s="834" t="s">
        <v>883</v>
      </c>
      <c r="D56" s="835" t="s">
        <v>806</v>
      </c>
      <c r="E56" s="835"/>
      <c r="F56" s="836"/>
      <c r="G56" s="836"/>
      <c r="H56" s="836"/>
      <c r="I56" s="835" t="s">
        <v>817</v>
      </c>
      <c r="J56" s="836"/>
      <c r="K56" s="835"/>
      <c r="L56" s="836"/>
      <c r="M56" s="835"/>
      <c r="N56" s="836" t="s">
        <v>776</v>
      </c>
      <c r="O56" s="837">
        <v>11060096</v>
      </c>
      <c r="Q56" s="205" t="s">
        <v>857</v>
      </c>
    </row>
    <row r="57" spans="2:22" ht="28.5" customHeight="1" thickBot="1">
      <c r="B57" s="1712"/>
      <c r="C57" s="838"/>
      <c r="D57" s="830" t="s">
        <v>806</v>
      </c>
      <c r="E57" s="830"/>
      <c r="F57" s="831"/>
      <c r="G57" s="831"/>
      <c r="H57" s="831"/>
      <c r="I57" s="830" t="s">
        <v>807</v>
      </c>
      <c r="J57" s="831"/>
      <c r="K57" s="830"/>
      <c r="L57" s="831"/>
      <c r="M57" s="830"/>
      <c r="N57" s="831" t="s">
        <v>542</v>
      </c>
      <c r="O57" s="832">
        <v>11060038</v>
      </c>
      <c r="P57" s="205"/>
      <c r="Q57" s="205" t="s">
        <v>808</v>
      </c>
    </row>
    <row r="58" spans="2:22" ht="13.5" thickBot="1">
      <c r="G58" s="813"/>
      <c r="H58" s="813"/>
      <c r="M58" s="857"/>
      <c r="N58" s="858"/>
      <c r="O58" s="859"/>
    </row>
    <row r="59" spans="2:22" ht="31.5" customHeight="1">
      <c r="B59" s="1710" t="s">
        <v>926</v>
      </c>
      <c r="C59" s="822" t="s">
        <v>927</v>
      </c>
      <c r="D59" s="823" t="s">
        <v>806</v>
      </c>
      <c r="E59" s="823" t="s">
        <v>827</v>
      </c>
      <c r="F59" s="824" t="s">
        <v>928</v>
      </c>
      <c r="G59" s="824" t="s">
        <v>929</v>
      </c>
      <c r="H59" s="824" t="s">
        <v>812</v>
      </c>
      <c r="I59" s="823" t="s">
        <v>799</v>
      </c>
      <c r="J59" s="824"/>
      <c r="K59" s="823"/>
      <c r="L59" s="824" t="s">
        <v>930</v>
      </c>
      <c r="M59" s="823" t="s">
        <v>931</v>
      </c>
      <c r="N59" s="824">
        <v>6028430</v>
      </c>
      <c r="O59" s="826">
        <v>11060118</v>
      </c>
      <c r="R59" s="827" t="str">
        <f>N60</f>
        <v xml:space="preserve">MU00432 </v>
      </c>
      <c r="S59" s="827" t="str">
        <f>N61</f>
        <v>MU01478</v>
      </c>
    </row>
    <row r="60" spans="2:22" ht="31.5" customHeight="1">
      <c r="B60" s="1711"/>
      <c r="C60" s="834" t="s">
        <v>932</v>
      </c>
      <c r="D60" s="835" t="s">
        <v>806</v>
      </c>
      <c r="E60" s="835"/>
      <c r="F60" s="836"/>
      <c r="G60" s="836"/>
      <c r="H60" s="836"/>
      <c r="I60" s="835" t="s">
        <v>856</v>
      </c>
      <c r="J60" s="836"/>
      <c r="K60" s="835"/>
      <c r="L60" s="836"/>
      <c r="M60" s="835"/>
      <c r="N60" s="836" t="s">
        <v>776</v>
      </c>
      <c r="O60" s="837">
        <v>11060096</v>
      </c>
      <c r="P60" s="205"/>
      <c r="Q60" s="205" t="s">
        <v>857</v>
      </c>
    </row>
    <row r="61" spans="2:22" ht="28.5" customHeight="1" thickBot="1">
      <c r="B61" s="1712"/>
      <c r="C61" s="838"/>
      <c r="D61" s="830" t="s">
        <v>806</v>
      </c>
      <c r="E61" s="830"/>
      <c r="F61" s="831"/>
      <c r="G61" s="831"/>
      <c r="H61" s="831"/>
      <c r="I61" s="830" t="s">
        <v>886</v>
      </c>
      <c r="J61" s="831"/>
      <c r="K61" s="830"/>
      <c r="L61" s="831"/>
      <c r="M61" s="830"/>
      <c r="N61" s="831" t="s">
        <v>542</v>
      </c>
      <c r="O61" s="832">
        <v>11060038</v>
      </c>
      <c r="P61" s="205"/>
      <c r="Q61" s="205" t="s">
        <v>808</v>
      </c>
    </row>
    <row r="62" spans="2:22" ht="13.5" thickBot="1">
      <c r="G62" s="813"/>
      <c r="H62" s="813"/>
      <c r="M62" s="857"/>
      <c r="N62" s="858"/>
      <c r="O62" s="859"/>
    </row>
    <row r="63" spans="2:22" ht="45">
      <c r="B63" s="1707" t="s">
        <v>933</v>
      </c>
      <c r="C63" s="861" t="s">
        <v>934</v>
      </c>
      <c r="D63" s="823" t="s">
        <v>806</v>
      </c>
      <c r="E63" s="823" t="s">
        <v>935</v>
      </c>
      <c r="F63" s="824" t="s">
        <v>797</v>
      </c>
      <c r="G63" s="824" t="s">
        <v>936</v>
      </c>
      <c r="H63" s="824" t="s">
        <v>812</v>
      </c>
      <c r="I63" s="823" t="s">
        <v>813</v>
      </c>
      <c r="J63" s="824"/>
      <c r="K63" s="823" t="s">
        <v>800</v>
      </c>
      <c r="L63" s="824"/>
      <c r="M63" s="823" t="s">
        <v>937</v>
      </c>
      <c r="N63" s="824">
        <v>6022834</v>
      </c>
      <c r="O63" s="826">
        <v>11060119</v>
      </c>
      <c r="Q63" s="205" t="s">
        <v>938</v>
      </c>
      <c r="R63" s="827" t="str">
        <f>N64</f>
        <v xml:space="preserve">MU00432 </v>
      </c>
      <c r="S63" s="827" t="str">
        <f>N65</f>
        <v xml:space="preserve">MU00041 </v>
      </c>
    </row>
    <row r="64" spans="2:22" ht="28.5" customHeight="1">
      <c r="B64" s="1708"/>
      <c r="C64" s="862" t="s">
        <v>805</v>
      </c>
      <c r="D64" s="835" t="s">
        <v>806</v>
      </c>
      <c r="E64" s="835"/>
      <c r="F64" s="836"/>
      <c r="G64" s="836"/>
      <c r="H64" s="836"/>
      <c r="I64" s="835" t="s">
        <v>856</v>
      </c>
      <c r="J64" s="836"/>
      <c r="K64" s="835"/>
      <c r="L64" s="836"/>
      <c r="M64" s="835"/>
      <c r="N64" s="836" t="s">
        <v>776</v>
      </c>
      <c r="O64" s="837">
        <v>11060096</v>
      </c>
      <c r="Q64" s="205" t="s">
        <v>857</v>
      </c>
    </row>
    <row r="65" spans="2:20" ht="28.5" customHeight="1" thickBot="1">
      <c r="B65" s="1709"/>
      <c r="C65" s="830"/>
      <c r="D65" s="830" t="s">
        <v>806</v>
      </c>
      <c r="E65" s="830"/>
      <c r="F65" s="831"/>
      <c r="G65" s="831"/>
      <c r="H65" s="831"/>
      <c r="I65" s="830" t="s">
        <v>886</v>
      </c>
      <c r="J65" s="831"/>
      <c r="K65" s="830"/>
      <c r="L65" s="831"/>
      <c r="M65" s="830"/>
      <c r="N65" s="831" t="s">
        <v>939</v>
      </c>
      <c r="O65" s="832">
        <v>11060046</v>
      </c>
      <c r="Q65" s="205" t="s">
        <v>940</v>
      </c>
    </row>
    <row r="66" spans="2:20" ht="13.5" thickBot="1">
      <c r="G66" s="813"/>
      <c r="H66" s="813"/>
      <c r="I66" s="857"/>
      <c r="J66" s="813"/>
      <c r="K66" s="857"/>
      <c r="M66" s="857"/>
      <c r="N66" s="858"/>
      <c r="O66" s="863"/>
    </row>
    <row r="67" spans="2:20" ht="22.5">
      <c r="B67" s="1710" t="s">
        <v>27</v>
      </c>
      <c r="C67" s="822" t="s">
        <v>87</v>
      </c>
      <c r="D67" s="823" t="s">
        <v>806</v>
      </c>
      <c r="E67" s="823" t="s">
        <v>941</v>
      </c>
      <c r="F67" s="824"/>
      <c r="G67" s="824"/>
      <c r="H67" s="824" t="s">
        <v>942</v>
      </c>
      <c r="I67" s="823" t="s">
        <v>799</v>
      </c>
      <c r="J67" s="824"/>
      <c r="K67" s="823"/>
      <c r="L67" s="824" t="s">
        <v>943</v>
      </c>
      <c r="M67" s="823" t="s">
        <v>944</v>
      </c>
      <c r="N67" s="824" t="s">
        <v>88</v>
      </c>
      <c r="O67" s="826">
        <v>11050023</v>
      </c>
      <c r="P67" s="811"/>
      <c r="Q67" s="205" t="s">
        <v>945</v>
      </c>
      <c r="R67" s="827" t="str">
        <f>N68</f>
        <v>6032867</v>
      </c>
      <c r="S67" s="827" t="str">
        <f>N69</f>
        <v>6032868</v>
      </c>
      <c r="T67" s="811"/>
    </row>
    <row r="68" spans="2:20">
      <c r="B68" s="1711"/>
      <c r="C68" s="846"/>
      <c r="D68" s="835" t="s">
        <v>806</v>
      </c>
      <c r="E68" s="835"/>
      <c r="F68" s="836"/>
      <c r="G68" s="836"/>
      <c r="H68" s="836"/>
      <c r="I68" s="835" t="s">
        <v>946</v>
      </c>
      <c r="J68" s="836"/>
      <c r="K68" s="835"/>
      <c r="L68" s="836"/>
      <c r="M68" s="835"/>
      <c r="N68" s="836" t="s">
        <v>92</v>
      </c>
      <c r="O68" s="837" t="s">
        <v>91</v>
      </c>
      <c r="P68" s="811"/>
      <c r="Q68" s="205" t="s">
        <v>947</v>
      </c>
      <c r="R68" s="811"/>
      <c r="S68" s="811"/>
      <c r="T68" s="811"/>
    </row>
    <row r="69" spans="2:20" ht="13.5" thickBot="1">
      <c r="B69" s="1711"/>
      <c r="C69" s="846"/>
      <c r="D69" s="835" t="s">
        <v>806</v>
      </c>
      <c r="E69" s="835"/>
      <c r="F69" s="836"/>
      <c r="G69" s="836"/>
      <c r="H69" s="836"/>
      <c r="I69" s="835" t="s">
        <v>948</v>
      </c>
      <c r="J69" s="836"/>
      <c r="K69" s="835"/>
      <c r="L69" s="836"/>
      <c r="M69" s="835"/>
      <c r="N69" s="836" t="s">
        <v>93</v>
      </c>
      <c r="O69" s="837" t="s">
        <v>94</v>
      </c>
      <c r="P69" s="811"/>
      <c r="Q69" s="205" t="s">
        <v>949</v>
      </c>
      <c r="R69" s="811"/>
      <c r="S69" s="811"/>
      <c r="T69" s="811"/>
    </row>
    <row r="70" spans="2:20" ht="23.25" thickBot="1">
      <c r="B70" s="1711"/>
      <c r="C70" s="864" t="s">
        <v>950</v>
      </c>
      <c r="D70" s="865" t="s">
        <v>951</v>
      </c>
      <c r="E70" s="865" t="s">
        <v>941</v>
      </c>
      <c r="F70" s="866" t="s">
        <v>952</v>
      </c>
      <c r="G70" s="866"/>
      <c r="H70" s="866"/>
      <c r="I70" s="865" t="s">
        <v>950</v>
      </c>
      <c r="J70" s="866"/>
      <c r="K70" s="865"/>
      <c r="L70" s="866" t="s">
        <v>943</v>
      </c>
      <c r="M70" s="865"/>
      <c r="N70" s="866" t="s">
        <v>953</v>
      </c>
      <c r="O70" s="867" t="s">
        <v>954</v>
      </c>
      <c r="P70" s="811"/>
      <c r="Q70" s="205" t="s">
        <v>955</v>
      </c>
      <c r="R70" s="811"/>
      <c r="S70" s="811"/>
      <c r="T70" s="811"/>
    </row>
    <row r="71" spans="2:20" ht="22.5">
      <c r="B71" s="1711"/>
      <c r="C71" s="822" t="s">
        <v>956</v>
      </c>
      <c r="D71" s="823" t="s">
        <v>806</v>
      </c>
      <c r="E71" s="823" t="s">
        <v>941</v>
      </c>
      <c r="F71" s="824" t="s">
        <v>957</v>
      </c>
      <c r="G71" s="824" t="s">
        <v>958</v>
      </c>
      <c r="H71" s="824"/>
      <c r="I71" s="823" t="s">
        <v>959</v>
      </c>
      <c r="J71" s="824"/>
      <c r="K71" s="823"/>
      <c r="L71" s="824" t="s">
        <v>943</v>
      </c>
      <c r="M71" s="823"/>
      <c r="N71" s="824" t="s">
        <v>960</v>
      </c>
      <c r="O71" s="826" t="s">
        <v>752</v>
      </c>
      <c r="P71" s="811"/>
      <c r="Q71" s="205" t="s">
        <v>961</v>
      </c>
      <c r="R71" s="827"/>
      <c r="S71" s="827"/>
      <c r="T71" s="811"/>
    </row>
    <row r="72" spans="2:20" ht="22.5">
      <c r="B72" s="1711"/>
      <c r="C72" s="846"/>
      <c r="D72" s="835" t="s">
        <v>806</v>
      </c>
      <c r="E72" s="835"/>
      <c r="F72" s="836" t="s">
        <v>962</v>
      </c>
      <c r="G72" s="836" t="s">
        <v>963</v>
      </c>
      <c r="H72" s="836"/>
      <c r="I72" s="835" t="s">
        <v>964</v>
      </c>
      <c r="J72" s="836"/>
      <c r="K72" s="835"/>
      <c r="L72" s="836"/>
      <c r="M72" s="835"/>
      <c r="N72" s="836" t="s">
        <v>965</v>
      </c>
      <c r="O72" s="837" t="s">
        <v>966</v>
      </c>
      <c r="P72" s="811"/>
      <c r="Q72" s="205" t="s">
        <v>967</v>
      </c>
      <c r="R72" s="811"/>
      <c r="S72" s="811"/>
      <c r="T72" s="811"/>
    </row>
    <row r="73" spans="2:20" ht="23.25" thickBot="1">
      <c r="B73" s="1711"/>
      <c r="C73" s="838"/>
      <c r="D73" s="830" t="s">
        <v>806</v>
      </c>
      <c r="E73" s="830"/>
      <c r="F73" s="831"/>
      <c r="G73" s="831"/>
      <c r="H73" s="831"/>
      <c r="I73" s="830" t="s">
        <v>968</v>
      </c>
      <c r="J73" s="831"/>
      <c r="K73" s="830"/>
      <c r="L73" s="831"/>
      <c r="M73" s="830"/>
      <c r="N73" s="831" t="s">
        <v>969</v>
      </c>
      <c r="O73" s="832" t="s">
        <v>970</v>
      </c>
      <c r="P73" s="811"/>
      <c r="Q73" s="205" t="s">
        <v>971</v>
      </c>
      <c r="R73" s="811"/>
      <c r="S73" s="811"/>
      <c r="T73" s="811"/>
    </row>
    <row r="74" spans="2:20" ht="22.5">
      <c r="B74" s="1711"/>
      <c r="C74" s="1713" t="s">
        <v>972</v>
      </c>
      <c r="D74" s="823" t="s">
        <v>973</v>
      </c>
      <c r="E74" s="823" t="s">
        <v>941</v>
      </c>
      <c r="F74" s="824" t="s">
        <v>974</v>
      </c>
      <c r="G74" s="824"/>
      <c r="H74" s="824"/>
      <c r="I74" s="823" t="s">
        <v>975</v>
      </c>
      <c r="J74" s="824"/>
      <c r="K74" s="823"/>
      <c r="L74" s="824" t="s">
        <v>943</v>
      </c>
      <c r="M74" s="823"/>
      <c r="N74" s="824" t="s">
        <v>976</v>
      </c>
      <c r="O74" s="826" t="s">
        <v>754</v>
      </c>
      <c r="P74" s="811"/>
      <c r="Q74" s="205" t="s">
        <v>977</v>
      </c>
      <c r="R74" s="827"/>
      <c r="S74" s="827"/>
      <c r="T74" s="811"/>
    </row>
    <row r="75" spans="2:20" ht="22.5">
      <c r="B75" s="1711"/>
      <c r="C75" s="1714"/>
      <c r="D75" s="835" t="s">
        <v>978</v>
      </c>
      <c r="E75" s="835"/>
      <c r="F75" s="836" t="s">
        <v>979</v>
      </c>
      <c r="G75" s="836"/>
      <c r="H75" s="836"/>
      <c r="I75" s="835" t="s">
        <v>980</v>
      </c>
      <c r="J75" s="836"/>
      <c r="K75" s="835"/>
      <c r="L75" s="836"/>
      <c r="M75" s="835"/>
      <c r="N75" s="836" t="s">
        <v>981</v>
      </c>
      <c r="O75" s="837" t="s">
        <v>753</v>
      </c>
      <c r="P75" s="811"/>
      <c r="Q75" s="205" t="s">
        <v>982</v>
      </c>
      <c r="R75" s="811"/>
      <c r="S75" s="811"/>
      <c r="T75" s="811"/>
    </row>
    <row r="76" spans="2:20" ht="23.25" thickBot="1">
      <c r="B76" s="1712"/>
      <c r="C76" s="1715"/>
      <c r="D76" s="830" t="s">
        <v>978</v>
      </c>
      <c r="E76" s="830"/>
      <c r="F76" s="831" t="s">
        <v>979</v>
      </c>
      <c r="G76" s="831"/>
      <c r="H76" s="831"/>
      <c r="I76" s="830" t="s">
        <v>983</v>
      </c>
      <c r="J76" s="831"/>
      <c r="K76" s="830"/>
      <c r="L76" s="831"/>
      <c r="M76" s="830"/>
      <c r="N76" s="831" t="s">
        <v>544</v>
      </c>
      <c r="O76" s="832" t="s">
        <v>755</v>
      </c>
      <c r="P76" s="811"/>
      <c r="Q76" s="205" t="s">
        <v>984</v>
      </c>
      <c r="R76" s="811"/>
      <c r="S76" s="811"/>
      <c r="T76" s="811"/>
    </row>
    <row r="77" spans="2:20" ht="13.5" thickBot="1">
      <c r="G77" s="813"/>
      <c r="H77" s="813"/>
      <c r="I77" s="857"/>
      <c r="J77" s="813"/>
      <c r="K77" s="857"/>
      <c r="M77" s="857"/>
      <c r="N77" s="868"/>
      <c r="O77" s="813"/>
      <c r="P77" s="811"/>
      <c r="Q77" s="811"/>
      <c r="R77" s="811"/>
      <c r="S77" s="811"/>
      <c r="T77" s="811"/>
    </row>
    <row r="78" spans="2:20">
      <c r="B78" s="1710" t="s">
        <v>985</v>
      </c>
      <c r="C78" s="822" t="s">
        <v>986</v>
      </c>
      <c r="D78" s="823" t="s">
        <v>806</v>
      </c>
      <c r="E78" s="823" t="s">
        <v>987</v>
      </c>
      <c r="F78" s="824"/>
      <c r="G78" s="824"/>
      <c r="H78" s="824" t="s">
        <v>988</v>
      </c>
      <c r="I78" s="823"/>
      <c r="J78" s="824"/>
      <c r="K78" s="823"/>
      <c r="L78" s="824" t="s">
        <v>943</v>
      </c>
      <c r="M78" s="823" t="s">
        <v>989</v>
      </c>
      <c r="N78" s="824">
        <v>6007302</v>
      </c>
      <c r="O78" s="826">
        <v>11060042</v>
      </c>
      <c r="P78" s="811"/>
      <c r="Q78" s="205" t="s">
        <v>990</v>
      </c>
      <c r="R78" s="811"/>
      <c r="S78" s="811"/>
      <c r="T78" s="811"/>
    </row>
    <row r="79" spans="2:20" ht="22.5">
      <c r="B79" s="1711"/>
      <c r="C79" s="841" t="s">
        <v>991</v>
      </c>
      <c r="D79" s="835" t="s">
        <v>806</v>
      </c>
      <c r="E79" s="835" t="s">
        <v>987</v>
      </c>
      <c r="F79" s="836"/>
      <c r="G79" s="836"/>
      <c r="H79" s="836" t="s">
        <v>988</v>
      </c>
      <c r="I79" s="835"/>
      <c r="J79" s="836"/>
      <c r="K79" s="835"/>
      <c r="L79" s="836" t="s">
        <v>943</v>
      </c>
      <c r="M79" s="835" t="s">
        <v>992</v>
      </c>
      <c r="N79" s="836">
        <v>6009932</v>
      </c>
      <c r="O79" s="837">
        <v>11060049</v>
      </c>
      <c r="P79" s="811"/>
      <c r="Q79" s="205" t="s">
        <v>993</v>
      </c>
      <c r="R79" s="811"/>
      <c r="S79" s="811"/>
      <c r="T79" s="811"/>
    </row>
    <row r="80" spans="2:20">
      <c r="B80" s="1711"/>
      <c r="C80" s="841" t="s">
        <v>994</v>
      </c>
      <c r="D80" s="835" t="s">
        <v>995</v>
      </c>
      <c r="E80" s="835" t="s">
        <v>996</v>
      </c>
      <c r="F80" s="836"/>
      <c r="G80" s="836"/>
      <c r="H80" s="836" t="s">
        <v>988</v>
      </c>
      <c r="I80" s="835"/>
      <c r="J80" s="836"/>
      <c r="K80" s="835"/>
      <c r="L80" s="836" t="s">
        <v>943</v>
      </c>
      <c r="M80" s="835" t="s">
        <v>997</v>
      </c>
      <c r="N80" s="836" t="s">
        <v>998</v>
      </c>
      <c r="O80" s="837">
        <v>13080163</v>
      </c>
      <c r="P80" s="811"/>
      <c r="Q80" s="205" t="s">
        <v>999</v>
      </c>
      <c r="R80" s="811"/>
      <c r="S80" s="811"/>
      <c r="T80" s="811"/>
    </row>
    <row r="81" spans="2:20">
      <c r="B81" s="1711"/>
      <c r="C81" s="841" t="s">
        <v>1000</v>
      </c>
      <c r="D81" s="835" t="s">
        <v>995</v>
      </c>
      <c r="E81" s="835" t="s">
        <v>996</v>
      </c>
      <c r="F81" s="836"/>
      <c r="G81" s="836"/>
      <c r="H81" s="836" t="s">
        <v>988</v>
      </c>
      <c r="I81" s="835"/>
      <c r="J81" s="836"/>
      <c r="K81" s="835"/>
      <c r="L81" s="836" t="s">
        <v>943</v>
      </c>
      <c r="M81" s="835" t="s">
        <v>1001</v>
      </c>
      <c r="N81" s="836" t="s">
        <v>1002</v>
      </c>
      <c r="O81" s="837">
        <v>13080165</v>
      </c>
      <c r="P81" s="811"/>
      <c r="Q81" s="205" t="s">
        <v>1003</v>
      </c>
      <c r="R81" s="811"/>
      <c r="S81" s="811"/>
      <c r="T81" s="811"/>
    </row>
    <row r="82" spans="2:20" ht="13.5" thickBot="1">
      <c r="B82" s="1712"/>
      <c r="C82" s="839" t="s">
        <v>1004</v>
      </c>
      <c r="D82" s="830" t="s">
        <v>995</v>
      </c>
      <c r="E82" s="830" t="s">
        <v>996</v>
      </c>
      <c r="F82" s="831"/>
      <c r="G82" s="831"/>
      <c r="H82" s="831" t="s">
        <v>988</v>
      </c>
      <c r="I82" s="830"/>
      <c r="J82" s="831"/>
      <c r="K82" s="830"/>
      <c r="L82" s="831" t="s">
        <v>943</v>
      </c>
      <c r="M82" s="830" t="s">
        <v>1005</v>
      </c>
      <c r="N82" s="831" t="s">
        <v>1006</v>
      </c>
      <c r="O82" s="832">
        <v>13080164</v>
      </c>
      <c r="P82" s="811"/>
      <c r="Q82" s="205" t="s">
        <v>1007</v>
      </c>
      <c r="R82" s="811"/>
      <c r="S82" s="811"/>
      <c r="T82" s="811"/>
    </row>
    <row r="83" spans="2:20">
      <c r="O83" s="859"/>
      <c r="P83" s="811"/>
      <c r="Q83" s="811"/>
      <c r="R83" s="811"/>
      <c r="S83" s="811"/>
      <c r="T83" s="811"/>
    </row>
    <row r="84" spans="2:20">
      <c r="P84" s="811"/>
      <c r="Q84" s="811"/>
      <c r="R84" s="811"/>
      <c r="S84" s="811"/>
      <c r="T84" s="811"/>
    </row>
    <row r="85" spans="2:20">
      <c r="P85" s="811"/>
      <c r="Q85" s="811"/>
      <c r="R85" s="811"/>
      <c r="S85" s="811"/>
      <c r="T85" s="811"/>
    </row>
    <row r="86" spans="2:20">
      <c r="P86" s="811"/>
      <c r="Q86" s="811"/>
      <c r="R86" s="811"/>
      <c r="S86" s="811"/>
      <c r="T86" s="811"/>
    </row>
    <row r="87" spans="2:20">
      <c r="P87" s="811"/>
      <c r="Q87" s="811"/>
      <c r="R87" s="811"/>
      <c r="S87" s="811"/>
      <c r="T87" s="811"/>
    </row>
    <row r="88" spans="2:20">
      <c r="P88" s="811"/>
      <c r="Q88" s="811"/>
      <c r="R88" s="811"/>
      <c r="S88" s="811"/>
      <c r="T88" s="811"/>
    </row>
    <row r="89" spans="2:20">
      <c r="P89" s="811"/>
      <c r="Q89" s="811"/>
      <c r="R89" s="811"/>
      <c r="S89" s="811"/>
      <c r="T89" s="811"/>
    </row>
    <row r="90" spans="2:20">
      <c r="P90" s="811"/>
      <c r="Q90" s="811"/>
      <c r="R90" s="811"/>
      <c r="S90" s="811"/>
      <c r="T90" s="811"/>
    </row>
  </sheetData>
  <mergeCells count="10">
    <mergeCell ref="B63:B65"/>
    <mergeCell ref="B67:B76"/>
    <mergeCell ref="C74:C76"/>
    <mergeCell ref="B78:B82"/>
    <mergeCell ref="B4:B17"/>
    <mergeCell ref="B19:B36"/>
    <mergeCell ref="B38:B40"/>
    <mergeCell ref="B43:B44"/>
    <mergeCell ref="B46:B57"/>
    <mergeCell ref="B59:B61"/>
  </mergeCells>
  <pageMargins left="0.74803149606299213" right="0.74803149606299213" top="0.15748031496062992" bottom="0.19685039370078741" header="0.51181102362204722" footer="0.11811023622047245"/>
  <pageSetup paperSize="9" scale="56" fitToHeight="7" orientation="landscape" r:id="rId1"/>
  <headerFooter alignWithMargins="0">
    <oddFooter>&amp;L&amp;8Version 6&amp;R&amp;8Version 5</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theme="0"/>
  </sheetPr>
  <dimension ref="A1:N12"/>
  <sheetViews>
    <sheetView showGridLines="0" showRowColHeaders="0" topLeftCell="A9" workbookViewId="0">
      <selection activeCell="B13" sqref="B13"/>
    </sheetView>
  </sheetViews>
  <sheetFormatPr defaultRowHeight="12.75"/>
  <cols>
    <col min="1" max="1" width="9.140625" customWidth="1"/>
    <col min="2" max="2" width="13.28515625" style="2" customWidth="1"/>
    <col min="3" max="3" width="27.5703125" customWidth="1"/>
    <col min="4" max="4" width="10.7109375" customWidth="1"/>
    <col min="5" max="5" width="20.42578125" customWidth="1"/>
    <col min="6" max="6" width="11.7109375" customWidth="1"/>
  </cols>
  <sheetData>
    <row r="1" spans="1:14" ht="21" hidden="1" thickBot="1">
      <c r="A1" s="322" t="s">
        <v>289</v>
      </c>
      <c r="B1" s="324"/>
      <c r="C1" s="19"/>
      <c r="D1" s="19"/>
      <c r="E1" s="19"/>
      <c r="F1" s="19"/>
      <c r="G1" s="19"/>
      <c r="H1" s="19"/>
      <c r="I1" s="19"/>
      <c r="J1" s="19"/>
      <c r="K1" s="19"/>
      <c r="L1" s="19"/>
      <c r="M1" s="19"/>
      <c r="N1" s="19"/>
    </row>
    <row r="2" spans="1:14" ht="19.5" hidden="1" thickBot="1">
      <c r="B2" s="325"/>
      <c r="C2" s="320"/>
      <c r="D2" s="321"/>
      <c r="E2" s="320"/>
      <c r="F2" s="320"/>
      <c r="G2" s="320"/>
    </row>
    <row r="3" spans="1:14" ht="12.75" hidden="1" customHeight="1">
      <c r="B3" s="1721" t="s">
        <v>290</v>
      </c>
      <c r="C3" s="1721" t="s">
        <v>142</v>
      </c>
      <c r="D3" s="1721" t="s">
        <v>293</v>
      </c>
      <c r="E3" s="1721" t="s">
        <v>291</v>
      </c>
      <c r="F3" s="1726" t="s">
        <v>299</v>
      </c>
      <c r="G3" s="1723" t="s">
        <v>302</v>
      </c>
      <c r="H3" s="1724"/>
      <c r="I3" s="1725" t="s">
        <v>297</v>
      </c>
      <c r="J3" s="1724"/>
    </row>
    <row r="4" spans="1:14" ht="13.5" hidden="1" thickBot="1">
      <c r="B4" s="1722"/>
      <c r="C4" s="1722"/>
      <c r="D4" s="1722"/>
      <c r="E4" s="1722"/>
      <c r="F4" s="1727"/>
      <c r="G4" s="408" t="s">
        <v>300</v>
      </c>
      <c r="H4" s="409" t="s">
        <v>301</v>
      </c>
      <c r="I4" s="407" t="s">
        <v>300</v>
      </c>
      <c r="J4" s="409" t="s">
        <v>301</v>
      </c>
    </row>
    <row r="5" spans="1:14" hidden="1">
      <c r="B5" s="339" t="s">
        <v>564</v>
      </c>
      <c r="C5" s="340" t="s">
        <v>565</v>
      </c>
      <c r="D5" s="340" t="s">
        <v>292</v>
      </c>
      <c r="E5" s="341" t="s">
        <v>563</v>
      </c>
      <c r="F5" s="352">
        <v>0</v>
      </c>
      <c r="G5" s="410">
        <v>7.4999999999999997E-2</v>
      </c>
      <c r="H5" s="415">
        <v>0.125</v>
      </c>
      <c r="I5" s="406">
        <f t="shared" ref="I5:I6" si="0">F5+G5</f>
        <v>7.4999999999999997E-2</v>
      </c>
      <c r="J5" s="411">
        <f t="shared" ref="J5:J6" si="1">F5+H5</f>
        <v>0.125</v>
      </c>
      <c r="L5" s="323" t="s">
        <v>294</v>
      </c>
    </row>
    <row r="6" spans="1:14" hidden="1">
      <c r="B6" s="339" t="s">
        <v>566</v>
      </c>
      <c r="C6" s="340" t="s">
        <v>567</v>
      </c>
      <c r="D6" s="340" t="s">
        <v>292</v>
      </c>
      <c r="E6" s="341" t="s">
        <v>563</v>
      </c>
      <c r="F6" s="352">
        <v>0</v>
      </c>
      <c r="G6" s="410">
        <v>7.4999999999999997E-2</v>
      </c>
      <c r="H6" s="415">
        <v>0.125</v>
      </c>
      <c r="I6" s="406">
        <f t="shared" si="0"/>
        <v>7.4999999999999997E-2</v>
      </c>
      <c r="J6" s="411">
        <f t="shared" si="1"/>
        <v>0.125</v>
      </c>
    </row>
    <row r="7" spans="1:14" hidden="1">
      <c r="B7" s="339" t="s">
        <v>568</v>
      </c>
      <c r="C7" s="340" t="s">
        <v>569</v>
      </c>
      <c r="D7" s="340" t="s">
        <v>292</v>
      </c>
      <c r="E7" s="341" t="s">
        <v>563</v>
      </c>
      <c r="F7" s="352">
        <v>0</v>
      </c>
      <c r="G7" s="410">
        <v>7.4999999999999997E-2</v>
      </c>
      <c r="H7" s="415">
        <v>0.125</v>
      </c>
      <c r="I7" s="406">
        <f t="shared" ref="I7" si="2">F7+G7</f>
        <v>7.4999999999999997E-2</v>
      </c>
      <c r="J7" s="411">
        <f t="shared" ref="J7" si="3">F7+H7</f>
        <v>0.125</v>
      </c>
    </row>
    <row r="8" spans="1:14" ht="13.5" hidden="1" thickBot="1">
      <c r="B8" s="339" t="s">
        <v>570</v>
      </c>
      <c r="C8" s="340" t="s">
        <v>571</v>
      </c>
      <c r="D8" s="340" t="s">
        <v>292</v>
      </c>
      <c r="E8" s="341" t="s">
        <v>572</v>
      </c>
      <c r="F8" s="352">
        <v>0.08</v>
      </c>
      <c r="G8" s="412">
        <v>0.12</v>
      </c>
      <c r="H8" s="416">
        <v>0.2</v>
      </c>
      <c r="I8" s="413">
        <f t="shared" ref="I8" si="4">F8+G8</f>
        <v>0.2</v>
      </c>
      <c r="J8" s="414">
        <f t="shared" ref="J8" si="5">F8+H8</f>
        <v>0.28000000000000003</v>
      </c>
      <c r="L8" s="111" t="s">
        <v>573</v>
      </c>
    </row>
    <row r="9" spans="1:14" ht="1.5" customHeight="1">
      <c r="B9" s="339"/>
      <c r="C9" s="340"/>
      <c r="D9" s="340"/>
      <c r="E9" s="340"/>
      <c r="F9" s="340"/>
      <c r="G9" s="340"/>
      <c r="H9" s="340"/>
      <c r="I9" s="340"/>
      <c r="J9" s="406"/>
    </row>
    <row r="10" spans="1:14">
      <c r="B10" s="339"/>
      <c r="C10" s="340"/>
      <c r="D10" s="340"/>
      <c r="E10" s="340"/>
      <c r="F10" s="340"/>
      <c r="G10" s="340"/>
      <c r="H10" s="340"/>
      <c r="I10" s="340"/>
      <c r="J10" s="406"/>
    </row>
    <row r="11" spans="1:14">
      <c r="B11" s="339"/>
      <c r="C11" s="340"/>
      <c r="D11" s="340"/>
      <c r="E11" s="340"/>
      <c r="F11" s="340"/>
      <c r="G11" s="340"/>
      <c r="H11" s="340"/>
      <c r="I11" s="340"/>
      <c r="J11" s="406"/>
    </row>
    <row r="12" spans="1:14">
      <c r="B12" s="339"/>
      <c r="C12" s="340"/>
      <c r="D12" s="340"/>
      <c r="E12" s="340"/>
      <c r="F12" s="340"/>
      <c r="G12" s="340"/>
      <c r="H12" s="340"/>
      <c r="I12" s="340"/>
      <c r="J12" s="406"/>
    </row>
  </sheetData>
  <sheetProtection password="E99E" sheet="1" objects="1" scenarios="1" selectLockedCells="1" selectUnlockedCells="1"/>
  <mergeCells count="7">
    <mergeCell ref="C3:C4"/>
    <mergeCell ref="B3:B4"/>
    <mergeCell ref="G3:H3"/>
    <mergeCell ref="I3:J3"/>
    <mergeCell ref="F3:F4"/>
    <mergeCell ref="E3:E4"/>
    <mergeCell ref="D3:D4"/>
  </mergeCells>
  <pageMargins left="0.7" right="0.7" top="0.75" bottom="0.75" header="0.3" footer="0.3"/>
  <pageSetup paperSize="9" orientation="portrait" r:id="rId1"/>
  <ignoredErrors>
    <ignoredError sqref="B6:B7" numberStoredAsText="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
  <dimension ref="B3:F285"/>
  <sheetViews>
    <sheetView showGridLines="0" topLeftCell="A196" workbookViewId="0">
      <selection activeCell="D241" sqref="D241"/>
    </sheetView>
  </sheetViews>
  <sheetFormatPr defaultRowHeight="12.75"/>
  <cols>
    <col min="1" max="1" width="4.5703125" customWidth="1"/>
    <col min="2" max="2" width="9.140625" style="2"/>
    <col min="3" max="3" width="22" bestFit="1" customWidth="1"/>
    <col min="4" max="4" width="29.7109375" bestFit="1" customWidth="1"/>
    <col min="5" max="5" width="24" bestFit="1" customWidth="1"/>
    <col min="6" max="6" width="29.7109375" bestFit="1" customWidth="1"/>
    <col min="7" max="9" width="4.42578125" customWidth="1"/>
  </cols>
  <sheetData>
    <row r="3" spans="2:6">
      <c r="B3" s="791" t="s">
        <v>555</v>
      </c>
    </row>
    <row r="4" spans="2:6" ht="13.5" thickBot="1"/>
    <row r="5" spans="2:6">
      <c r="B5" s="517" t="s">
        <v>650</v>
      </c>
      <c r="C5" s="515" t="s">
        <v>651</v>
      </c>
      <c r="D5" s="516" t="s">
        <v>619</v>
      </c>
      <c r="E5" s="516" t="s">
        <v>655</v>
      </c>
      <c r="F5" s="516" t="s">
        <v>655</v>
      </c>
    </row>
    <row r="6" spans="2:6">
      <c r="B6" s="2">
        <v>1</v>
      </c>
      <c r="C6" s="196" t="s">
        <v>321</v>
      </c>
      <c r="D6" s="472" t="s">
        <v>595</v>
      </c>
      <c r="E6" s="98" t="str">
        <f>B6&amp;C6</f>
        <v>1Micro Mk7 2M</v>
      </c>
      <c r="F6" s="472" t="s">
        <v>595</v>
      </c>
    </row>
    <row r="7" spans="2:6">
      <c r="B7" s="2">
        <v>2</v>
      </c>
      <c r="C7" s="196" t="s">
        <v>321</v>
      </c>
      <c r="D7" s="472" t="s">
        <v>597</v>
      </c>
      <c r="E7" s="98" t="str">
        <f t="shared" ref="E7:E70" si="0">B7&amp;C7</f>
        <v>2Micro Mk7 2M</v>
      </c>
      <c r="F7" s="472" t="s">
        <v>597</v>
      </c>
    </row>
    <row r="8" spans="2:6">
      <c r="B8" s="2">
        <v>1</v>
      </c>
      <c r="C8" s="196" t="s">
        <v>322</v>
      </c>
      <c r="D8" s="472" t="s">
        <v>595</v>
      </c>
      <c r="E8" s="98" t="str">
        <f t="shared" si="0"/>
        <v>1Micro Mk7 2M R/A</v>
      </c>
      <c r="F8" s="472" t="s">
        <v>595</v>
      </c>
    </row>
    <row r="9" spans="2:6">
      <c r="B9" s="2">
        <v>2</v>
      </c>
      <c r="C9" s="196" t="s">
        <v>322</v>
      </c>
      <c r="D9" s="472" t="s">
        <v>597</v>
      </c>
      <c r="E9" s="98" t="str">
        <f t="shared" si="0"/>
        <v>2Micro Mk7 2M R/A</v>
      </c>
      <c r="F9" s="472" t="s">
        <v>597</v>
      </c>
    </row>
    <row r="10" spans="2:6">
      <c r="B10" s="2">
        <v>1</v>
      </c>
      <c r="C10" s="196" t="s">
        <v>323</v>
      </c>
      <c r="D10" s="472" t="s">
        <v>595</v>
      </c>
      <c r="E10" s="98" t="str">
        <f t="shared" si="0"/>
        <v>1Micro Mk7 4M</v>
      </c>
      <c r="F10" s="472" t="s">
        <v>595</v>
      </c>
    </row>
    <row r="11" spans="2:6">
      <c r="B11" s="2">
        <v>2</v>
      </c>
      <c r="C11" s="196" t="s">
        <v>323</v>
      </c>
      <c r="D11" s="472" t="s">
        <v>597</v>
      </c>
      <c r="E11" s="98" t="str">
        <f t="shared" si="0"/>
        <v>2Micro Mk7 4M</v>
      </c>
      <c r="F11" s="472" t="s">
        <v>597</v>
      </c>
    </row>
    <row r="12" spans="2:6">
      <c r="B12" s="2">
        <v>1</v>
      </c>
      <c r="C12" s="196" t="s">
        <v>324</v>
      </c>
      <c r="D12" s="472" t="s">
        <v>595</v>
      </c>
      <c r="E12" s="98" t="str">
        <f t="shared" si="0"/>
        <v>1Micro Mk7 4M R/A</v>
      </c>
      <c r="F12" s="472" t="s">
        <v>595</v>
      </c>
    </row>
    <row r="13" spans="2:6">
      <c r="B13" s="2">
        <v>2</v>
      </c>
      <c r="C13" s="196" t="s">
        <v>324</v>
      </c>
      <c r="D13" s="472" t="s">
        <v>597</v>
      </c>
      <c r="E13" s="98" t="str">
        <f t="shared" si="0"/>
        <v>2Micro Mk7 4M R/A</v>
      </c>
      <c r="F13" s="472" t="s">
        <v>597</v>
      </c>
    </row>
    <row r="14" spans="2:6">
      <c r="B14" s="2">
        <v>1</v>
      </c>
      <c r="C14" s="196" t="s">
        <v>335</v>
      </c>
      <c r="D14" s="472" t="s">
        <v>592</v>
      </c>
      <c r="E14" s="98" t="str">
        <f t="shared" si="0"/>
        <v>1Midi A Mk7 2M</v>
      </c>
      <c r="F14" s="472" t="s">
        <v>592</v>
      </c>
    </row>
    <row r="15" spans="2:6">
      <c r="B15" s="2">
        <v>2</v>
      </c>
      <c r="C15" s="196" t="s">
        <v>335</v>
      </c>
      <c r="D15" s="472" t="s">
        <v>601</v>
      </c>
      <c r="E15" s="98" t="str">
        <f t="shared" si="0"/>
        <v>2Midi A Mk7 2M</v>
      </c>
      <c r="F15" s="472" t="s">
        <v>601</v>
      </c>
    </row>
    <row r="16" spans="2:6">
      <c r="B16" s="2">
        <v>3</v>
      </c>
      <c r="C16" s="196" t="s">
        <v>335</v>
      </c>
      <c r="D16" s="472" t="s">
        <v>596</v>
      </c>
      <c r="E16" s="98" t="str">
        <f t="shared" si="0"/>
        <v>3Midi A Mk7 2M</v>
      </c>
      <c r="F16" s="472" t="s">
        <v>596</v>
      </c>
    </row>
    <row r="17" spans="2:6">
      <c r="B17" s="2">
        <v>1</v>
      </c>
      <c r="C17" s="196" t="s">
        <v>336</v>
      </c>
      <c r="D17" s="472" t="s">
        <v>592</v>
      </c>
      <c r="E17" s="98" t="str">
        <f t="shared" si="0"/>
        <v>1Midi A Mk7 2M R/A</v>
      </c>
      <c r="F17" s="472" t="s">
        <v>592</v>
      </c>
    </row>
    <row r="18" spans="2:6">
      <c r="B18" s="2">
        <v>2</v>
      </c>
      <c r="C18" s="196" t="s">
        <v>336</v>
      </c>
      <c r="D18" s="472" t="s">
        <v>601</v>
      </c>
      <c r="E18" s="98" t="str">
        <f t="shared" si="0"/>
        <v>2Midi A Mk7 2M R/A</v>
      </c>
      <c r="F18" s="472" t="s">
        <v>601</v>
      </c>
    </row>
    <row r="19" spans="2:6">
      <c r="B19" s="2">
        <v>3</v>
      </c>
      <c r="C19" s="196" t="s">
        <v>336</v>
      </c>
      <c r="D19" s="472" t="s">
        <v>596</v>
      </c>
      <c r="E19" s="98" t="str">
        <f t="shared" si="0"/>
        <v>3Midi A Mk7 2M R/A</v>
      </c>
      <c r="F19" s="472" t="s">
        <v>596</v>
      </c>
    </row>
    <row r="20" spans="2:6">
      <c r="B20" s="2">
        <v>1</v>
      </c>
      <c r="C20" s="196" t="s">
        <v>337</v>
      </c>
      <c r="D20" s="472" t="s">
        <v>592</v>
      </c>
      <c r="E20" s="98" t="str">
        <f t="shared" si="0"/>
        <v>1Midi A Mk7 4M</v>
      </c>
      <c r="F20" s="472" t="s">
        <v>592</v>
      </c>
    </row>
    <row r="21" spans="2:6">
      <c r="B21" s="2">
        <v>2</v>
      </c>
      <c r="C21" s="196" t="s">
        <v>337</v>
      </c>
      <c r="D21" s="472" t="s">
        <v>601</v>
      </c>
      <c r="E21" s="98" t="str">
        <f t="shared" si="0"/>
        <v>2Midi A Mk7 4M</v>
      </c>
      <c r="F21" s="472" t="s">
        <v>601</v>
      </c>
    </row>
    <row r="22" spans="2:6">
      <c r="B22" s="2">
        <v>3</v>
      </c>
      <c r="C22" s="196" t="s">
        <v>337</v>
      </c>
      <c r="D22" s="472" t="s">
        <v>596</v>
      </c>
      <c r="E22" s="98" t="str">
        <f t="shared" si="0"/>
        <v>3Midi A Mk7 4M</v>
      </c>
      <c r="F22" s="472" t="s">
        <v>596</v>
      </c>
    </row>
    <row r="23" spans="2:6">
      <c r="B23" s="2">
        <v>1</v>
      </c>
      <c r="C23" s="196" t="s">
        <v>338</v>
      </c>
      <c r="D23" s="472" t="s">
        <v>592</v>
      </c>
      <c r="E23" s="98" t="str">
        <f t="shared" si="0"/>
        <v>1Midi A Mk7 4M R/A</v>
      </c>
      <c r="F23" s="472" t="s">
        <v>592</v>
      </c>
    </row>
    <row r="24" spans="2:6">
      <c r="B24" s="2">
        <v>2</v>
      </c>
      <c r="C24" s="196" t="s">
        <v>338</v>
      </c>
      <c r="D24" s="472" t="s">
        <v>601</v>
      </c>
      <c r="E24" s="98" t="str">
        <f t="shared" si="0"/>
        <v>2Midi A Mk7 4M R/A</v>
      </c>
      <c r="F24" s="472" t="s">
        <v>601</v>
      </c>
    </row>
    <row r="25" spans="2:6">
      <c r="B25" s="2">
        <v>3</v>
      </c>
      <c r="C25" s="196" t="s">
        <v>338</v>
      </c>
      <c r="D25" s="472" t="s">
        <v>596</v>
      </c>
      <c r="E25" s="98" t="str">
        <f t="shared" si="0"/>
        <v>3Midi A Mk7 4M R/A</v>
      </c>
      <c r="F25" s="472" t="s">
        <v>596</v>
      </c>
    </row>
    <row r="26" spans="2:6">
      <c r="B26" s="2">
        <v>1</v>
      </c>
      <c r="C26" s="196" t="s">
        <v>325</v>
      </c>
      <c r="D26" s="472" t="s">
        <v>589</v>
      </c>
      <c r="E26" s="98" t="str">
        <f t="shared" si="0"/>
        <v>1Midi Mk7 2M</v>
      </c>
      <c r="F26" s="472" t="s">
        <v>589</v>
      </c>
    </row>
    <row r="27" spans="2:6">
      <c r="B27" s="2">
        <v>2</v>
      </c>
      <c r="C27" s="196" t="s">
        <v>325</v>
      </c>
      <c r="D27" s="472" t="s">
        <v>590</v>
      </c>
      <c r="E27" s="98" t="str">
        <f t="shared" si="0"/>
        <v>2Midi Mk7 2M</v>
      </c>
      <c r="F27" s="472" t="s">
        <v>590</v>
      </c>
    </row>
    <row r="28" spans="2:6">
      <c r="B28" s="2">
        <v>3</v>
      </c>
      <c r="C28" s="196" t="s">
        <v>325</v>
      </c>
      <c r="D28" s="472" t="s">
        <v>591</v>
      </c>
      <c r="E28" s="98" t="str">
        <f t="shared" si="0"/>
        <v>3Midi Mk7 2M</v>
      </c>
      <c r="F28" s="472" t="s">
        <v>591</v>
      </c>
    </row>
    <row r="29" spans="2:6">
      <c r="B29" s="2">
        <v>4</v>
      </c>
      <c r="C29" s="196" t="s">
        <v>325</v>
      </c>
      <c r="D29" s="472" t="s">
        <v>592</v>
      </c>
      <c r="E29" s="98" t="str">
        <f t="shared" si="0"/>
        <v>4Midi Mk7 2M</v>
      </c>
      <c r="F29" s="472" t="s">
        <v>592</v>
      </c>
    </row>
    <row r="30" spans="2:6">
      <c r="B30" s="2">
        <v>5</v>
      </c>
      <c r="C30" s="196" t="s">
        <v>325</v>
      </c>
      <c r="D30" s="472" t="s">
        <v>594</v>
      </c>
      <c r="E30" s="98" t="str">
        <f t="shared" si="0"/>
        <v>5Midi Mk7 2M</v>
      </c>
      <c r="F30" s="472" t="s">
        <v>594</v>
      </c>
    </row>
    <row r="31" spans="2:6">
      <c r="B31" s="2">
        <v>6</v>
      </c>
      <c r="C31" s="196" t="s">
        <v>325</v>
      </c>
      <c r="D31" s="472" t="s">
        <v>595</v>
      </c>
      <c r="E31" s="98" t="str">
        <f t="shared" si="0"/>
        <v>6Midi Mk7 2M</v>
      </c>
      <c r="F31" s="472" t="s">
        <v>595</v>
      </c>
    </row>
    <row r="32" spans="2:6">
      <c r="B32" s="2">
        <v>7</v>
      </c>
      <c r="C32" s="196" t="s">
        <v>325</v>
      </c>
      <c r="D32" s="472" t="s">
        <v>597</v>
      </c>
      <c r="E32" s="98" t="str">
        <f t="shared" si="0"/>
        <v>7Midi Mk7 2M</v>
      </c>
      <c r="F32" s="472" t="s">
        <v>597</v>
      </c>
    </row>
    <row r="33" spans="2:6">
      <c r="B33" s="2">
        <v>8</v>
      </c>
      <c r="C33" s="196" t="s">
        <v>325</v>
      </c>
      <c r="D33" s="472" t="s">
        <v>602</v>
      </c>
      <c r="E33" s="98" t="str">
        <f t="shared" si="0"/>
        <v>8Midi Mk7 2M</v>
      </c>
      <c r="F33" s="472" t="s">
        <v>602</v>
      </c>
    </row>
    <row r="34" spans="2:6">
      <c r="B34" s="2">
        <v>9</v>
      </c>
      <c r="C34" s="196" t="s">
        <v>325</v>
      </c>
      <c r="D34" s="472" t="s">
        <v>598</v>
      </c>
      <c r="E34" s="98" t="str">
        <f t="shared" si="0"/>
        <v>9Midi Mk7 2M</v>
      </c>
      <c r="F34" s="472" t="s">
        <v>598</v>
      </c>
    </row>
    <row r="35" spans="2:6">
      <c r="B35" s="2">
        <v>10</v>
      </c>
      <c r="C35" s="196" t="s">
        <v>325</v>
      </c>
      <c r="D35" s="472" t="s">
        <v>599</v>
      </c>
      <c r="E35" s="98" t="str">
        <f t="shared" si="0"/>
        <v>10Midi Mk7 2M</v>
      </c>
      <c r="F35" s="472" t="s">
        <v>599</v>
      </c>
    </row>
    <row r="36" spans="2:6">
      <c r="B36" s="2">
        <v>1</v>
      </c>
      <c r="C36" s="196" t="s">
        <v>326</v>
      </c>
      <c r="D36" s="472" t="s">
        <v>589</v>
      </c>
      <c r="E36" s="98" t="str">
        <f t="shared" si="0"/>
        <v>1Midi Mk7 2M R/A</v>
      </c>
      <c r="F36" s="472" t="s">
        <v>589</v>
      </c>
    </row>
    <row r="37" spans="2:6">
      <c r="B37" s="2">
        <v>2</v>
      </c>
      <c r="C37" s="196" t="s">
        <v>326</v>
      </c>
      <c r="D37" s="472" t="s">
        <v>590</v>
      </c>
      <c r="E37" s="98" t="str">
        <f t="shared" si="0"/>
        <v>2Midi Mk7 2M R/A</v>
      </c>
      <c r="F37" s="472" t="s">
        <v>590</v>
      </c>
    </row>
    <row r="38" spans="2:6">
      <c r="B38" s="2">
        <v>3</v>
      </c>
      <c r="C38" s="196" t="s">
        <v>326</v>
      </c>
      <c r="D38" s="472" t="s">
        <v>591</v>
      </c>
      <c r="E38" s="98" t="str">
        <f t="shared" si="0"/>
        <v>3Midi Mk7 2M R/A</v>
      </c>
      <c r="F38" s="472" t="s">
        <v>591</v>
      </c>
    </row>
    <row r="39" spans="2:6">
      <c r="B39" s="2">
        <v>4</v>
      </c>
      <c r="C39" s="196" t="s">
        <v>326</v>
      </c>
      <c r="D39" s="472" t="s">
        <v>592</v>
      </c>
      <c r="E39" s="98" t="str">
        <f t="shared" si="0"/>
        <v>4Midi Mk7 2M R/A</v>
      </c>
      <c r="F39" s="472" t="s">
        <v>592</v>
      </c>
    </row>
    <row r="40" spans="2:6">
      <c r="B40" s="2">
        <v>5</v>
      </c>
      <c r="C40" s="196" t="s">
        <v>326</v>
      </c>
      <c r="D40" s="472" t="s">
        <v>594</v>
      </c>
      <c r="E40" s="98" t="str">
        <f t="shared" si="0"/>
        <v>5Midi Mk7 2M R/A</v>
      </c>
      <c r="F40" s="472" t="s">
        <v>594</v>
      </c>
    </row>
    <row r="41" spans="2:6">
      <c r="B41" s="2">
        <v>6</v>
      </c>
      <c r="C41" s="196" t="s">
        <v>326</v>
      </c>
      <c r="D41" s="472" t="s">
        <v>595</v>
      </c>
      <c r="E41" s="98" t="str">
        <f t="shared" si="0"/>
        <v>6Midi Mk7 2M R/A</v>
      </c>
      <c r="F41" s="472" t="s">
        <v>595</v>
      </c>
    </row>
    <row r="42" spans="2:6">
      <c r="B42" s="2">
        <v>7</v>
      </c>
      <c r="C42" s="196" t="s">
        <v>326</v>
      </c>
      <c r="D42" s="472" t="s">
        <v>597</v>
      </c>
      <c r="E42" s="98" t="str">
        <f t="shared" si="0"/>
        <v>7Midi Mk7 2M R/A</v>
      </c>
      <c r="F42" s="472" t="s">
        <v>597</v>
      </c>
    </row>
    <row r="43" spans="2:6">
      <c r="B43" s="2">
        <v>8</v>
      </c>
      <c r="C43" s="196" t="s">
        <v>326</v>
      </c>
      <c r="D43" s="472" t="s">
        <v>602</v>
      </c>
      <c r="E43" s="98" t="str">
        <f t="shared" si="0"/>
        <v>8Midi Mk7 2M R/A</v>
      </c>
      <c r="F43" s="472" t="s">
        <v>602</v>
      </c>
    </row>
    <row r="44" spans="2:6">
      <c r="B44" s="2">
        <v>9</v>
      </c>
      <c r="C44" s="196" t="s">
        <v>326</v>
      </c>
      <c r="D44" s="472" t="s">
        <v>598</v>
      </c>
      <c r="E44" s="98" t="str">
        <f t="shared" si="0"/>
        <v>9Midi Mk7 2M R/A</v>
      </c>
      <c r="F44" s="472" t="s">
        <v>598</v>
      </c>
    </row>
    <row r="45" spans="2:6">
      <c r="B45" s="2">
        <v>10</v>
      </c>
      <c r="C45" s="196" t="s">
        <v>326</v>
      </c>
      <c r="D45" s="472" t="s">
        <v>599</v>
      </c>
      <c r="E45" s="98" t="str">
        <f t="shared" si="0"/>
        <v>10Midi Mk7 2M R/A</v>
      </c>
      <c r="F45" s="472" t="s">
        <v>599</v>
      </c>
    </row>
    <row r="46" spans="2:6">
      <c r="B46" s="2">
        <v>1</v>
      </c>
      <c r="C46" s="196" t="s">
        <v>327</v>
      </c>
      <c r="D46" s="472" t="s">
        <v>589</v>
      </c>
      <c r="E46" s="98" t="str">
        <f t="shared" si="0"/>
        <v>1Midi Mk7 4M</v>
      </c>
      <c r="F46" s="472" t="s">
        <v>589</v>
      </c>
    </row>
    <row r="47" spans="2:6">
      <c r="B47" s="2">
        <v>2</v>
      </c>
      <c r="C47" s="196" t="s">
        <v>327</v>
      </c>
      <c r="D47" s="472" t="s">
        <v>590</v>
      </c>
      <c r="E47" s="98" t="str">
        <f t="shared" si="0"/>
        <v>2Midi Mk7 4M</v>
      </c>
      <c r="F47" s="472" t="s">
        <v>590</v>
      </c>
    </row>
    <row r="48" spans="2:6">
      <c r="B48" s="2">
        <v>3</v>
      </c>
      <c r="C48" s="196" t="s">
        <v>327</v>
      </c>
      <c r="D48" s="472" t="s">
        <v>591</v>
      </c>
      <c r="E48" s="98" t="str">
        <f t="shared" si="0"/>
        <v>3Midi Mk7 4M</v>
      </c>
      <c r="F48" s="472" t="s">
        <v>591</v>
      </c>
    </row>
    <row r="49" spans="2:6">
      <c r="B49" s="2">
        <v>4</v>
      </c>
      <c r="C49" s="196" t="s">
        <v>327</v>
      </c>
      <c r="D49" s="472" t="s">
        <v>592</v>
      </c>
      <c r="E49" s="98" t="str">
        <f t="shared" si="0"/>
        <v>4Midi Mk7 4M</v>
      </c>
      <c r="F49" s="472" t="s">
        <v>592</v>
      </c>
    </row>
    <row r="50" spans="2:6">
      <c r="B50" s="2">
        <v>5</v>
      </c>
      <c r="C50" s="196" t="s">
        <v>327</v>
      </c>
      <c r="D50" s="472" t="s">
        <v>594</v>
      </c>
      <c r="E50" s="98" t="str">
        <f t="shared" si="0"/>
        <v>5Midi Mk7 4M</v>
      </c>
      <c r="F50" s="472" t="s">
        <v>594</v>
      </c>
    </row>
    <row r="51" spans="2:6">
      <c r="B51" s="2">
        <v>6</v>
      </c>
      <c r="C51" s="196" t="s">
        <v>327</v>
      </c>
      <c r="D51" s="472" t="s">
        <v>595</v>
      </c>
      <c r="E51" s="98" t="str">
        <f t="shared" si="0"/>
        <v>6Midi Mk7 4M</v>
      </c>
      <c r="F51" s="472" t="s">
        <v>595</v>
      </c>
    </row>
    <row r="52" spans="2:6">
      <c r="B52" s="2">
        <v>7</v>
      </c>
      <c r="C52" s="196" t="s">
        <v>327</v>
      </c>
      <c r="D52" s="472" t="s">
        <v>597</v>
      </c>
      <c r="E52" s="98" t="str">
        <f t="shared" si="0"/>
        <v>7Midi Mk7 4M</v>
      </c>
      <c r="F52" s="472" t="s">
        <v>597</v>
      </c>
    </row>
    <row r="53" spans="2:6">
      <c r="B53" s="2">
        <v>8</v>
      </c>
      <c r="C53" s="196" t="s">
        <v>327</v>
      </c>
      <c r="D53" s="472" t="s">
        <v>602</v>
      </c>
      <c r="E53" s="98" t="str">
        <f t="shared" si="0"/>
        <v>8Midi Mk7 4M</v>
      </c>
      <c r="F53" s="472" t="s">
        <v>602</v>
      </c>
    </row>
    <row r="54" spans="2:6">
      <c r="B54" s="2">
        <v>9</v>
      </c>
      <c r="C54" s="196" t="s">
        <v>327</v>
      </c>
      <c r="D54" s="472" t="s">
        <v>598</v>
      </c>
      <c r="E54" s="98" t="str">
        <f t="shared" si="0"/>
        <v>9Midi Mk7 4M</v>
      </c>
      <c r="F54" s="472" t="s">
        <v>598</v>
      </c>
    </row>
    <row r="55" spans="2:6">
      <c r="B55" s="2">
        <v>10</v>
      </c>
      <c r="C55" s="196" t="s">
        <v>327</v>
      </c>
      <c r="D55" s="472" t="s">
        <v>599</v>
      </c>
      <c r="E55" s="98" t="str">
        <f t="shared" si="0"/>
        <v>10Midi Mk7 4M</v>
      </c>
      <c r="F55" s="472" t="s">
        <v>599</v>
      </c>
    </row>
    <row r="56" spans="2:6">
      <c r="B56" s="2">
        <v>1</v>
      </c>
      <c r="C56" s="196" t="s">
        <v>328</v>
      </c>
      <c r="D56" s="472" t="s">
        <v>589</v>
      </c>
      <c r="E56" s="98" t="str">
        <f t="shared" si="0"/>
        <v>1Midi Mk7 4M R/A</v>
      </c>
      <c r="F56" s="472" t="s">
        <v>589</v>
      </c>
    </row>
    <row r="57" spans="2:6">
      <c r="B57" s="2">
        <v>2</v>
      </c>
      <c r="C57" s="196" t="s">
        <v>328</v>
      </c>
      <c r="D57" s="472" t="s">
        <v>590</v>
      </c>
      <c r="E57" s="98" t="str">
        <f t="shared" si="0"/>
        <v>2Midi Mk7 4M R/A</v>
      </c>
      <c r="F57" s="472" t="s">
        <v>590</v>
      </c>
    </row>
    <row r="58" spans="2:6">
      <c r="B58" s="2">
        <v>3</v>
      </c>
      <c r="C58" s="196" t="s">
        <v>328</v>
      </c>
      <c r="D58" s="472" t="s">
        <v>591</v>
      </c>
      <c r="E58" s="98" t="str">
        <f t="shared" si="0"/>
        <v>3Midi Mk7 4M R/A</v>
      </c>
      <c r="F58" s="472" t="s">
        <v>591</v>
      </c>
    </row>
    <row r="59" spans="2:6">
      <c r="B59" s="2">
        <v>4</v>
      </c>
      <c r="C59" s="196" t="s">
        <v>328</v>
      </c>
      <c r="D59" s="472" t="s">
        <v>592</v>
      </c>
      <c r="E59" s="98" t="str">
        <f t="shared" si="0"/>
        <v>4Midi Mk7 4M R/A</v>
      </c>
      <c r="F59" s="472" t="s">
        <v>592</v>
      </c>
    </row>
    <row r="60" spans="2:6">
      <c r="B60" s="2">
        <v>5</v>
      </c>
      <c r="C60" s="196" t="s">
        <v>328</v>
      </c>
      <c r="D60" s="472" t="s">
        <v>594</v>
      </c>
      <c r="E60" s="98" t="str">
        <f t="shared" si="0"/>
        <v>5Midi Mk7 4M R/A</v>
      </c>
      <c r="F60" s="472" t="s">
        <v>594</v>
      </c>
    </row>
    <row r="61" spans="2:6">
      <c r="B61" s="2">
        <v>6</v>
      </c>
      <c r="C61" s="196" t="s">
        <v>328</v>
      </c>
      <c r="D61" s="472" t="s">
        <v>595</v>
      </c>
      <c r="E61" s="98" t="str">
        <f t="shared" si="0"/>
        <v>6Midi Mk7 4M R/A</v>
      </c>
      <c r="F61" s="472" t="s">
        <v>595</v>
      </c>
    </row>
    <row r="62" spans="2:6">
      <c r="B62" s="2">
        <v>7</v>
      </c>
      <c r="C62" s="196" t="s">
        <v>328</v>
      </c>
      <c r="D62" s="472" t="s">
        <v>597</v>
      </c>
      <c r="E62" s="98" t="str">
        <f t="shared" si="0"/>
        <v>7Midi Mk7 4M R/A</v>
      </c>
      <c r="F62" s="472" t="s">
        <v>597</v>
      </c>
    </row>
    <row r="63" spans="2:6">
      <c r="B63" s="2">
        <v>8</v>
      </c>
      <c r="C63" s="196" t="s">
        <v>328</v>
      </c>
      <c r="D63" s="472" t="s">
        <v>602</v>
      </c>
      <c r="E63" s="98" t="str">
        <f t="shared" si="0"/>
        <v>8Midi Mk7 4M R/A</v>
      </c>
      <c r="F63" s="472" t="s">
        <v>602</v>
      </c>
    </row>
    <row r="64" spans="2:6">
      <c r="B64" s="2">
        <v>9</v>
      </c>
      <c r="C64" s="196" t="s">
        <v>328</v>
      </c>
      <c r="D64" s="472" t="s">
        <v>598</v>
      </c>
      <c r="E64" s="98" t="str">
        <f t="shared" si="0"/>
        <v>9Midi Mk7 4M R/A</v>
      </c>
      <c r="F64" s="472" t="s">
        <v>598</v>
      </c>
    </row>
    <row r="65" spans="2:6">
      <c r="B65" s="2">
        <v>10</v>
      </c>
      <c r="C65" s="196" t="s">
        <v>328</v>
      </c>
      <c r="D65" s="472" t="s">
        <v>599</v>
      </c>
      <c r="E65" s="98" t="str">
        <f t="shared" si="0"/>
        <v>10Midi Mk7 4M R/A</v>
      </c>
      <c r="F65" s="472" t="s">
        <v>599</v>
      </c>
    </row>
    <row r="66" spans="2:6">
      <c r="B66" s="2">
        <v>1</v>
      </c>
      <c r="C66" s="196" t="s">
        <v>329</v>
      </c>
      <c r="D66" s="472" t="s">
        <v>589</v>
      </c>
      <c r="E66" s="98" t="str">
        <f t="shared" si="0"/>
        <v>1Midi Mk7 Srra 2M</v>
      </c>
      <c r="F66" s="472" t="s">
        <v>589</v>
      </c>
    </row>
    <row r="67" spans="2:6">
      <c r="B67" s="2">
        <v>2</v>
      </c>
      <c r="C67" s="196" t="s">
        <v>329</v>
      </c>
      <c r="D67" s="472" t="s">
        <v>590</v>
      </c>
      <c r="E67" s="98" t="str">
        <f t="shared" si="0"/>
        <v>2Midi Mk7 Srra 2M</v>
      </c>
      <c r="F67" s="472" t="s">
        <v>590</v>
      </c>
    </row>
    <row r="68" spans="2:6">
      <c r="B68" s="2">
        <v>3</v>
      </c>
      <c r="C68" s="196" t="s">
        <v>329</v>
      </c>
      <c r="D68" s="472" t="s">
        <v>591</v>
      </c>
      <c r="E68" s="98" t="str">
        <f t="shared" si="0"/>
        <v>3Midi Mk7 Srra 2M</v>
      </c>
      <c r="F68" s="472" t="s">
        <v>591</v>
      </c>
    </row>
    <row r="69" spans="2:6">
      <c r="B69" s="2">
        <v>4</v>
      </c>
      <c r="C69" s="196" t="s">
        <v>329</v>
      </c>
      <c r="D69" s="472" t="s">
        <v>592</v>
      </c>
      <c r="E69" s="98" t="str">
        <f t="shared" si="0"/>
        <v>4Midi Mk7 Srra 2M</v>
      </c>
      <c r="F69" s="472" t="s">
        <v>592</v>
      </c>
    </row>
    <row r="70" spans="2:6">
      <c r="B70" s="2">
        <v>5</v>
      </c>
      <c r="C70" s="196" t="s">
        <v>329</v>
      </c>
      <c r="D70" s="472" t="s">
        <v>594</v>
      </c>
      <c r="E70" s="98" t="str">
        <f t="shared" si="0"/>
        <v>5Midi Mk7 Srra 2M</v>
      </c>
      <c r="F70" s="472" t="s">
        <v>594</v>
      </c>
    </row>
    <row r="71" spans="2:6">
      <c r="B71" s="2">
        <v>6</v>
      </c>
      <c r="C71" s="196" t="s">
        <v>329</v>
      </c>
      <c r="D71" s="472" t="s">
        <v>595</v>
      </c>
      <c r="E71" s="98" t="str">
        <f t="shared" ref="E71:E134" si="1">B71&amp;C71</f>
        <v>6Midi Mk7 Srra 2M</v>
      </c>
      <c r="F71" s="472" t="s">
        <v>595</v>
      </c>
    </row>
    <row r="72" spans="2:6">
      <c r="B72" s="2">
        <v>7</v>
      </c>
      <c r="C72" s="196" t="s">
        <v>329</v>
      </c>
      <c r="D72" s="472" t="s">
        <v>597</v>
      </c>
      <c r="E72" s="98" t="str">
        <f t="shared" si="1"/>
        <v>7Midi Mk7 Srra 2M</v>
      </c>
      <c r="F72" s="472" t="s">
        <v>597</v>
      </c>
    </row>
    <row r="73" spans="2:6">
      <c r="B73" s="2">
        <v>8</v>
      </c>
      <c r="C73" s="196" t="s">
        <v>329</v>
      </c>
      <c r="D73" s="472" t="s">
        <v>602</v>
      </c>
      <c r="E73" s="98" t="str">
        <f t="shared" si="1"/>
        <v>8Midi Mk7 Srra 2M</v>
      </c>
      <c r="F73" s="472" t="s">
        <v>602</v>
      </c>
    </row>
    <row r="74" spans="2:6">
      <c r="B74" s="2">
        <v>9</v>
      </c>
      <c r="C74" s="196" t="s">
        <v>329</v>
      </c>
      <c r="D74" s="472" t="s">
        <v>598</v>
      </c>
      <c r="E74" s="98" t="str">
        <f t="shared" si="1"/>
        <v>9Midi Mk7 Srra 2M</v>
      </c>
      <c r="F74" s="472" t="s">
        <v>598</v>
      </c>
    </row>
    <row r="75" spans="2:6">
      <c r="B75" s="2">
        <v>10</v>
      </c>
      <c r="C75" s="196" t="s">
        <v>329</v>
      </c>
      <c r="D75" s="472" t="s">
        <v>599</v>
      </c>
      <c r="E75" s="98" t="str">
        <f t="shared" si="1"/>
        <v>10Midi Mk7 Srra 2M</v>
      </c>
      <c r="F75" s="472" t="s">
        <v>599</v>
      </c>
    </row>
    <row r="76" spans="2:6">
      <c r="B76" s="2">
        <v>1</v>
      </c>
      <c r="C76" s="196" t="s">
        <v>330</v>
      </c>
      <c r="D76" s="472" t="s">
        <v>589</v>
      </c>
      <c r="E76" s="98" t="str">
        <f t="shared" si="1"/>
        <v>1Midi Mk7 Srra 4M</v>
      </c>
      <c r="F76" s="472" t="s">
        <v>589</v>
      </c>
    </row>
    <row r="77" spans="2:6">
      <c r="B77" s="2">
        <v>2</v>
      </c>
      <c r="C77" s="196" t="s">
        <v>330</v>
      </c>
      <c r="D77" s="472" t="s">
        <v>590</v>
      </c>
      <c r="E77" s="98" t="str">
        <f t="shared" si="1"/>
        <v>2Midi Mk7 Srra 4M</v>
      </c>
      <c r="F77" s="472" t="s">
        <v>590</v>
      </c>
    </row>
    <row r="78" spans="2:6">
      <c r="B78" s="2">
        <v>3</v>
      </c>
      <c r="C78" s="196" t="s">
        <v>330</v>
      </c>
      <c r="D78" s="472" t="s">
        <v>591</v>
      </c>
      <c r="E78" s="98" t="str">
        <f t="shared" si="1"/>
        <v>3Midi Mk7 Srra 4M</v>
      </c>
      <c r="F78" s="472" t="s">
        <v>591</v>
      </c>
    </row>
    <row r="79" spans="2:6">
      <c r="B79" s="2">
        <v>4</v>
      </c>
      <c r="C79" s="196" t="s">
        <v>330</v>
      </c>
      <c r="D79" s="472" t="s">
        <v>592</v>
      </c>
      <c r="E79" s="98" t="str">
        <f t="shared" si="1"/>
        <v>4Midi Mk7 Srra 4M</v>
      </c>
      <c r="F79" s="472" t="s">
        <v>592</v>
      </c>
    </row>
    <row r="80" spans="2:6">
      <c r="B80" s="2">
        <v>5</v>
      </c>
      <c r="C80" s="196" t="s">
        <v>330</v>
      </c>
      <c r="D80" s="472" t="s">
        <v>594</v>
      </c>
      <c r="E80" s="98" t="str">
        <f t="shared" si="1"/>
        <v>5Midi Mk7 Srra 4M</v>
      </c>
      <c r="F80" s="472" t="s">
        <v>594</v>
      </c>
    </row>
    <row r="81" spans="2:6">
      <c r="B81" s="2">
        <v>6</v>
      </c>
      <c r="C81" s="196" t="s">
        <v>330</v>
      </c>
      <c r="D81" s="472" t="s">
        <v>595</v>
      </c>
      <c r="E81" s="98" t="str">
        <f t="shared" si="1"/>
        <v>6Midi Mk7 Srra 4M</v>
      </c>
      <c r="F81" s="472" t="s">
        <v>595</v>
      </c>
    </row>
    <row r="82" spans="2:6">
      <c r="B82" s="2">
        <v>7</v>
      </c>
      <c r="C82" s="196" t="s">
        <v>330</v>
      </c>
      <c r="D82" s="472" t="s">
        <v>597</v>
      </c>
      <c r="E82" s="98" t="str">
        <f t="shared" si="1"/>
        <v>7Midi Mk7 Srra 4M</v>
      </c>
      <c r="F82" s="472" t="s">
        <v>597</v>
      </c>
    </row>
    <row r="83" spans="2:6">
      <c r="B83" s="2">
        <v>8</v>
      </c>
      <c r="C83" s="196" t="s">
        <v>330</v>
      </c>
      <c r="D83" s="472" t="s">
        <v>602</v>
      </c>
      <c r="E83" s="98" t="str">
        <f t="shared" si="1"/>
        <v>8Midi Mk7 Srra 4M</v>
      </c>
      <c r="F83" s="472" t="s">
        <v>602</v>
      </c>
    </row>
    <row r="84" spans="2:6">
      <c r="B84" s="2">
        <v>9</v>
      </c>
      <c r="C84" s="196" t="s">
        <v>330</v>
      </c>
      <c r="D84" s="472" t="s">
        <v>598</v>
      </c>
      <c r="E84" s="98" t="str">
        <f t="shared" si="1"/>
        <v>9Midi Mk7 Srra 4M</v>
      </c>
      <c r="F84" s="472" t="s">
        <v>598</v>
      </c>
    </row>
    <row r="85" spans="2:6">
      <c r="B85" s="2">
        <v>10</v>
      </c>
      <c r="C85" s="196" t="s">
        <v>330</v>
      </c>
      <c r="D85" s="472" t="s">
        <v>599</v>
      </c>
      <c r="E85" s="98" t="str">
        <f t="shared" si="1"/>
        <v>10Midi Mk7 Srra 4M</v>
      </c>
      <c r="F85" s="472" t="s">
        <v>599</v>
      </c>
    </row>
    <row r="86" spans="2:6">
      <c r="B86" s="2">
        <v>1</v>
      </c>
      <c r="C86" s="196" t="s">
        <v>331</v>
      </c>
      <c r="D86" s="472" t="s">
        <v>589</v>
      </c>
      <c r="E86" s="98" t="str">
        <f t="shared" si="1"/>
        <v>1Midi Plus Mk7 2M</v>
      </c>
      <c r="F86" s="472" t="s">
        <v>589</v>
      </c>
    </row>
    <row r="87" spans="2:6">
      <c r="B87" s="2">
        <v>2</v>
      </c>
      <c r="C87" s="196" t="s">
        <v>331</v>
      </c>
      <c r="D87" s="472" t="s">
        <v>590</v>
      </c>
      <c r="E87" s="98" t="str">
        <f t="shared" si="1"/>
        <v>2Midi Plus Mk7 2M</v>
      </c>
      <c r="F87" s="472" t="s">
        <v>590</v>
      </c>
    </row>
    <row r="88" spans="2:6">
      <c r="B88" s="2">
        <v>3</v>
      </c>
      <c r="C88" s="196" t="s">
        <v>331</v>
      </c>
      <c r="D88" s="472" t="s">
        <v>591</v>
      </c>
      <c r="E88" s="98" t="str">
        <f t="shared" si="1"/>
        <v>3Midi Plus Mk7 2M</v>
      </c>
      <c r="F88" s="472" t="s">
        <v>591</v>
      </c>
    </row>
    <row r="89" spans="2:6">
      <c r="B89" s="2">
        <v>4</v>
      </c>
      <c r="C89" s="196" t="s">
        <v>331</v>
      </c>
      <c r="D89" s="472" t="s">
        <v>588</v>
      </c>
      <c r="E89" s="98" t="str">
        <f t="shared" si="1"/>
        <v>4Midi Plus Mk7 2M</v>
      </c>
      <c r="F89" s="472" t="s">
        <v>588</v>
      </c>
    </row>
    <row r="90" spans="2:6">
      <c r="B90" s="2">
        <v>5</v>
      </c>
      <c r="C90" s="196" t="s">
        <v>331</v>
      </c>
      <c r="D90" s="472" t="s">
        <v>600</v>
      </c>
      <c r="E90" s="98" t="str">
        <f t="shared" si="1"/>
        <v>5Midi Plus Mk7 2M</v>
      </c>
      <c r="F90" s="472" t="s">
        <v>600</v>
      </c>
    </row>
    <row r="91" spans="2:6">
      <c r="B91" s="2">
        <v>6</v>
      </c>
      <c r="C91" s="196" t="s">
        <v>331</v>
      </c>
      <c r="D91" s="472" t="s">
        <v>592</v>
      </c>
      <c r="E91" s="98" t="str">
        <f t="shared" si="1"/>
        <v>6Midi Plus Mk7 2M</v>
      </c>
      <c r="F91" s="472" t="s">
        <v>592</v>
      </c>
    </row>
    <row r="92" spans="2:6">
      <c r="B92" s="2">
        <v>7</v>
      </c>
      <c r="C92" s="196" t="s">
        <v>331</v>
      </c>
      <c r="D92" s="472" t="s">
        <v>593</v>
      </c>
      <c r="E92" s="98" t="str">
        <f t="shared" si="1"/>
        <v>7Midi Plus Mk7 2M</v>
      </c>
      <c r="F92" s="472" t="s">
        <v>593</v>
      </c>
    </row>
    <row r="93" spans="2:6">
      <c r="B93" s="2">
        <v>8</v>
      </c>
      <c r="C93" s="196" t="s">
        <v>331</v>
      </c>
      <c r="D93" s="472" t="s">
        <v>594</v>
      </c>
      <c r="E93" s="98" t="str">
        <f t="shared" si="1"/>
        <v>8Midi Plus Mk7 2M</v>
      </c>
      <c r="F93" s="472" t="s">
        <v>594</v>
      </c>
    </row>
    <row r="94" spans="2:6">
      <c r="B94" s="2">
        <v>9</v>
      </c>
      <c r="C94" s="196" t="s">
        <v>331</v>
      </c>
      <c r="D94" s="472" t="s">
        <v>595</v>
      </c>
      <c r="E94" s="98" t="str">
        <f t="shared" si="1"/>
        <v>9Midi Plus Mk7 2M</v>
      </c>
      <c r="F94" s="472" t="s">
        <v>595</v>
      </c>
    </row>
    <row r="95" spans="2:6">
      <c r="B95" s="2">
        <v>10</v>
      </c>
      <c r="C95" s="196" t="s">
        <v>331</v>
      </c>
      <c r="D95" s="472" t="s">
        <v>603</v>
      </c>
      <c r="E95" s="98" t="str">
        <f t="shared" si="1"/>
        <v>10Midi Plus Mk7 2M</v>
      </c>
      <c r="F95" s="472" t="s">
        <v>603</v>
      </c>
    </row>
    <row r="96" spans="2:6">
      <c r="B96" s="2">
        <v>11</v>
      </c>
      <c r="C96" s="196" t="s">
        <v>331</v>
      </c>
      <c r="D96" s="472" t="s">
        <v>596</v>
      </c>
      <c r="E96" s="98" t="str">
        <f t="shared" si="1"/>
        <v>11Midi Plus Mk7 2M</v>
      </c>
      <c r="F96" s="472" t="s">
        <v>596</v>
      </c>
    </row>
    <row r="97" spans="2:6">
      <c r="B97" s="2">
        <v>12</v>
      </c>
      <c r="C97" s="196" t="s">
        <v>331</v>
      </c>
      <c r="D97" s="472" t="s">
        <v>604</v>
      </c>
      <c r="E97" s="98" t="str">
        <f t="shared" si="1"/>
        <v>12Midi Plus Mk7 2M</v>
      </c>
      <c r="F97" s="472" t="s">
        <v>604</v>
      </c>
    </row>
    <row r="98" spans="2:6">
      <c r="B98" s="2">
        <v>13</v>
      </c>
      <c r="C98" s="196" t="s">
        <v>331</v>
      </c>
      <c r="D98" s="472" t="s">
        <v>605</v>
      </c>
      <c r="E98" s="98" t="str">
        <f t="shared" si="1"/>
        <v>13Midi Plus Mk7 2M</v>
      </c>
      <c r="F98" s="472" t="s">
        <v>605</v>
      </c>
    </row>
    <row r="99" spans="2:6">
      <c r="B99" s="2">
        <v>14</v>
      </c>
      <c r="C99" s="196" t="s">
        <v>331</v>
      </c>
      <c r="D99" s="472" t="s">
        <v>597</v>
      </c>
      <c r="E99" s="98" t="str">
        <f t="shared" si="1"/>
        <v>14Midi Plus Mk7 2M</v>
      </c>
      <c r="F99" s="472" t="s">
        <v>597</v>
      </c>
    </row>
    <row r="100" spans="2:6">
      <c r="B100" s="2">
        <v>15</v>
      </c>
      <c r="C100" s="196" t="s">
        <v>331</v>
      </c>
      <c r="D100" s="472" t="s">
        <v>602</v>
      </c>
      <c r="E100" s="98" t="str">
        <f t="shared" si="1"/>
        <v>15Midi Plus Mk7 2M</v>
      </c>
      <c r="F100" s="472" t="s">
        <v>602</v>
      </c>
    </row>
    <row r="101" spans="2:6">
      <c r="B101" s="2">
        <v>16</v>
      </c>
      <c r="C101" s="196" t="s">
        <v>331</v>
      </c>
      <c r="D101" s="472" t="s">
        <v>598</v>
      </c>
      <c r="E101" s="98" t="str">
        <f t="shared" si="1"/>
        <v>16Midi Plus Mk7 2M</v>
      </c>
      <c r="F101" s="472" t="s">
        <v>598</v>
      </c>
    </row>
    <row r="102" spans="2:6">
      <c r="B102" s="2">
        <v>17</v>
      </c>
      <c r="C102" s="196" t="s">
        <v>331</v>
      </c>
      <c r="D102" s="472" t="s">
        <v>599</v>
      </c>
      <c r="E102" s="98" t="str">
        <f t="shared" si="1"/>
        <v>17Midi Plus Mk7 2M</v>
      </c>
      <c r="F102" s="472" t="s">
        <v>599</v>
      </c>
    </row>
    <row r="103" spans="2:6">
      <c r="B103" s="2">
        <v>1</v>
      </c>
      <c r="C103" s="196" t="s">
        <v>332</v>
      </c>
      <c r="D103" s="472" t="s">
        <v>589</v>
      </c>
      <c r="E103" s="98" t="str">
        <f t="shared" si="1"/>
        <v>1Midi Plus Mk7 2M R/A</v>
      </c>
      <c r="F103" s="472" t="s">
        <v>589</v>
      </c>
    </row>
    <row r="104" spans="2:6">
      <c r="B104" s="2">
        <v>2</v>
      </c>
      <c r="C104" s="196" t="s">
        <v>332</v>
      </c>
      <c r="D104" s="472" t="s">
        <v>590</v>
      </c>
      <c r="E104" s="98" t="str">
        <f t="shared" si="1"/>
        <v>2Midi Plus Mk7 2M R/A</v>
      </c>
      <c r="F104" s="472" t="s">
        <v>590</v>
      </c>
    </row>
    <row r="105" spans="2:6">
      <c r="B105" s="2">
        <v>3</v>
      </c>
      <c r="C105" s="196" t="s">
        <v>332</v>
      </c>
      <c r="D105" s="472" t="s">
        <v>591</v>
      </c>
      <c r="E105" s="98" t="str">
        <f t="shared" si="1"/>
        <v>3Midi Plus Mk7 2M R/A</v>
      </c>
      <c r="F105" s="472" t="s">
        <v>591</v>
      </c>
    </row>
    <row r="106" spans="2:6">
      <c r="B106" s="2">
        <v>4</v>
      </c>
      <c r="C106" s="196" t="s">
        <v>332</v>
      </c>
      <c r="D106" s="472" t="s">
        <v>588</v>
      </c>
      <c r="E106" s="98" t="str">
        <f t="shared" si="1"/>
        <v>4Midi Plus Mk7 2M R/A</v>
      </c>
      <c r="F106" s="472" t="s">
        <v>588</v>
      </c>
    </row>
    <row r="107" spans="2:6">
      <c r="B107" s="2">
        <v>5</v>
      </c>
      <c r="C107" s="196" t="s">
        <v>332</v>
      </c>
      <c r="D107" s="472" t="s">
        <v>600</v>
      </c>
      <c r="E107" s="98" t="str">
        <f t="shared" si="1"/>
        <v>5Midi Plus Mk7 2M R/A</v>
      </c>
      <c r="F107" s="472" t="s">
        <v>600</v>
      </c>
    </row>
    <row r="108" spans="2:6">
      <c r="B108" s="2">
        <v>6</v>
      </c>
      <c r="C108" s="196" t="s">
        <v>332</v>
      </c>
      <c r="D108" s="472" t="s">
        <v>592</v>
      </c>
      <c r="E108" s="98" t="str">
        <f t="shared" si="1"/>
        <v>6Midi Plus Mk7 2M R/A</v>
      </c>
      <c r="F108" s="472" t="s">
        <v>592</v>
      </c>
    </row>
    <row r="109" spans="2:6">
      <c r="B109" s="2">
        <v>7</v>
      </c>
      <c r="C109" s="196" t="s">
        <v>332</v>
      </c>
      <c r="D109" s="472" t="s">
        <v>593</v>
      </c>
      <c r="E109" s="98" t="str">
        <f t="shared" si="1"/>
        <v>7Midi Plus Mk7 2M R/A</v>
      </c>
      <c r="F109" s="472" t="s">
        <v>593</v>
      </c>
    </row>
    <row r="110" spans="2:6">
      <c r="B110" s="2">
        <v>8</v>
      </c>
      <c r="C110" s="196" t="s">
        <v>332</v>
      </c>
      <c r="D110" s="472" t="s">
        <v>594</v>
      </c>
      <c r="E110" s="98" t="str">
        <f t="shared" si="1"/>
        <v>8Midi Plus Mk7 2M R/A</v>
      </c>
      <c r="F110" s="472" t="s">
        <v>594</v>
      </c>
    </row>
    <row r="111" spans="2:6">
      <c r="B111" s="2">
        <v>9</v>
      </c>
      <c r="C111" s="196" t="s">
        <v>332</v>
      </c>
      <c r="D111" s="472" t="s">
        <v>595</v>
      </c>
      <c r="E111" s="98" t="str">
        <f t="shared" si="1"/>
        <v>9Midi Plus Mk7 2M R/A</v>
      </c>
      <c r="F111" s="472" t="s">
        <v>595</v>
      </c>
    </row>
    <row r="112" spans="2:6">
      <c r="B112" s="2">
        <v>10</v>
      </c>
      <c r="C112" s="196" t="s">
        <v>332</v>
      </c>
      <c r="D112" s="472" t="s">
        <v>603</v>
      </c>
      <c r="E112" s="98" t="str">
        <f t="shared" si="1"/>
        <v>10Midi Plus Mk7 2M R/A</v>
      </c>
      <c r="F112" s="472" t="s">
        <v>603</v>
      </c>
    </row>
    <row r="113" spans="2:6">
      <c r="B113" s="2">
        <v>11</v>
      </c>
      <c r="C113" s="196" t="s">
        <v>332</v>
      </c>
      <c r="D113" s="472" t="s">
        <v>596</v>
      </c>
      <c r="E113" s="98" t="str">
        <f t="shared" si="1"/>
        <v>11Midi Plus Mk7 2M R/A</v>
      </c>
      <c r="F113" s="472" t="s">
        <v>596</v>
      </c>
    </row>
    <row r="114" spans="2:6">
      <c r="B114" s="2">
        <v>12</v>
      </c>
      <c r="C114" s="196" t="s">
        <v>332</v>
      </c>
      <c r="D114" s="472" t="s">
        <v>604</v>
      </c>
      <c r="E114" s="98" t="str">
        <f t="shared" si="1"/>
        <v>12Midi Plus Mk7 2M R/A</v>
      </c>
      <c r="F114" s="472" t="s">
        <v>604</v>
      </c>
    </row>
    <row r="115" spans="2:6">
      <c r="B115" s="2">
        <v>13</v>
      </c>
      <c r="C115" s="196" t="s">
        <v>332</v>
      </c>
      <c r="D115" s="472" t="s">
        <v>605</v>
      </c>
      <c r="E115" s="98" t="str">
        <f t="shared" si="1"/>
        <v>13Midi Plus Mk7 2M R/A</v>
      </c>
      <c r="F115" s="472" t="s">
        <v>605</v>
      </c>
    </row>
    <row r="116" spans="2:6">
      <c r="B116" s="2">
        <v>14</v>
      </c>
      <c r="C116" s="196" t="s">
        <v>332</v>
      </c>
      <c r="D116" s="472" t="s">
        <v>597</v>
      </c>
      <c r="E116" s="98" t="str">
        <f t="shared" si="1"/>
        <v>14Midi Plus Mk7 2M R/A</v>
      </c>
      <c r="F116" s="472" t="s">
        <v>597</v>
      </c>
    </row>
    <row r="117" spans="2:6">
      <c r="B117" s="2">
        <v>15</v>
      </c>
      <c r="C117" s="196" t="s">
        <v>332</v>
      </c>
      <c r="D117" s="472" t="s">
        <v>602</v>
      </c>
      <c r="E117" s="98" t="str">
        <f t="shared" si="1"/>
        <v>15Midi Plus Mk7 2M R/A</v>
      </c>
      <c r="F117" s="472" t="s">
        <v>602</v>
      </c>
    </row>
    <row r="118" spans="2:6">
      <c r="B118" s="2">
        <v>16</v>
      </c>
      <c r="C118" s="196" t="s">
        <v>332</v>
      </c>
      <c r="D118" s="472" t="s">
        <v>598</v>
      </c>
      <c r="E118" s="98" t="str">
        <f t="shared" si="1"/>
        <v>16Midi Plus Mk7 2M R/A</v>
      </c>
      <c r="F118" s="472" t="s">
        <v>598</v>
      </c>
    </row>
    <row r="119" spans="2:6">
      <c r="B119" s="2">
        <v>17</v>
      </c>
      <c r="C119" s="196" t="s">
        <v>332</v>
      </c>
      <c r="D119" s="472" t="s">
        <v>599</v>
      </c>
      <c r="E119" s="98" t="str">
        <f t="shared" si="1"/>
        <v>17Midi Plus Mk7 2M R/A</v>
      </c>
      <c r="F119" s="472" t="s">
        <v>599</v>
      </c>
    </row>
    <row r="120" spans="2:6">
      <c r="B120" s="2">
        <v>1</v>
      </c>
      <c r="C120" s="196" t="s">
        <v>333</v>
      </c>
      <c r="D120" s="472" t="s">
        <v>589</v>
      </c>
      <c r="E120" s="98" t="str">
        <f t="shared" si="1"/>
        <v>1Midi Plus Mk7 4M</v>
      </c>
      <c r="F120" s="472" t="s">
        <v>589</v>
      </c>
    </row>
    <row r="121" spans="2:6">
      <c r="B121" s="2">
        <v>2</v>
      </c>
      <c r="C121" s="196" t="s">
        <v>333</v>
      </c>
      <c r="D121" s="472" t="s">
        <v>590</v>
      </c>
      <c r="E121" s="98" t="str">
        <f t="shared" si="1"/>
        <v>2Midi Plus Mk7 4M</v>
      </c>
      <c r="F121" s="472" t="s">
        <v>590</v>
      </c>
    </row>
    <row r="122" spans="2:6">
      <c r="B122" s="2">
        <v>3</v>
      </c>
      <c r="C122" s="196" t="s">
        <v>333</v>
      </c>
      <c r="D122" s="472" t="s">
        <v>591</v>
      </c>
      <c r="E122" s="98" t="str">
        <f t="shared" si="1"/>
        <v>3Midi Plus Mk7 4M</v>
      </c>
      <c r="F122" s="472" t="s">
        <v>591</v>
      </c>
    </row>
    <row r="123" spans="2:6">
      <c r="B123" s="2">
        <v>4</v>
      </c>
      <c r="C123" s="196" t="s">
        <v>333</v>
      </c>
      <c r="D123" s="472" t="s">
        <v>588</v>
      </c>
      <c r="E123" s="98" t="str">
        <f t="shared" si="1"/>
        <v>4Midi Plus Mk7 4M</v>
      </c>
      <c r="F123" s="472" t="s">
        <v>588</v>
      </c>
    </row>
    <row r="124" spans="2:6">
      <c r="B124" s="2">
        <v>5</v>
      </c>
      <c r="C124" s="196" t="s">
        <v>333</v>
      </c>
      <c r="D124" s="472" t="s">
        <v>600</v>
      </c>
      <c r="E124" s="98" t="str">
        <f t="shared" si="1"/>
        <v>5Midi Plus Mk7 4M</v>
      </c>
      <c r="F124" s="472" t="s">
        <v>600</v>
      </c>
    </row>
    <row r="125" spans="2:6">
      <c r="B125" s="2">
        <v>6</v>
      </c>
      <c r="C125" s="196" t="s">
        <v>333</v>
      </c>
      <c r="D125" s="472" t="s">
        <v>592</v>
      </c>
      <c r="E125" s="98" t="str">
        <f t="shared" si="1"/>
        <v>6Midi Plus Mk7 4M</v>
      </c>
      <c r="F125" s="472" t="s">
        <v>592</v>
      </c>
    </row>
    <row r="126" spans="2:6">
      <c r="B126" s="2">
        <v>7</v>
      </c>
      <c r="C126" s="196" t="s">
        <v>333</v>
      </c>
      <c r="D126" s="472" t="s">
        <v>593</v>
      </c>
      <c r="E126" s="98" t="str">
        <f t="shared" si="1"/>
        <v>7Midi Plus Mk7 4M</v>
      </c>
      <c r="F126" s="472" t="s">
        <v>593</v>
      </c>
    </row>
    <row r="127" spans="2:6">
      <c r="B127" s="2">
        <v>8</v>
      </c>
      <c r="C127" s="196" t="s">
        <v>333</v>
      </c>
      <c r="D127" s="472" t="s">
        <v>594</v>
      </c>
      <c r="E127" s="98" t="str">
        <f t="shared" si="1"/>
        <v>8Midi Plus Mk7 4M</v>
      </c>
      <c r="F127" s="472" t="s">
        <v>594</v>
      </c>
    </row>
    <row r="128" spans="2:6">
      <c r="B128" s="2">
        <v>9</v>
      </c>
      <c r="C128" s="196" t="s">
        <v>333</v>
      </c>
      <c r="D128" s="472" t="s">
        <v>595</v>
      </c>
      <c r="E128" s="98" t="str">
        <f t="shared" si="1"/>
        <v>9Midi Plus Mk7 4M</v>
      </c>
      <c r="F128" s="472" t="s">
        <v>595</v>
      </c>
    </row>
    <row r="129" spans="2:6">
      <c r="B129" s="2">
        <v>10</v>
      </c>
      <c r="C129" s="196" t="s">
        <v>333</v>
      </c>
      <c r="D129" s="472" t="s">
        <v>603</v>
      </c>
      <c r="E129" s="98" t="str">
        <f t="shared" si="1"/>
        <v>10Midi Plus Mk7 4M</v>
      </c>
      <c r="F129" s="472" t="s">
        <v>603</v>
      </c>
    </row>
    <row r="130" spans="2:6">
      <c r="B130" s="2">
        <v>11</v>
      </c>
      <c r="C130" s="196" t="s">
        <v>333</v>
      </c>
      <c r="D130" s="472" t="s">
        <v>596</v>
      </c>
      <c r="E130" s="98" t="str">
        <f t="shared" si="1"/>
        <v>11Midi Plus Mk7 4M</v>
      </c>
      <c r="F130" s="472" t="s">
        <v>596</v>
      </c>
    </row>
    <row r="131" spans="2:6">
      <c r="B131" s="2">
        <v>12</v>
      </c>
      <c r="C131" s="196" t="s">
        <v>333</v>
      </c>
      <c r="D131" s="472" t="s">
        <v>604</v>
      </c>
      <c r="E131" s="98" t="str">
        <f t="shared" si="1"/>
        <v>12Midi Plus Mk7 4M</v>
      </c>
      <c r="F131" s="472" t="s">
        <v>604</v>
      </c>
    </row>
    <row r="132" spans="2:6">
      <c r="B132" s="2">
        <v>13</v>
      </c>
      <c r="C132" s="196" t="s">
        <v>333</v>
      </c>
      <c r="D132" s="472" t="s">
        <v>605</v>
      </c>
      <c r="E132" s="98" t="str">
        <f t="shared" si="1"/>
        <v>13Midi Plus Mk7 4M</v>
      </c>
      <c r="F132" s="472" t="s">
        <v>605</v>
      </c>
    </row>
    <row r="133" spans="2:6">
      <c r="B133" s="2">
        <v>14</v>
      </c>
      <c r="C133" s="196" t="s">
        <v>333</v>
      </c>
      <c r="D133" s="472" t="s">
        <v>597</v>
      </c>
      <c r="E133" s="98" t="str">
        <f t="shared" si="1"/>
        <v>14Midi Plus Mk7 4M</v>
      </c>
      <c r="F133" s="472" t="s">
        <v>597</v>
      </c>
    </row>
    <row r="134" spans="2:6">
      <c r="B134" s="2">
        <v>15</v>
      </c>
      <c r="C134" s="196" t="s">
        <v>333</v>
      </c>
      <c r="D134" s="472" t="s">
        <v>602</v>
      </c>
      <c r="E134" s="98" t="str">
        <f t="shared" si="1"/>
        <v>15Midi Plus Mk7 4M</v>
      </c>
      <c r="F134" s="472" t="s">
        <v>602</v>
      </c>
    </row>
    <row r="135" spans="2:6">
      <c r="B135" s="2">
        <v>16</v>
      </c>
      <c r="C135" s="196" t="s">
        <v>333</v>
      </c>
      <c r="D135" s="472" t="s">
        <v>598</v>
      </c>
      <c r="E135" s="98" t="str">
        <f t="shared" ref="E135:E198" si="2">B135&amp;C135</f>
        <v>16Midi Plus Mk7 4M</v>
      </c>
      <c r="F135" s="472" t="s">
        <v>598</v>
      </c>
    </row>
    <row r="136" spans="2:6">
      <c r="B136" s="2">
        <v>17</v>
      </c>
      <c r="C136" s="196" t="s">
        <v>333</v>
      </c>
      <c r="D136" s="472" t="s">
        <v>599</v>
      </c>
      <c r="E136" s="98" t="str">
        <f t="shared" si="2"/>
        <v>17Midi Plus Mk7 4M</v>
      </c>
      <c r="F136" s="472" t="s">
        <v>599</v>
      </c>
    </row>
    <row r="137" spans="2:6">
      <c r="B137" s="2">
        <v>1</v>
      </c>
      <c r="C137" s="196" t="s">
        <v>334</v>
      </c>
      <c r="D137" s="472" t="s">
        <v>589</v>
      </c>
      <c r="E137" s="98" t="str">
        <f t="shared" si="2"/>
        <v>1Midi Plus Mk7 4M R/A</v>
      </c>
      <c r="F137" s="472" t="s">
        <v>589</v>
      </c>
    </row>
    <row r="138" spans="2:6">
      <c r="B138" s="2">
        <v>2</v>
      </c>
      <c r="C138" s="196" t="s">
        <v>334</v>
      </c>
      <c r="D138" s="472" t="s">
        <v>590</v>
      </c>
      <c r="E138" s="98" t="str">
        <f t="shared" si="2"/>
        <v>2Midi Plus Mk7 4M R/A</v>
      </c>
      <c r="F138" s="472" t="s">
        <v>590</v>
      </c>
    </row>
    <row r="139" spans="2:6">
      <c r="B139" s="2">
        <v>3</v>
      </c>
      <c r="C139" s="196" t="s">
        <v>334</v>
      </c>
      <c r="D139" s="472" t="s">
        <v>591</v>
      </c>
      <c r="E139" s="98" t="str">
        <f t="shared" si="2"/>
        <v>3Midi Plus Mk7 4M R/A</v>
      </c>
      <c r="F139" s="472" t="s">
        <v>591</v>
      </c>
    </row>
    <row r="140" spans="2:6">
      <c r="B140" s="2">
        <v>4</v>
      </c>
      <c r="C140" s="196" t="s">
        <v>334</v>
      </c>
      <c r="D140" s="472" t="s">
        <v>588</v>
      </c>
      <c r="E140" s="98" t="str">
        <f t="shared" si="2"/>
        <v>4Midi Plus Mk7 4M R/A</v>
      </c>
      <c r="F140" s="472" t="s">
        <v>588</v>
      </c>
    </row>
    <row r="141" spans="2:6">
      <c r="B141" s="2">
        <v>5</v>
      </c>
      <c r="C141" s="196" t="s">
        <v>334</v>
      </c>
      <c r="D141" s="472" t="s">
        <v>600</v>
      </c>
      <c r="E141" s="98" t="str">
        <f t="shared" si="2"/>
        <v>5Midi Plus Mk7 4M R/A</v>
      </c>
      <c r="F141" s="472" t="s">
        <v>600</v>
      </c>
    </row>
    <row r="142" spans="2:6">
      <c r="B142" s="2">
        <v>6</v>
      </c>
      <c r="C142" s="196" t="s">
        <v>334</v>
      </c>
      <c r="D142" s="472" t="s">
        <v>592</v>
      </c>
      <c r="E142" s="98" t="str">
        <f t="shared" si="2"/>
        <v>6Midi Plus Mk7 4M R/A</v>
      </c>
      <c r="F142" s="472" t="s">
        <v>592</v>
      </c>
    </row>
    <row r="143" spans="2:6">
      <c r="B143" s="2">
        <v>7</v>
      </c>
      <c r="C143" s="196" t="s">
        <v>334</v>
      </c>
      <c r="D143" s="472" t="s">
        <v>593</v>
      </c>
      <c r="E143" s="98" t="str">
        <f t="shared" si="2"/>
        <v>7Midi Plus Mk7 4M R/A</v>
      </c>
      <c r="F143" s="472" t="s">
        <v>593</v>
      </c>
    </row>
    <row r="144" spans="2:6">
      <c r="B144" s="2">
        <v>8</v>
      </c>
      <c r="C144" s="196" t="s">
        <v>334</v>
      </c>
      <c r="D144" s="472" t="s">
        <v>594</v>
      </c>
      <c r="E144" s="98" t="str">
        <f t="shared" si="2"/>
        <v>8Midi Plus Mk7 4M R/A</v>
      </c>
      <c r="F144" s="472" t="s">
        <v>594</v>
      </c>
    </row>
    <row r="145" spans="2:6">
      <c r="B145" s="2">
        <v>9</v>
      </c>
      <c r="C145" s="196" t="s">
        <v>334</v>
      </c>
      <c r="D145" s="472" t="s">
        <v>595</v>
      </c>
      <c r="E145" s="98" t="str">
        <f t="shared" si="2"/>
        <v>9Midi Plus Mk7 4M R/A</v>
      </c>
      <c r="F145" s="472" t="s">
        <v>595</v>
      </c>
    </row>
    <row r="146" spans="2:6">
      <c r="B146" s="2">
        <v>10</v>
      </c>
      <c r="C146" s="196" t="s">
        <v>334</v>
      </c>
      <c r="D146" s="472" t="s">
        <v>603</v>
      </c>
      <c r="E146" s="98" t="str">
        <f t="shared" si="2"/>
        <v>10Midi Plus Mk7 4M R/A</v>
      </c>
      <c r="F146" s="472" t="s">
        <v>603</v>
      </c>
    </row>
    <row r="147" spans="2:6">
      <c r="B147" s="2">
        <v>11</v>
      </c>
      <c r="C147" s="196" t="s">
        <v>334</v>
      </c>
      <c r="D147" s="472" t="s">
        <v>596</v>
      </c>
      <c r="E147" s="98" t="str">
        <f t="shared" si="2"/>
        <v>11Midi Plus Mk7 4M R/A</v>
      </c>
      <c r="F147" s="472" t="s">
        <v>596</v>
      </c>
    </row>
    <row r="148" spans="2:6">
      <c r="B148" s="2">
        <v>12</v>
      </c>
      <c r="C148" s="196" t="s">
        <v>334</v>
      </c>
      <c r="D148" s="472" t="s">
        <v>604</v>
      </c>
      <c r="E148" s="98" t="str">
        <f t="shared" si="2"/>
        <v>12Midi Plus Mk7 4M R/A</v>
      </c>
      <c r="F148" s="472" t="s">
        <v>604</v>
      </c>
    </row>
    <row r="149" spans="2:6">
      <c r="B149" s="2">
        <v>13</v>
      </c>
      <c r="C149" s="196" t="s">
        <v>334</v>
      </c>
      <c r="D149" s="472" t="s">
        <v>605</v>
      </c>
      <c r="E149" s="98" t="str">
        <f t="shared" si="2"/>
        <v>13Midi Plus Mk7 4M R/A</v>
      </c>
      <c r="F149" s="472" t="s">
        <v>605</v>
      </c>
    </row>
    <row r="150" spans="2:6">
      <c r="B150" s="2">
        <v>14</v>
      </c>
      <c r="C150" s="196" t="s">
        <v>334</v>
      </c>
      <c r="D150" s="472" t="s">
        <v>597</v>
      </c>
      <c r="E150" s="98" t="str">
        <f t="shared" si="2"/>
        <v>14Midi Plus Mk7 4M R/A</v>
      </c>
      <c r="F150" s="472" t="s">
        <v>597</v>
      </c>
    </row>
    <row r="151" spans="2:6">
      <c r="B151" s="2">
        <v>15</v>
      </c>
      <c r="C151" s="196" t="s">
        <v>334</v>
      </c>
      <c r="D151" s="472" t="s">
        <v>602</v>
      </c>
      <c r="E151" s="98" t="str">
        <f t="shared" si="2"/>
        <v>15Midi Plus Mk7 4M R/A</v>
      </c>
      <c r="F151" s="472" t="s">
        <v>602</v>
      </c>
    </row>
    <row r="152" spans="2:6">
      <c r="B152" s="2">
        <v>16</v>
      </c>
      <c r="C152" s="196" t="s">
        <v>334</v>
      </c>
      <c r="D152" s="472" t="s">
        <v>598</v>
      </c>
      <c r="E152" s="98" t="str">
        <f t="shared" si="2"/>
        <v>16Midi Plus Mk7 4M R/A</v>
      </c>
      <c r="F152" s="472" t="s">
        <v>598</v>
      </c>
    </row>
    <row r="153" spans="2:6">
      <c r="B153" s="2">
        <v>17</v>
      </c>
      <c r="C153" s="196" t="s">
        <v>334</v>
      </c>
      <c r="D153" s="472" t="s">
        <v>599</v>
      </c>
      <c r="E153" s="98" t="str">
        <f t="shared" si="2"/>
        <v>17Midi Plus Mk7 4M R/A</v>
      </c>
      <c r="F153" s="472" t="s">
        <v>599</v>
      </c>
    </row>
    <row r="154" spans="2:6">
      <c r="B154" s="2">
        <v>1</v>
      </c>
      <c r="C154" s="196" t="s">
        <v>340</v>
      </c>
      <c r="D154" s="472" t="s">
        <v>592</v>
      </c>
      <c r="E154" s="98" t="str">
        <f t="shared" si="2"/>
        <v>1Mini Mk7 2M</v>
      </c>
      <c r="F154" s="472" t="s">
        <v>592</v>
      </c>
    </row>
    <row r="155" spans="2:6">
      <c r="B155" s="2">
        <v>2</v>
      </c>
      <c r="C155" s="196" t="s">
        <v>340</v>
      </c>
      <c r="D155" s="472" t="s">
        <v>595</v>
      </c>
      <c r="E155" s="98" t="str">
        <f t="shared" si="2"/>
        <v>2Mini Mk7 2M</v>
      </c>
      <c r="F155" s="472" t="s">
        <v>595</v>
      </c>
    </row>
    <row r="156" spans="2:6">
      <c r="B156" s="2">
        <v>3</v>
      </c>
      <c r="C156" s="196" t="s">
        <v>340</v>
      </c>
      <c r="D156" s="472" t="s">
        <v>597</v>
      </c>
      <c r="E156" s="98" t="str">
        <f t="shared" si="2"/>
        <v>3Mini Mk7 2M</v>
      </c>
      <c r="F156" s="472" t="s">
        <v>597</v>
      </c>
    </row>
    <row r="157" spans="2:6">
      <c r="B157" s="2">
        <v>1</v>
      </c>
      <c r="C157" s="196" t="s">
        <v>341</v>
      </c>
      <c r="D157" s="472" t="s">
        <v>592</v>
      </c>
      <c r="E157" s="98" t="str">
        <f t="shared" si="2"/>
        <v>1Mini Mk7 2M R/A</v>
      </c>
      <c r="F157" s="472" t="s">
        <v>592</v>
      </c>
    </row>
    <row r="158" spans="2:6">
      <c r="B158" s="2">
        <v>2</v>
      </c>
      <c r="C158" s="196" t="s">
        <v>341</v>
      </c>
      <c r="D158" s="472" t="s">
        <v>595</v>
      </c>
      <c r="E158" s="98" t="str">
        <f t="shared" si="2"/>
        <v>2Mini Mk7 2M R/A</v>
      </c>
      <c r="F158" s="472" t="s">
        <v>595</v>
      </c>
    </row>
    <row r="159" spans="2:6">
      <c r="B159" s="2">
        <v>3</v>
      </c>
      <c r="C159" s="196" t="s">
        <v>341</v>
      </c>
      <c r="D159" s="472" t="s">
        <v>597</v>
      </c>
      <c r="E159" s="98" t="str">
        <f t="shared" si="2"/>
        <v>3Mini Mk7 2M R/A</v>
      </c>
      <c r="F159" s="472" t="s">
        <v>597</v>
      </c>
    </row>
    <row r="160" spans="2:6">
      <c r="B160" s="2">
        <v>1</v>
      </c>
      <c r="C160" s="196" t="s">
        <v>342</v>
      </c>
      <c r="D160" s="472" t="s">
        <v>592</v>
      </c>
      <c r="E160" s="98" t="str">
        <f t="shared" si="2"/>
        <v>1Mini Mk7 4M</v>
      </c>
      <c r="F160" s="472" t="s">
        <v>592</v>
      </c>
    </row>
    <row r="161" spans="2:6">
      <c r="B161" s="2">
        <v>2</v>
      </c>
      <c r="C161" s="196" t="s">
        <v>342</v>
      </c>
      <c r="D161" s="472" t="s">
        <v>595</v>
      </c>
      <c r="E161" s="98" t="str">
        <f t="shared" si="2"/>
        <v>2Mini Mk7 4M</v>
      </c>
      <c r="F161" s="472" t="s">
        <v>595</v>
      </c>
    </row>
    <row r="162" spans="2:6">
      <c r="B162" s="2">
        <v>3</v>
      </c>
      <c r="C162" s="196" t="s">
        <v>342</v>
      </c>
      <c r="D162" s="472" t="s">
        <v>597</v>
      </c>
      <c r="E162" s="98" t="str">
        <f t="shared" si="2"/>
        <v>3Mini Mk7 4M</v>
      </c>
      <c r="F162" s="472" t="s">
        <v>597</v>
      </c>
    </row>
    <row r="163" spans="2:6">
      <c r="B163" s="2">
        <v>1</v>
      </c>
      <c r="C163" s="196" t="s">
        <v>343</v>
      </c>
      <c r="D163" s="472" t="s">
        <v>592</v>
      </c>
      <c r="E163" s="98" t="str">
        <f t="shared" si="2"/>
        <v>1Mini Mk7 4M R/A</v>
      </c>
      <c r="F163" s="472" t="s">
        <v>592</v>
      </c>
    </row>
    <row r="164" spans="2:6">
      <c r="B164" s="2">
        <v>2</v>
      </c>
      <c r="C164" s="196" t="s">
        <v>343</v>
      </c>
      <c r="D164" s="472" t="s">
        <v>595</v>
      </c>
      <c r="E164" s="98" t="str">
        <f t="shared" si="2"/>
        <v>2Mini Mk7 4M R/A</v>
      </c>
      <c r="F164" s="472" t="s">
        <v>595</v>
      </c>
    </row>
    <row r="165" spans="2:6">
      <c r="B165" s="2">
        <v>3</v>
      </c>
      <c r="C165" s="196" t="s">
        <v>343</v>
      </c>
      <c r="D165" s="472" t="s">
        <v>597</v>
      </c>
      <c r="E165" s="98" t="str">
        <f t="shared" si="2"/>
        <v>3Mini Mk7 4M R/A</v>
      </c>
      <c r="F165" s="472" t="s">
        <v>597</v>
      </c>
    </row>
    <row r="166" spans="2:6">
      <c r="B166" s="2">
        <v>1</v>
      </c>
      <c r="C166" s="196" t="s">
        <v>352</v>
      </c>
      <c r="D166" s="472" t="s">
        <v>592</v>
      </c>
      <c r="E166" s="98" t="str">
        <f t="shared" si="2"/>
        <v>1Ultima A Mk7 2M</v>
      </c>
      <c r="F166" s="472" t="s">
        <v>592</v>
      </c>
    </row>
    <row r="167" spans="2:6">
      <c r="B167" s="2">
        <v>2</v>
      </c>
      <c r="C167" s="196" t="s">
        <v>352</v>
      </c>
      <c r="D167" s="472" t="s">
        <v>601</v>
      </c>
      <c r="E167" s="98" t="str">
        <f t="shared" si="2"/>
        <v>2Ultima A Mk7 2M</v>
      </c>
      <c r="F167" s="472" t="s">
        <v>601</v>
      </c>
    </row>
    <row r="168" spans="2:6">
      <c r="B168" s="2">
        <v>3</v>
      </c>
      <c r="C168" s="196" t="s">
        <v>352</v>
      </c>
      <c r="D168" s="472" t="s">
        <v>603</v>
      </c>
      <c r="E168" s="98" t="str">
        <f t="shared" si="2"/>
        <v>3Ultima A Mk7 2M</v>
      </c>
      <c r="F168" s="472" t="s">
        <v>603</v>
      </c>
    </row>
    <row r="169" spans="2:6">
      <c r="B169" s="2">
        <v>4</v>
      </c>
      <c r="C169" s="196" t="s">
        <v>352</v>
      </c>
      <c r="D169" s="472" t="s">
        <v>596</v>
      </c>
      <c r="E169" s="98" t="str">
        <f t="shared" si="2"/>
        <v>4Ultima A Mk7 2M</v>
      </c>
      <c r="F169" s="472" t="s">
        <v>596</v>
      </c>
    </row>
    <row r="170" spans="2:6">
      <c r="B170" s="2">
        <v>1</v>
      </c>
      <c r="C170" s="196" t="s">
        <v>353</v>
      </c>
      <c r="D170" s="472" t="s">
        <v>592</v>
      </c>
      <c r="E170" s="98" t="str">
        <f t="shared" si="2"/>
        <v>1Ultima A Mk7 2M R/A</v>
      </c>
      <c r="F170" s="472" t="s">
        <v>592</v>
      </c>
    </row>
    <row r="171" spans="2:6">
      <c r="B171" s="2">
        <v>2</v>
      </c>
      <c r="C171" s="196" t="s">
        <v>353</v>
      </c>
      <c r="D171" s="472" t="s">
        <v>601</v>
      </c>
      <c r="E171" s="98" t="str">
        <f t="shared" si="2"/>
        <v>2Ultima A Mk7 2M R/A</v>
      </c>
      <c r="F171" s="472" t="s">
        <v>601</v>
      </c>
    </row>
    <row r="172" spans="2:6">
      <c r="B172" s="2">
        <v>3</v>
      </c>
      <c r="C172" s="196" t="s">
        <v>353</v>
      </c>
      <c r="D172" s="472" t="s">
        <v>603</v>
      </c>
      <c r="E172" s="98" t="str">
        <f t="shared" si="2"/>
        <v>3Ultima A Mk7 2M R/A</v>
      </c>
      <c r="F172" s="472" t="s">
        <v>603</v>
      </c>
    </row>
    <row r="173" spans="2:6">
      <c r="B173" s="2">
        <v>4</v>
      </c>
      <c r="C173" s="196" t="s">
        <v>353</v>
      </c>
      <c r="D173" s="472" t="s">
        <v>596</v>
      </c>
      <c r="E173" s="98" t="str">
        <f t="shared" si="2"/>
        <v>4Ultima A Mk7 2M R/A</v>
      </c>
      <c r="F173" s="472" t="s">
        <v>596</v>
      </c>
    </row>
    <row r="174" spans="2:6">
      <c r="B174" s="2">
        <v>1</v>
      </c>
      <c r="C174" s="196" t="s">
        <v>354</v>
      </c>
      <c r="D174" s="472" t="s">
        <v>592</v>
      </c>
      <c r="E174" s="98" t="str">
        <f t="shared" si="2"/>
        <v>1Ultima A Mk7 4M</v>
      </c>
      <c r="F174" s="472" t="s">
        <v>592</v>
      </c>
    </row>
    <row r="175" spans="2:6">
      <c r="B175" s="2">
        <v>2</v>
      </c>
      <c r="C175" s="196" t="s">
        <v>354</v>
      </c>
      <c r="D175" s="472" t="s">
        <v>601</v>
      </c>
      <c r="E175" s="98" t="str">
        <f t="shared" si="2"/>
        <v>2Ultima A Mk7 4M</v>
      </c>
      <c r="F175" s="472" t="s">
        <v>601</v>
      </c>
    </row>
    <row r="176" spans="2:6">
      <c r="B176" s="2">
        <v>3</v>
      </c>
      <c r="C176" s="196" t="s">
        <v>354</v>
      </c>
      <c r="D176" s="472" t="s">
        <v>603</v>
      </c>
      <c r="E176" s="98" t="str">
        <f t="shared" si="2"/>
        <v>3Ultima A Mk7 4M</v>
      </c>
      <c r="F176" s="472" t="s">
        <v>603</v>
      </c>
    </row>
    <row r="177" spans="2:6">
      <c r="B177" s="2">
        <v>4</v>
      </c>
      <c r="C177" s="196" t="s">
        <v>354</v>
      </c>
      <c r="D177" s="472" t="s">
        <v>596</v>
      </c>
      <c r="E177" s="98" t="str">
        <f t="shared" si="2"/>
        <v>4Ultima A Mk7 4M</v>
      </c>
      <c r="F177" s="472" t="s">
        <v>596</v>
      </c>
    </row>
    <row r="178" spans="2:6">
      <c r="B178" s="2">
        <v>1</v>
      </c>
      <c r="C178" s="196" t="s">
        <v>355</v>
      </c>
      <c r="D178" s="472" t="s">
        <v>592</v>
      </c>
      <c r="E178" s="98" t="str">
        <f t="shared" si="2"/>
        <v>1Ultima A Mk7 4M R/A</v>
      </c>
      <c r="F178" s="472" t="s">
        <v>592</v>
      </c>
    </row>
    <row r="179" spans="2:6">
      <c r="B179" s="2">
        <v>2</v>
      </c>
      <c r="C179" s="196" t="s">
        <v>355</v>
      </c>
      <c r="D179" s="472" t="s">
        <v>601</v>
      </c>
      <c r="E179" s="98" t="str">
        <f t="shared" si="2"/>
        <v>2Ultima A Mk7 4M R/A</v>
      </c>
      <c r="F179" s="472" t="s">
        <v>601</v>
      </c>
    </row>
    <row r="180" spans="2:6">
      <c r="B180" s="2">
        <v>3</v>
      </c>
      <c r="C180" s="196" t="s">
        <v>355</v>
      </c>
      <c r="D180" s="472" t="s">
        <v>603</v>
      </c>
      <c r="E180" s="98" t="str">
        <f t="shared" si="2"/>
        <v>3Ultima A Mk7 4M R/A</v>
      </c>
      <c r="F180" s="472" t="s">
        <v>603</v>
      </c>
    </row>
    <row r="181" spans="2:6">
      <c r="B181" s="2">
        <v>4</v>
      </c>
      <c r="C181" s="196" t="s">
        <v>355</v>
      </c>
      <c r="D181" s="472" t="s">
        <v>596</v>
      </c>
      <c r="E181" s="98" t="str">
        <f t="shared" si="2"/>
        <v>4Ultima A Mk7 4M R/A</v>
      </c>
      <c r="F181" s="472" t="s">
        <v>596</v>
      </c>
    </row>
    <row r="182" spans="2:6">
      <c r="B182" s="2">
        <v>1</v>
      </c>
      <c r="C182" s="196" t="s">
        <v>344</v>
      </c>
      <c r="D182" s="472" t="s">
        <v>589</v>
      </c>
      <c r="E182" s="98" t="str">
        <f t="shared" si="2"/>
        <v>1Ultima Mk7 2M</v>
      </c>
      <c r="F182" s="472" t="s">
        <v>589</v>
      </c>
    </row>
    <row r="183" spans="2:6">
      <c r="B183" s="2">
        <v>2</v>
      </c>
      <c r="C183" s="196" t="s">
        <v>344</v>
      </c>
      <c r="D183" s="472" t="s">
        <v>590</v>
      </c>
      <c r="E183" s="98" t="str">
        <f t="shared" si="2"/>
        <v>2Ultima Mk7 2M</v>
      </c>
      <c r="F183" s="472" t="s">
        <v>590</v>
      </c>
    </row>
    <row r="184" spans="2:6">
      <c r="B184" s="2">
        <v>3</v>
      </c>
      <c r="C184" s="196" t="s">
        <v>344</v>
      </c>
      <c r="D184" s="472" t="s">
        <v>591</v>
      </c>
      <c r="E184" s="98" t="str">
        <f t="shared" si="2"/>
        <v>3Ultima Mk7 2M</v>
      </c>
      <c r="F184" s="472" t="s">
        <v>591</v>
      </c>
    </row>
    <row r="185" spans="2:6">
      <c r="B185" s="2">
        <v>4</v>
      </c>
      <c r="C185" s="196" t="s">
        <v>344</v>
      </c>
      <c r="D185" s="472" t="s">
        <v>592</v>
      </c>
      <c r="E185" s="98" t="str">
        <f t="shared" si="2"/>
        <v>4Ultima Mk7 2M</v>
      </c>
      <c r="F185" s="472" t="s">
        <v>592</v>
      </c>
    </row>
    <row r="186" spans="2:6">
      <c r="B186" s="2">
        <v>5</v>
      </c>
      <c r="C186" s="196" t="s">
        <v>344</v>
      </c>
      <c r="D186" s="472" t="s">
        <v>595</v>
      </c>
      <c r="E186" s="98" t="str">
        <f t="shared" si="2"/>
        <v>5Ultima Mk7 2M</v>
      </c>
      <c r="F186" s="472" t="s">
        <v>595</v>
      </c>
    </row>
    <row r="187" spans="2:6">
      <c r="B187" s="2">
        <v>6</v>
      </c>
      <c r="C187" s="196" t="s">
        <v>344</v>
      </c>
      <c r="D187" s="472" t="s">
        <v>597</v>
      </c>
      <c r="E187" s="98" t="str">
        <f t="shared" si="2"/>
        <v>6Ultima Mk7 2M</v>
      </c>
      <c r="F187" s="472" t="s">
        <v>597</v>
      </c>
    </row>
    <row r="188" spans="2:6">
      <c r="B188" s="2">
        <v>7</v>
      </c>
      <c r="C188" s="196" t="s">
        <v>344</v>
      </c>
      <c r="D188" s="472" t="s">
        <v>602</v>
      </c>
      <c r="E188" s="98" t="str">
        <f t="shared" si="2"/>
        <v>7Ultima Mk7 2M</v>
      </c>
      <c r="F188" s="472" t="s">
        <v>602</v>
      </c>
    </row>
    <row r="189" spans="2:6">
      <c r="B189" s="2">
        <v>8</v>
      </c>
      <c r="C189" s="196" t="s">
        <v>344</v>
      </c>
      <c r="D189" s="472" t="s">
        <v>598</v>
      </c>
      <c r="E189" s="98" t="str">
        <f t="shared" si="2"/>
        <v>8Ultima Mk7 2M</v>
      </c>
      <c r="F189" s="472" t="s">
        <v>598</v>
      </c>
    </row>
    <row r="190" spans="2:6">
      <c r="B190" s="2">
        <v>9</v>
      </c>
      <c r="C190" s="196" t="s">
        <v>344</v>
      </c>
      <c r="D190" s="472" t="s">
        <v>599</v>
      </c>
      <c r="E190" s="98" t="str">
        <f t="shared" si="2"/>
        <v>9Ultima Mk7 2M</v>
      </c>
      <c r="F190" s="472" t="s">
        <v>599</v>
      </c>
    </row>
    <row r="191" spans="2:6">
      <c r="B191" s="2">
        <v>1</v>
      </c>
      <c r="C191" s="196" t="s">
        <v>345</v>
      </c>
      <c r="D191" s="472" t="s">
        <v>589</v>
      </c>
      <c r="E191" s="98" t="str">
        <f t="shared" si="2"/>
        <v>1Ultima Mk7 2M R/A</v>
      </c>
      <c r="F191" s="472" t="s">
        <v>589</v>
      </c>
    </row>
    <row r="192" spans="2:6">
      <c r="B192" s="2">
        <v>2</v>
      </c>
      <c r="C192" s="196" t="s">
        <v>345</v>
      </c>
      <c r="D192" s="472" t="s">
        <v>590</v>
      </c>
      <c r="E192" s="98" t="str">
        <f t="shared" si="2"/>
        <v>2Ultima Mk7 2M R/A</v>
      </c>
      <c r="F192" s="472" t="s">
        <v>590</v>
      </c>
    </row>
    <row r="193" spans="2:6">
      <c r="B193" s="2">
        <v>3</v>
      </c>
      <c r="C193" s="196" t="s">
        <v>345</v>
      </c>
      <c r="D193" s="472" t="s">
        <v>591</v>
      </c>
      <c r="E193" s="98" t="str">
        <f t="shared" si="2"/>
        <v>3Ultima Mk7 2M R/A</v>
      </c>
      <c r="F193" s="472" t="s">
        <v>591</v>
      </c>
    </row>
    <row r="194" spans="2:6">
      <c r="B194" s="2">
        <v>4</v>
      </c>
      <c r="C194" s="196" t="s">
        <v>345</v>
      </c>
      <c r="D194" s="472" t="s">
        <v>592</v>
      </c>
      <c r="E194" s="98" t="str">
        <f t="shared" si="2"/>
        <v>4Ultima Mk7 2M R/A</v>
      </c>
      <c r="F194" s="472" t="s">
        <v>592</v>
      </c>
    </row>
    <row r="195" spans="2:6">
      <c r="B195" s="2">
        <v>5</v>
      </c>
      <c r="C195" s="196" t="s">
        <v>345</v>
      </c>
      <c r="D195" s="472" t="s">
        <v>595</v>
      </c>
      <c r="E195" s="98" t="str">
        <f t="shared" si="2"/>
        <v>5Ultima Mk7 2M R/A</v>
      </c>
      <c r="F195" s="472" t="s">
        <v>595</v>
      </c>
    </row>
    <row r="196" spans="2:6">
      <c r="B196" s="2">
        <v>6</v>
      </c>
      <c r="C196" s="196" t="s">
        <v>345</v>
      </c>
      <c r="D196" s="472" t="s">
        <v>597</v>
      </c>
      <c r="E196" s="98" t="str">
        <f t="shared" si="2"/>
        <v>6Ultima Mk7 2M R/A</v>
      </c>
      <c r="F196" s="472" t="s">
        <v>597</v>
      </c>
    </row>
    <row r="197" spans="2:6">
      <c r="B197" s="2">
        <v>7</v>
      </c>
      <c r="C197" s="196" t="s">
        <v>345</v>
      </c>
      <c r="D197" s="472" t="s">
        <v>602</v>
      </c>
      <c r="E197" s="98" t="str">
        <f t="shared" si="2"/>
        <v>7Ultima Mk7 2M R/A</v>
      </c>
      <c r="F197" s="472" t="s">
        <v>602</v>
      </c>
    </row>
    <row r="198" spans="2:6">
      <c r="B198" s="2">
        <v>8</v>
      </c>
      <c r="C198" s="196" t="s">
        <v>345</v>
      </c>
      <c r="D198" s="472" t="s">
        <v>598</v>
      </c>
      <c r="E198" s="98" t="str">
        <f t="shared" si="2"/>
        <v>8Ultima Mk7 2M R/A</v>
      </c>
      <c r="F198" s="472" t="s">
        <v>598</v>
      </c>
    </row>
    <row r="199" spans="2:6">
      <c r="B199" s="2">
        <v>9</v>
      </c>
      <c r="C199" s="196" t="s">
        <v>345</v>
      </c>
      <c r="D199" s="472" t="s">
        <v>599</v>
      </c>
      <c r="E199" s="98" t="str">
        <f t="shared" ref="E199:E262" si="3">B199&amp;C199</f>
        <v>9Ultima Mk7 2M R/A</v>
      </c>
      <c r="F199" s="472" t="s">
        <v>599</v>
      </c>
    </row>
    <row r="200" spans="2:6">
      <c r="B200" s="2">
        <v>1</v>
      </c>
      <c r="C200" s="196" t="s">
        <v>346</v>
      </c>
      <c r="D200" s="472" t="s">
        <v>589</v>
      </c>
      <c r="E200" s="98" t="str">
        <f t="shared" si="3"/>
        <v>1Ultima Mk7 4M</v>
      </c>
      <c r="F200" s="472" t="s">
        <v>589</v>
      </c>
    </row>
    <row r="201" spans="2:6">
      <c r="B201" s="2">
        <v>2</v>
      </c>
      <c r="C201" s="196" t="s">
        <v>346</v>
      </c>
      <c r="D201" s="472" t="s">
        <v>590</v>
      </c>
      <c r="E201" s="98" t="str">
        <f t="shared" si="3"/>
        <v>2Ultima Mk7 4M</v>
      </c>
      <c r="F201" s="472" t="s">
        <v>590</v>
      </c>
    </row>
    <row r="202" spans="2:6">
      <c r="B202" s="2">
        <v>3</v>
      </c>
      <c r="C202" s="196" t="s">
        <v>346</v>
      </c>
      <c r="D202" s="472" t="s">
        <v>591</v>
      </c>
      <c r="E202" s="98" t="str">
        <f t="shared" si="3"/>
        <v>3Ultima Mk7 4M</v>
      </c>
      <c r="F202" s="472" t="s">
        <v>591</v>
      </c>
    </row>
    <row r="203" spans="2:6">
      <c r="B203" s="2">
        <v>4</v>
      </c>
      <c r="C203" s="196" t="s">
        <v>346</v>
      </c>
      <c r="D203" s="472" t="s">
        <v>592</v>
      </c>
      <c r="E203" s="98" t="str">
        <f t="shared" si="3"/>
        <v>4Ultima Mk7 4M</v>
      </c>
      <c r="F203" s="472" t="s">
        <v>592</v>
      </c>
    </row>
    <row r="204" spans="2:6">
      <c r="B204" s="2">
        <v>5</v>
      </c>
      <c r="C204" s="196" t="s">
        <v>346</v>
      </c>
      <c r="D204" s="472" t="s">
        <v>595</v>
      </c>
      <c r="E204" s="98" t="str">
        <f t="shared" si="3"/>
        <v>5Ultima Mk7 4M</v>
      </c>
      <c r="F204" s="472" t="s">
        <v>595</v>
      </c>
    </row>
    <row r="205" spans="2:6">
      <c r="B205" s="2">
        <v>6</v>
      </c>
      <c r="C205" s="196" t="s">
        <v>346</v>
      </c>
      <c r="D205" s="472" t="s">
        <v>597</v>
      </c>
      <c r="E205" s="98" t="str">
        <f t="shared" si="3"/>
        <v>6Ultima Mk7 4M</v>
      </c>
      <c r="F205" s="472" t="s">
        <v>597</v>
      </c>
    </row>
    <row r="206" spans="2:6">
      <c r="B206" s="2">
        <v>7</v>
      </c>
      <c r="C206" s="196" t="s">
        <v>346</v>
      </c>
      <c r="D206" s="472" t="s">
        <v>602</v>
      </c>
      <c r="E206" s="98" t="str">
        <f t="shared" si="3"/>
        <v>7Ultima Mk7 4M</v>
      </c>
      <c r="F206" s="472" t="s">
        <v>602</v>
      </c>
    </row>
    <row r="207" spans="2:6">
      <c r="B207" s="2">
        <v>8</v>
      </c>
      <c r="C207" s="196" t="s">
        <v>346</v>
      </c>
      <c r="D207" s="472" t="s">
        <v>598</v>
      </c>
      <c r="E207" s="98" t="str">
        <f t="shared" si="3"/>
        <v>8Ultima Mk7 4M</v>
      </c>
      <c r="F207" s="472" t="s">
        <v>598</v>
      </c>
    </row>
    <row r="208" spans="2:6">
      <c r="B208" s="2">
        <v>9</v>
      </c>
      <c r="C208" s="196" t="s">
        <v>346</v>
      </c>
      <c r="D208" s="472" t="s">
        <v>599</v>
      </c>
      <c r="E208" s="98" t="str">
        <f t="shared" si="3"/>
        <v>9Ultima Mk7 4M</v>
      </c>
      <c r="F208" s="472" t="s">
        <v>599</v>
      </c>
    </row>
    <row r="209" spans="2:6">
      <c r="B209" s="2">
        <v>1</v>
      </c>
      <c r="C209" s="196" t="s">
        <v>347</v>
      </c>
      <c r="D209" s="472" t="s">
        <v>589</v>
      </c>
      <c r="E209" s="98" t="str">
        <f t="shared" si="3"/>
        <v>1Ultima Mk7 4M R/A</v>
      </c>
      <c r="F209" s="472" t="s">
        <v>589</v>
      </c>
    </row>
    <row r="210" spans="2:6">
      <c r="B210" s="2">
        <v>2</v>
      </c>
      <c r="C210" s="196" t="s">
        <v>347</v>
      </c>
      <c r="D210" s="472" t="s">
        <v>590</v>
      </c>
      <c r="E210" s="98" t="str">
        <f t="shared" si="3"/>
        <v>2Ultima Mk7 4M R/A</v>
      </c>
      <c r="F210" s="472" t="s">
        <v>590</v>
      </c>
    </row>
    <row r="211" spans="2:6">
      <c r="B211" s="2">
        <v>3</v>
      </c>
      <c r="C211" s="196" t="s">
        <v>347</v>
      </c>
      <c r="D211" s="472" t="s">
        <v>591</v>
      </c>
      <c r="E211" s="98" t="str">
        <f t="shared" si="3"/>
        <v>3Ultima Mk7 4M R/A</v>
      </c>
      <c r="F211" s="472" t="s">
        <v>591</v>
      </c>
    </row>
    <row r="212" spans="2:6">
      <c r="B212" s="2">
        <v>4</v>
      </c>
      <c r="C212" s="196" t="s">
        <v>347</v>
      </c>
      <c r="D212" s="472" t="s">
        <v>592</v>
      </c>
      <c r="E212" s="98" t="str">
        <f t="shared" si="3"/>
        <v>4Ultima Mk7 4M R/A</v>
      </c>
      <c r="F212" s="472" t="s">
        <v>592</v>
      </c>
    </row>
    <row r="213" spans="2:6">
      <c r="B213" s="2">
        <v>5</v>
      </c>
      <c r="C213" s="196" t="s">
        <v>347</v>
      </c>
      <c r="D213" s="472" t="s">
        <v>595</v>
      </c>
      <c r="E213" s="98" t="str">
        <f t="shared" si="3"/>
        <v>5Ultima Mk7 4M R/A</v>
      </c>
      <c r="F213" s="472" t="s">
        <v>595</v>
      </c>
    </row>
    <row r="214" spans="2:6">
      <c r="B214" s="2">
        <v>6</v>
      </c>
      <c r="C214" s="196" t="s">
        <v>347</v>
      </c>
      <c r="D214" s="472" t="s">
        <v>597</v>
      </c>
      <c r="E214" s="98" t="str">
        <f t="shared" si="3"/>
        <v>6Ultima Mk7 4M R/A</v>
      </c>
      <c r="F214" s="472" t="s">
        <v>597</v>
      </c>
    </row>
    <row r="215" spans="2:6">
      <c r="B215" s="2">
        <v>7</v>
      </c>
      <c r="C215" s="196" t="s">
        <v>347</v>
      </c>
      <c r="D215" s="472" t="s">
        <v>602</v>
      </c>
      <c r="E215" s="98" t="str">
        <f t="shared" si="3"/>
        <v>7Ultima Mk7 4M R/A</v>
      </c>
      <c r="F215" s="472" t="s">
        <v>602</v>
      </c>
    </row>
    <row r="216" spans="2:6">
      <c r="B216" s="2">
        <v>8</v>
      </c>
      <c r="C216" s="196" t="s">
        <v>347</v>
      </c>
      <c r="D216" s="472" t="s">
        <v>598</v>
      </c>
      <c r="E216" s="98" t="str">
        <f t="shared" si="3"/>
        <v>8Ultima Mk7 4M R/A</v>
      </c>
      <c r="F216" s="472" t="s">
        <v>598</v>
      </c>
    </row>
    <row r="217" spans="2:6">
      <c r="B217" s="2">
        <v>9</v>
      </c>
      <c r="C217" s="196" t="s">
        <v>347</v>
      </c>
      <c r="D217" s="472" t="s">
        <v>599</v>
      </c>
      <c r="E217" s="98" t="str">
        <f t="shared" si="3"/>
        <v>9Ultima Mk7 4M R/A</v>
      </c>
      <c r="F217" s="472" t="s">
        <v>599</v>
      </c>
    </row>
    <row r="218" spans="2:6">
      <c r="B218" s="2">
        <v>1</v>
      </c>
      <c r="C218" s="196" t="s">
        <v>348</v>
      </c>
      <c r="D218" s="472" t="s">
        <v>589</v>
      </c>
      <c r="E218" s="98" t="str">
        <f t="shared" si="3"/>
        <v>1Ultima Plus Mk7 2M</v>
      </c>
      <c r="F218" s="472" t="s">
        <v>589</v>
      </c>
    </row>
    <row r="219" spans="2:6">
      <c r="B219" s="2">
        <v>2</v>
      </c>
      <c r="C219" s="196" t="s">
        <v>348</v>
      </c>
      <c r="D219" s="472" t="s">
        <v>590</v>
      </c>
      <c r="E219" s="98" t="str">
        <f t="shared" si="3"/>
        <v>2Ultima Plus Mk7 2M</v>
      </c>
      <c r="F219" s="472" t="s">
        <v>590</v>
      </c>
    </row>
    <row r="220" spans="2:6">
      <c r="B220" s="2">
        <v>3</v>
      </c>
      <c r="C220" s="196" t="s">
        <v>348</v>
      </c>
      <c r="D220" s="472" t="s">
        <v>591</v>
      </c>
      <c r="E220" s="98" t="str">
        <f t="shared" si="3"/>
        <v>3Ultima Plus Mk7 2M</v>
      </c>
      <c r="F220" s="472" t="s">
        <v>591</v>
      </c>
    </row>
    <row r="221" spans="2:6">
      <c r="B221" s="2">
        <v>4</v>
      </c>
      <c r="C221" s="196" t="s">
        <v>348</v>
      </c>
      <c r="D221" s="472" t="s">
        <v>588</v>
      </c>
      <c r="E221" s="98" t="str">
        <f t="shared" si="3"/>
        <v>4Ultima Plus Mk7 2M</v>
      </c>
      <c r="F221" s="472" t="s">
        <v>588</v>
      </c>
    </row>
    <row r="222" spans="2:6">
      <c r="B222" s="2">
        <v>5</v>
      </c>
      <c r="C222" s="196" t="s">
        <v>348</v>
      </c>
      <c r="D222" s="472" t="s">
        <v>600</v>
      </c>
      <c r="E222" s="98" t="str">
        <f t="shared" si="3"/>
        <v>5Ultima Plus Mk7 2M</v>
      </c>
      <c r="F222" s="472" t="s">
        <v>600</v>
      </c>
    </row>
    <row r="223" spans="2:6">
      <c r="B223" s="2">
        <v>6</v>
      </c>
      <c r="C223" s="196" t="s">
        <v>348</v>
      </c>
      <c r="D223" s="472" t="s">
        <v>592</v>
      </c>
      <c r="E223" s="98" t="str">
        <f t="shared" si="3"/>
        <v>6Ultima Plus Mk7 2M</v>
      </c>
      <c r="F223" s="472" t="s">
        <v>592</v>
      </c>
    </row>
    <row r="224" spans="2:6">
      <c r="B224" s="2">
        <v>7</v>
      </c>
      <c r="C224" s="196" t="s">
        <v>348</v>
      </c>
      <c r="D224" s="472" t="s">
        <v>593</v>
      </c>
      <c r="E224" s="98" t="str">
        <f t="shared" si="3"/>
        <v>7Ultima Plus Mk7 2M</v>
      </c>
      <c r="F224" s="472" t="s">
        <v>593</v>
      </c>
    </row>
    <row r="225" spans="2:6">
      <c r="B225" s="2">
        <v>8</v>
      </c>
      <c r="C225" s="196" t="s">
        <v>348</v>
      </c>
      <c r="D225" s="472" t="s">
        <v>594</v>
      </c>
      <c r="E225" s="98" t="str">
        <f t="shared" si="3"/>
        <v>8Ultima Plus Mk7 2M</v>
      </c>
      <c r="F225" s="472" t="s">
        <v>594</v>
      </c>
    </row>
    <row r="226" spans="2:6">
      <c r="B226" s="2">
        <v>9</v>
      </c>
      <c r="C226" s="196" t="s">
        <v>348</v>
      </c>
      <c r="D226" s="472" t="s">
        <v>595</v>
      </c>
      <c r="E226" s="98" t="str">
        <f t="shared" si="3"/>
        <v>9Ultima Plus Mk7 2M</v>
      </c>
      <c r="F226" s="472" t="s">
        <v>595</v>
      </c>
    </row>
    <row r="227" spans="2:6">
      <c r="B227" s="2">
        <v>10</v>
      </c>
      <c r="C227" s="196" t="s">
        <v>348</v>
      </c>
      <c r="D227" s="472" t="s">
        <v>603</v>
      </c>
      <c r="E227" s="98" t="str">
        <f t="shared" si="3"/>
        <v>10Ultima Plus Mk7 2M</v>
      </c>
      <c r="F227" s="472" t="s">
        <v>603</v>
      </c>
    </row>
    <row r="228" spans="2:6">
      <c r="B228" s="2">
        <v>11</v>
      </c>
      <c r="C228" s="196" t="s">
        <v>348</v>
      </c>
      <c r="D228" s="472" t="s">
        <v>596</v>
      </c>
      <c r="E228" s="98" t="str">
        <f t="shared" si="3"/>
        <v>11Ultima Plus Mk7 2M</v>
      </c>
      <c r="F228" s="472" t="s">
        <v>596</v>
      </c>
    </row>
    <row r="229" spans="2:6">
      <c r="B229" s="2">
        <v>12</v>
      </c>
      <c r="C229" s="196" t="s">
        <v>348</v>
      </c>
      <c r="D229" s="472" t="s">
        <v>604</v>
      </c>
      <c r="E229" s="98" t="str">
        <f t="shared" si="3"/>
        <v>12Ultima Plus Mk7 2M</v>
      </c>
      <c r="F229" s="472" t="s">
        <v>604</v>
      </c>
    </row>
    <row r="230" spans="2:6">
      <c r="B230" s="2">
        <v>13</v>
      </c>
      <c r="C230" s="196" t="s">
        <v>348</v>
      </c>
      <c r="D230" s="472" t="s">
        <v>605</v>
      </c>
      <c r="E230" s="98" t="str">
        <f t="shared" si="3"/>
        <v>13Ultima Plus Mk7 2M</v>
      </c>
      <c r="F230" s="472" t="s">
        <v>605</v>
      </c>
    </row>
    <row r="231" spans="2:6">
      <c r="B231" s="2">
        <v>14</v>
      </c>
      <c r="C231" s="196" t="s">
        <v>348</v>
      </c>
      <c r="D231" s="472" t="s">
        <v>597</v>
      </c>
      <c r="E231" s="98" t="str">
        <f t="shared" si="3"/>
        <v>14Ultima Plus Mk7 2M</v>
      </c>
      <c r="F231" s="472" t="s">
        <v>597</v>
      </c>
    </row>
    <row r="232" spans="2:6">
      <c r="B232" s="2">
        <v>15</v>
      </c>
      <c r="C232" s="196" t="s">
        <v>348</v>
      </c>
      <c r="D232" s="472" t="s">
        <v>602</v>
      </c>
      <c r="E232" s="98" t="str">
        <f t="shared" si="3"/>
        <v>15Ultima Plus Mk7 2M</v>
      </c>
      <c r="F232" s="472" t="s">
        <v>602</v>
      </c>
    </row>
    <row r="233" spans="2:6">
      <c r="B233" s="2">
        <v>16</v>
      </c>
      <c r="C233" s="196" t="s">
        <v>348</v>
      </c>
      <c r="D233" s="472" t="s">
        <v>598</v>
      </c>
      <c r="E233" s="98" t="str">
        <f t="shared" si="3"/>
        <v>16Ultima Plus Mk7 2M</v>
      </c>
      <c r="F233" s="472" t="s">
        <v>598</v>
      </c>
    </row>
    <row r="234" spans="2:6">
      <c r="B234" s="2">
        <v>17</v>
      </c>
      <c r="C234" s="196" t="s">
        <v>348</v>
      </c>
      <c r="D234" s="472" t="s">
        <v>599</v>
      </c>
      <c r="E234" s="98" t="str">
        <f t="shared" si="3"/>
        <v>17Ultima Plus Mk7 2M</v>
      </c>
      <c r="F234" s="472" t="s">
        <v>599</v>
      </c>
    </row>
    <row r="235" spans="2:6">
      <c r="B235" s="2">
        <v>1</v>
      </c>
      <c r="C235" s="196" t="s">
        <v>349</v>
      </c>
      <c r="D235" s="472" t="s">
        <v>589</v>
      </c>
      <c r="E235" s="98" t="str">
        <f t="shared" si="3"/>
        <v>1Ultima Plus Mk7 2M R/A</v>
      </c>
      <c r="F235" s="472" t="s">
        <v>589</v>
      </c>
    </row>
    <row r="236" spans="2:6">
      <c r="B236" s="2">
        <v>2</v>
      </c>
      <c r="C236" s="196" t="s">
        <v>349</v>
      </c>
      <c r="D236" s="472" t="s">
        <v>590</v>
      </c>
      <c r="E236" s="98" t="str">
        <f t="shared" si="3"/>
        <v>2Ultima Plus Mk7 2M R/A</v>
      </c>
      <c r="F236" s="472" t="s">
        <v>590</v>
      </c>
    </row>
    <row r="237" spans="2:6">
      <c r="B237" s="2">
        <v>3</v>
      </c>
      <c r="C237" s="196" t="s">
        <v>349</v>
      </c>
      <c r="D237" s="472" t="s">
        <v>591</v>
      </c>
      <c r="E237" s="98" t="str">
        <f t="shared" si="3"/>
        <v>3Ultima Plus Mk7 2M R/A</v>
      </c>
      <c r="F237" s="472" t="s">
        <v>591</v>
      </c>
    </row>
    <row r="238" spans="2:6">
      <c r="B238" s="2">
        <v>4</v>
      </c>
      <c r="C238" s="196" t="s">
        <v>349</v>
      </c>
      <c r="D238" s="472" t="s">
        <v>588</v>
      </c>
      <c r="E238" s="98" t="str">
        <f t="shared" si="3"/>
        <v>4Ultima Plus Mk7 2M R/A</v>
      </c>
      <c r="F238" s="472" t="s">
        <v>588</v>
      </c>
    </row>
    <row r="239" spans="2:6">
      <c r="B239" s="2">
        <v>5</v>
      </c>
      <c r="C239" s="196" t="s">
        <v>349</v>
      </c>
      <c r="D239" s="472" t="s">
        <v>600</v>
      </c>
      <c r="E239" s="98" t="str">
        <f t="shared" si="3"/>
        <v>5Ultima Plus Mk7 2M R/A</v>
      </c>
      <c r="F239" s="472" t="s">
        <v>600</v>
      </c>
    </row>
    <row r="240" spans="2:6">
      <c r="B240" s="2">
        <v>6</v>
      </c>
      <c r="C240" s="196" t="s">
        <v>349</v>
      </c>
      <c r="D240" s="472" t="s">
        <v>592</v>
      </c>
      <c r="E240" s="98" t="str">
        <f t="shared" si="3"/>
        <v>6Ultima Plus Mk7 2M R/A</v>
      </c>
      <c r="F240" s="472" t="s">
        <v>592</v>
      </c>
    </row>
    <row r="241" spans="2:6">
      <c r="B241" s="2">
        <v>7</v>
      </c>
      <c r="C241" s="196" t="s">
        <v>349</v>
      </c>
      <c r="D241" s="472" t="s">
        <v>593</v>
      </c>
      <c r="E241" s="98" t="str">
        <f t="shared" si="3"/>
        <v>7Ultima Plus Mk7 2M R/A</v>
      </c>
      <c r="F241" s="472" t="s">
        <v>593</v>
      </c>
    </row>
    <row r="242" spans="2:6">
      <c r="B242" s="2">
        <v>8</v>
      </c>
      <c r="C242" s="196" t="s">
        <v>349</v>
      </c>
      <c r="D242" s="472" t="s">
        <v>594</v>
      </c>
      <c r="E242" s="98" t="str">
        <f t="shared" si="3"/>
        <v>8Ultima Plus Mk7 2M R/A</v>
      </c>
      <c r="F242" s="472" t="s">
        <v>594</v>
      </c>
    </row>
    <row r="243" spans="2:6">
      <c r="B243" s="2">
        <v>9</v>
      </c>
      <c r="C243" s="196" t="s">
        <v>349</v>
      </c>
      <c r="D243" s="472" t="s">
        <v>595</v>
      </c>
      <c r="E243" s="98" t="str">
        <f t="shared" si="3"/>
        <v>9Ultima Plus Mk7 2M R/A</v>
      </c>
      <c r="F243" s="472" t="s">
        <v>595</v>
      </c>
    </row>
    <row r="244" spans="2:6">
      <c r="B244" s="2">
        <v>10</v>
      </c>
      <c r="C244" s="196" t="s">
        <v>349</v>
      </c>
      <c r="D244" s="472" t="s">
        <v>603</v>
      </c>
      <c r="E244" s="98" t="str">
        <f t="shared" si="3"/>
        <v>10Ultima Plus Mk7 2M R/A</v>
      </c>
      <c r="F244" s="472" t="s">
        <v>603</v>
      </c>
    </row>
    <row r="245" spans="2:6">
      <c r="B245" s="2">
        <v>11</v>
      </c>
      <c r="C245" s="196" t="s">
        <v>349</v>
      </c>
      <c r="D245" s="472" t="s">
        <v>596</v>
      </c>
      <c r="E245" s="98" t="str">
        <f t="shared" si="3"/>
        <v>11Ultima Plus Mk7 2M R/A</v>
      </c>
      <c r="F245" s="472" t="s">
        <v>596</v>
      </c>
    </row>
    <row r="246" spans="2:6">
      <c r="B246" s="2">
        <v>12</v>
      </c>
      <c r="C246" s="196" t="s">
        <v>349</v>
      </c>
      <c r="D246" s="472" t="s">
        <v>604</v>
      </c>
      <c r="E246" s="98" t="str">
        <f t="shared" si="3"/>
        <v>12Ultima Plus Mk7 2M R/A</v>
      </c>
      <c r="F246" s="472" t="s">
        <v>604</v>
      </c>
    </row>
    <row r="247" spans="2:6">
      <c r="B247" s="2">
        <v>13</v>
      </c>
      <c r="C247" s="196" t="s">
        <v>349</v>
      </c>
      <c r="D247" s="472" t="s">
        <v>605</v>
      </c>
      <c r="E247" s="98" t="str">
        <f t="shared" si="3"/>
        <v>13Ultima Plus Mk7 2M R/A</v>
      </c>
      <c r="F247" s="472" t="s">
        <v>605</v>
      </c>
    </row>
    <row r="248" spans="2:6">
      <c r="B248" s="2">
        <v>14</v>
      </c>
      <c r="C248" s="196" t="s">
        <v>349</v>
      </c>
      <c r="D248" s="472" t="s">
        <v>597</v>
      </c>
      <c r="E248" s="98" t="str">
        <f t="shared" si="3"/>
        <v>14Ultima Plus Mk7 2M R/A</v>
      </c>
      <c r="F248" s="472" t="s">
        <v>597</v>
      </c>
    </row>
    <row r="249" spans="2:6">
      <c r="B249" s="2">
        <v>15</v>
      </c>
      <c r="C249" s="196" t="s">
        <v>349</v>
      </c>
      <c r="D249" s="472" t="s">
        <v>602</v>
      </c>
      <c r="E249" s="98" t="str">
        <f t="shared" si="3"/>
        <v>15Ultima Plus Mk7 2M R/A</v>
      </c>
      <c r="F249" s="472" t="s">
        <v>602</v>
      </c>
    </row>
    <row r="250" spans="2:6">
      <c r="B250" s="2">
        <v>16</v>
      </c>
      <c r="C250" s="196" t="s">
        <v>349</v>
      </c>
      <c r="D250" s="472" t="s">
        <v>598</v>
      </c>
      <c r="E250" s="98" t="str">
        <f t="shared" si="3"/>
        <v>16Ultima Plus Mk7 2M R/A</v>
      </c>
      <c r="F250" s="472" t="s">
        <v>598</v>
      </c>
    </row>
    <row r="251" spans="2:6">
      <c r="B251" s="2">
        <v>17</v>
      </c>
      <c r="C251" s="196" t="s">
        <v>349</v>
      </c>
      <c r="D251" s="472" t="s">
        <v>599</v>
      </c>
      <c r="E251" s="98" t="str">
        <f t="shared" si="3"/>
        <v>17Ultima Plus Mk7 2M R/A</v>
      </c>
      <c r="F251" s="472" t="s">
        <v>599</v>
      </c>
    </row>
    <row r="252" spans="2:6">
      <c r="B252" s="2">
        <v>1</v>
      </c>
      <c r="C252" s="196" t="s">
        <v>350</v>
      </c>
      <c r="D252" s="472" t="s">
        <v>589</v>
      </c>
      <c r="E252" s="98" t="str">
        <f t="shared" si="3"/>
        <v>1Ultima Plus Mk7 4M</v>
      </c>
      <c r="F252" s="472" t="s">
        <v>589</v>
      </c>
    </row>
    <row r="253" spans="2:6">
      <c r="B253" s="2">
        <v>2</v>
      </c>
      <c r="C253" s="196" t="s">
        <v>350</v>
      </c>
      <c r="D253" s="472" t="s">
        <v>590</v>
      </c>
      <c r="E253" s="98" t="str">
        <f t="shared" si="3"/>
        <v>2Ultima Plus Mk7 4M</v>
      </c>
      <c r="F253" s="472" t="s">
        <v>590</v>
      </c>
    </row>
    <row r="254" spans="2:6">
      <c r="B254" s="2">
        <v>3</v>
      </c>
      <c r="C254" s="196" t="s">
        <v>350</v>
      </c>
      <c r="D254" s="472" t="s">
        <v>591</v>
      </c>
      <c r="E254" s="98" t="str">
        <f t="shared" si="3"/>
        <v>3Ultima Plus Mk7 4M</v>
      </c>
      <c r="F254" s="472" t="s">
        <v>591</v>
      </c>
    </row>
    <row r="255" spans="2:6">
      <c r="B255" s="2">
        <v>4</v>
      </c>
      <c r="C255" s="196" t="s">
        <v>350</v>
      </c>
      <c r="D255" s="472" t="s">
        <v>588</v>
      </c>
      <c r="E255" s="98" t="str">
        <f t="shared" si="3"/>
        <v>4Ultima Plus Mk7 4M</v>
      </c>
      <c r="F255" s="472" t="s">
        <v>588</v>
      </c>
    </row>
    <row r="256" spans="2:6">
      <c r="B256" s="2">
        <v>5</v>
      </c>
      <c r="C256" s="196" t="s">
        <v>350</v>
      </c>
      <c r="D256" s="472" t="s">
        <v>600</v>
      </c>
      <c r="E256" s="98" t="str">
        <f t="shared" si="3"/>
        <v>5Ultima Plus Mk7 4M</v>
      </c>
      <c r="F256" s="472" t="s">
        <v>600</v>
      </c>
    </row>
    <row r="257" spans="2:6">
      <c r="B257" s="2">
        <v>6</v>
      </c>
      <c r="C257" s="196" t="s">
        <v>350</v>
      </c>
      <c r="D257" s="472" t="s">
        <v>592</v>
      </c>
      <c r="E257" s="98" t="str">
        <f t="shared" si="3"/>
        <v>6Ultima Plus Mk7 4M</v>
      </c>
      <c r="F257" s="472" t="s">
        <v>592</v>
      </c>
    </row>
    <row r="258" spans="2:6">
      <c r="B258" s="2">
        <v>7</v>
      </c>
      <c r="C258" s="196" t="s">
        <v>350</v>
      </c>
      <c r="D258" s="472" t="s">
        <v>593</v>
      </c>
      <c r="E258" s="98" t="str">
        <f t="shared" si="3"/>
        <v>7Ultima Plus Mk7 4M</v>
      </c>
      <c r="F258" s="472" t="s">
        <v>593</v>
      </c>
    </row>
    <row r="259" spans="2:6">
      <c r="B259" s="2">
        <v>8</v>
      </c>
      <c r="C259" s="196" t="s">
        <v>350</v>
      </c>
      <c r="D259" s="472" t="s">
        <v>594</v>
      </c>
      <c r="E259" s="98" t="str">
        <f t="shared" si="3"/>
        <v>8Ultima Plus Mk7 4M</v>
      </c>
      <c r="F259" s="472" t="s">
        <v>594</v>
      </c>
    </row>
    <row r="260" spans="2:6">
      <c r="B260" s="2">
        <v>9</v>
      </c>
      <c r="C260" s="196" t="s">
        <v>350</v>
      </c>
      <c r="D260" s="472" t="s">
        <v>595</v>
      </c>
      <c r="E260" s="98" t="str">
        <f t="shared" si="3"/>
        <v>9Ultima Plus Mk7 4M</v>
      </c>
      <c r="F260" s="472" t="s">
        <v>595</v>
      </c>
    </row>
    <row r="261" spans="2:6">
      <c r="B261" s="2">
        <v>10</v>
      </c>
      <c r="C261" s="196" t="s">
        <v>350</v>
      </c>
      <c r="D261" s="472" t="s">
        <v>603</v>
      </c>
      <c r="E261" s="98" t="str">
        <f t="shared" si="3"/>
        <v>10Ultima Plus Mk7 4M</v>
      </c>
      <c r="F261" s="472" t="s">
        <v>603</v>
      </c>
    </row>
    <row r="262" spans="2:6">
      <c r="B262" s="2">
        <v>11</v>
      </c>
      <c r="C262" s="196" t="s">
        <v>350</v>
      </c>
      <c r="D262" s="472" t="s">
        <v>596</v>
      </c>
      <c r="E262" s="98" t="str">
        <f t="shared" si="3"/>
        <v>11Ultima Plus Mk7 4M</v>
      </c>
      <c r="F262" s="472" t="s">
        <v>596</v>
      </c>
    </row>
    <row r="263" spans="2:6">
      <c r="B263" s="2">
        <v>12</v>
      </c>
      <c r="C263" s="196" t="s">
        <v>350</v>
      </c>
      <c r="D263" s="472" t="s">
        <v>604</v>
      </c>
      <c r="E263" s="98" t="str">
        <f t="shared" ref="E263:E285" si="4">B263&amp;C263</f>
        <v>12Ultima Plus Mk7 4M</v>
      </c>
      <c r="F263" s="472" t="s">
        <v>604</v>
      </c>
    </row>
    <row r="264" spans="2:6">
      <c r="B264" s="2">
        <v>13</v>
      </c>
      <c r="C264" s="196" t="s">
        <v>350</v>
      </c>
      <c r="D264" s="472" t="s">
        <v>605</v>
      </c>
      <c r="E264" s="98" t="str">
        <f t="shared" si="4"/>
        <v>13Ultima Plus Mk7 4M</v>
      </c>
      <c r="F264" s="472" t="s">
        <v>605</v>
      </c>
    </row>
    <row r="265" spans="2:6">
      <c r="B265" s="2">
        <v>14</v>
      </c>
      <c r="C265" s="196" t="s">
        <v>350</v>
      </c>
      <c r="D265" s="472" t="s">
        <v>597</v>
      </c>
      <c r="E265" s="98" t="str">
        <f t="shared" si="4"/>
        <v>14Ultima Plus Mk7 4M</v>
      </c>
      <c r="F265" s="472" t="s">
        <v>597</v>
      </c>
    </row>
    <row r="266" spans="2:6">
      <c r="B266" s="2">
        <v>15</v>
      </c>
      <c r="C266" s="196" t="s">
        <v>350</v>
      </c>
      <c r="D266" s="472" t="s">
        <v>602</v>
      </c>
      <c r="E266" s="98" t="str">
        <f t="shared" si="4"/>
        <v>15Ultima Plus Mk7 4M</v>
      </c>
      <c r="F266" s="472" t="s">
        <v>602</v>
      </c>
    </row>
    <row r="267" spans="2:6">
      <c r="B267" s="2">
        <v>16</v>
      </c>
      <c r="C267" s="196" t="s">
        <v>350</v>
      </c>
      <c r="D267" s="472" t="s">
        <v>598</v>
      </c>
      <c r="E267" s="98" t="str">
        <f t="shared" si="4"/>
        <v>16Ultima Plus Mk7 4M</v>
      </c>
      <c r="F267" s="472" t="s">
        <v>598</v>
      </c>
    </row>
    <row r="268" spans="2:6">
      <c r="B268" s="2">
        <v>17</v>
      </c>
      <c r="C268" s="196" t="s">
        <v>350</v>
      </c>
      <c r="D268" s="472" t="s">
        <v>599</v>
      </c>
      <c r="E268" s="98" t="str">
        <f t="shared" si="4"/>
        <v>17Ultima Plus Mk7 4M</v>
      </c>
      <c r="F268" s="472" t="s">
        <v>599</v>
      </c>
    </row>
    <row r="269" spans="2:6">
      <c r="B269" s="2">
        <v>1</v>
      </c>
      <c r="C269" s="196" t="s">
        <v>351</v>
      </c>
      <c r="D269" s="472" t="s">
        <v>589</v>
      </c>
      <c r="E269" s="98" t="str">
        <f t="shared" si="4"/>
        <v>1Ultima Plus Mk7 4M R/A</v>
      </c>
      <c r="F269" s="472" t="s">
        <v>589</v>
      </c>
    </row>
    <row r="270" spans="2:6">
      <c r="B270" s="2">
        <v>2</v>
      </c>
      <c r="C270" s="196" t="s">
        <v>351</v>
      </c>
      <c r="D270" s="472" t="s">
        <v>590</v>
      </c>
      <c r="E270" s="98" t="str">
        <f t="shared" si="4"/>
        <v>2Ultima Plus Mk7 4M R/A</v>
      </c>
      <c r="F270" s="472" t="s">
        <v>590</v>
      </c>
    </row>
    <row r="271" spans="2:6">
      <c r="B271" s="2">
        <v>3</v>
      </c>
      <c r="C271" s="196" t="s">
        <v>351</v>
      </c>
      <c r="D271" s="472" t="s">
        <v>591</v>
      </c>
      <c r="E271" s="98" t="str">
        <f t="shared" si="4"/>
        <v>3Ultima Plus Mk7 4M R/A</v>
      </c>
      <c r="F271" s="472" t="s">
        <v>591</v>
      </c>
    </row>
    <row r="272" spans="2:6">
      <c r="B272" s="2">
        <v>4</v>
      </c>
      <c r="C272" s="196" t="s">
        <v>351</v>
      </c>
      <c r="D272" s="472" t="s">
        <v>588</v>
      </c>
      <c r="E272" s="98" t="str">
        <f t="shared" si="4"/>
        <v>4Ultima Plus Mk7 4M R/A</v>
      </c>
      <c r="F272" s="472" t="s">
        <v>588</v>
      </c>
    </row>
    <row r="273" spans="2:6">
      <c r="B273" s="2">
        <v>5</v>
      </c>
      <c r="C273" s="196" t="s">
        <v>351</v>
      </c>
      <c r="D273" s="472" t="s">
        <v>600</v>
      </c>
      <c r="E273" s="98" t="str">
        <f t="shared" si="4"/>
        <v>5Ultima Plus Mk7 4M R/A</v>
      </c>
      <c r="F273" s="472" t="s">
        <v>600</v>
      </c>
    </row>
    <row r="274" spans="2:6">
      <c r="B274" s="2">
        <v>6</v>
      </c>
      <c r="C274" s="196" t="s">
        <v>351</v>
      </c>
      <c r="D274" s="472" t="s">
        <v>592</v>
      </c>
      <c r="E274" s="98" t="str">
        <f t="shared" si="4"/>
        <v>6Ultima Plus Mk7 4M R/A</v>
      </c>
      <c r="F274" s="472" t="s">
        <v>592</v>
      </c>
    </row>
    <row r="275" spans="2:6">
      <c r="B275" s="2">
        <v>7</v>
      </c>
      <c r="C275" s="196" t="s">
        <v>351</v>
      </c>
      <c r="D275" s="472" t="s">
        <v>593</v>
      </c>
      <c r="E275" s="98" t="str">
        <f t="shared" si="4"/>
        <v>7Ultima Plus Mk7 4M R/A</v>
      </c>
      <c r="F275" s="472" t="s">
        <v>593</v>
      </c>
    </row>
    <row r="276" spans="2:6">
      <c r="B276" s="2">
        <v>8</v>
      </c>
      <c r="C276" s="196" t="s">
        <v>351</v>
      </c>
      <c r="D276" s="472" t="s">
        <v>594</v>
      </c>
      <c r="E276" s="98" t="str">
        <f t="shared" si="4"/>
        <v>8Ultima Plus Mk7 4M R/A</v>
      </c>
      <c r="F276" s="472" t="s">
        <v>594</v>
      </c>
    </row>
    <row r="277" spans="2:6">
      <c r="B277" s="2">
        <v>9</v>
      </c>
      <c r="C277" s="196" t="s">
        <v>351</v>
      </c>
      <c r="D277" s="472" t="s">
        <v>595</v>
      </c>
      <c r="E277" s="98" t="str">
        <f t="shared" si="4"/>
        <v>9Ultima Plus Mk7 4M R/A</v>
      </c>
      <c r="F277" s="472" t="s">
        <v>595</v>
      </c>
    </row>
    <row r="278" spans="2:6">
      <c r="B278" s="2">
        <v>10</v>
      </c>
      <c r="C278" s="196" t="s">
        <v>351</v>
      </c>
      <c r="D278" s="472" t="s">
        <v>603</v>
      </c>
      <c r="E278" s="98" t="str">
        <f t="shared" si="4"/>
        <v>10Ultima Plus Mk7 4M R/A</v>
      </c>
      <c r="F278" s="472" t="s">
        <v>603</v>
      </c>
    </row>
    <row r="279" spans="2:6">
      <c r="B279" s="2">
        <v>11</v>
      </c>
      <c r="C279" s="196" t="s">
        <v>351</v>
      </c>
      <c r="D279" s="472" t="s">
        <v>596</v>
      </c>
      <c r="E279" s="98" t="str">
        <f t="shared" si="4"/>
        <v>11Ultima Plus Mk7 4M R/A</v>
      </c>
      <c r="F279" s="472" t="s">
        <v>596</v>
      </c>
    </row>
    <row r="280" spans="2:6">
      <c r="B280" s="2">
        <v>12</v>
      </c>
      <c r="C280" s="196" t="s">
        <v>351</v>
      </c>
      <c r="D280" s="472" t="s">
        <v>604</v>
      </c>
      <c r="E280" s="98" t="str">
        <f t="shared" si="4"/>
        <v>12Ultima Plus Mk7 4M R/A</v>
      </c>
      <c r="F280" s="472" t="s">
        <v>604</v>
      </c>
    </row>
    <row r="281" spans="2:6">
      <c r="B281" s="2">
        <v>13</v>
      </c>
      <c r="C281" s="196" t="s">
        <v>351</v>
      </c>
      <c r="D281" s="472" t="s">
        <v>605</v>
      </c>
      <c r="E281" s="98" t="str">
        <f t="shared" si="4"/>
        <v>13Ultima Plus Mk7 4M R/A</v>
      </c>
      <c r="F281" s="472" t="s">
        <v>605</v>
      </c>
    </row>
    <row r="282" spans="2:6">
      <c r="B282" s="2">
        <v>14</v>
      </c>
      <c r="C282" s="196" t="s">
        <v>351</v>
      </c>
      <c r="D282" s="472" t="s">
        <v>597</v>
      </c>
      <c r="E282" s="98" t="str">
        <f t="shared" si="4"/>
        <v>14Ultima Plus Mk7 4M R/A</v>
      </c>
      <c r="F282" s="472" t="s">
        <v>597</v>
      </c>
    </row>
    <row r="283" spans="2:6">
      <c r="B283" s="2">
        <v>15</v>
      </c>
      <c r="C283" s="196" t="s">
        <v>351</v>
      </c>
      <c r="D283" s="472" t="s">
        <v>602</v>
      </c>
      <c r="E283" s="98" t="str">
        <f t="shared" si="4"/>
        <v>15Ultima Plus Mk7 4M R/A</v>
      </c>
      <c r="F283" s="472" t="s">
        <v>602</v>
      </c>
    </row>
    <row r="284" spans="2:6">
      <c r="B284" s="2">
        <v>16</v>
      </c>
      <c r="C284" s="196" t="s">
        <v>351</v>
      </c>
      <c r="D284" s="472" t="s">
        <v>598</v>
      </c>
      <c r="E284" s="98" t="str">
        <f t="shared" si="4"/>
        <v>16Ultima Plus Mk7 4M R/A</v>
      </c>
      <c r="F284" s="472" t="s">
        <v>598</v>
      </c>
    </row>
    <row r="285" spans="2:6">
      <c r="B285" s="2">
        <v>17</v>
      </c>
      <c r="C285" s="196" t="s">
        <v>351</v>
      </c>
      <c r="D285" s="472" t="s">
        <v>599</v>
      </c>
      <c r="E285" s="98" t="str">
        <f t="shared" si="4"/>
        <v>17Ultima Plus Mk7 4M R/A</v>
      </c>
      <c r="F285" s="472" t="s">
        <v>599</v>
      </c>
    </row>
  </sheetData>
  <autoFilter ref="B5:F285" xr:uid="{00000000-0009-0000-0000-000011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theme="6" tint="0.39997558519241921"/>
  </sheetPr>
  <dimension ref="B1:V64"/>
  <sheetViews>
    <sheetView showGridLines="0" workbookViewId="0">
      <pane ySplit="11" topLeftCell="A12" activePane="bottomLeft" state="frozen"/>
      <selection pane="bottomLeft" activeCell="F40" sqref="F40:G40"/>
    </sheetView>
  </sheetViews>
  <sheetFormatPr defaultRowHeight="12.75"/>
  <cols>
    <col min="1" max="1" width="4.28515625" customWidth="1"/>
    <col min="2" max="2" width="2.42578125" customWidth="1"/>
    <col min="10" max="13" width="11.140625" customWidth="1"/>
  </cols>
  <sheetData>
    <row r="1" spans="2:22" ht="5.25" customHeight="1"/>
    <row r="2" spans="2:22" ht="27" thickBot="1">
      <c r="B2" s="795" t="s">
        <v>1134</v>
      </c>
      <c r="C2" s="795"/>
      <c r="D2" s="19"/>
      <c r="E2" s="19"/>
      <c r="F2" s="19"/>
      <c r="G2" s="19"/>
      <c r="H2" s="19"/>
      <c r="I2" s="19"/>
      <c r="J2" s="19"/>
      <c r="K2" s="19"/>
      <c r="L2" s="19"/>
      <c r="M2" s="19"/>
      <c r="N2" s="19"/>
      <c r="O2" s="19"/>
      <c r="P2" s="19"/>
      <c r="Q2" s="19"/>
      <c r="R2" s="19"/>
      <c r="S2" s="19"/>
      <c r="T2" s="19"/>
      <c r="U2" s="19"/>
      <c r="V2" s="19"/>
    </row>
    <row r="4" spans="2:22">
      <c r="D4" s="1064"/>
      <c r="E4" s="1065"/>
      <c r="F4" s="1065"/>
      <c r="G4" s="1065"/>
      <c r="H4" s="1065"/>
      <c r="I4" s="1065"/>
      <c r="J4" s="1065"/>
      <c r="K4" s="1065"/>
      <c r="L4" s="1065"/>
      <c r="M4" s="1065"/>
      <c r="N4" s="1065"/>
      <c r="O4" s="1065"/>
      <c r="P4" s="1065"/>
      <c r="Q4" s="1065"/>
      <c r="R4" s="1065"/>
      <c r="S4" s="1065"/>
      <c r="T4" s="1065"/>
      <c r="U4" s="1065"/>
      <c r="V4" s="1066"/>
    </row>
    <row r="5" spans="2:22">
      <c r="D5" s="1067"/>
      <c r="E5" s="109"/>
      <c r="F5" s="109"/>
      <c r="G5" s="109"/>
      <c r="H5" s="109"/>
      <c r="I5" s="109"/>
      <c r="J5" s="109"/>
      <c r="K5" s="109"/>
      <c r="L5" s="109"/>
      <c r="M5" s="109"/>
      <c r="N5" s="109"/>
      <c r="O5" s="109"/>
      <c r="P5" s="109"/>
      <c r="Q5" s="109"/>
      <c r="R5" s="109"/>
      <c r="S5" s="109"/>
      <c r="T5" s="109"/>
      <c r="V5" s="1068"/>
    </row>
    <row r="6" spans="2:22">
      <c r="D6" s="1067"/>
      <c r="E6" s="109"/>
      <c r="F6" s="109"/>
      <c r="G6" s="109"/>
      <c r="H6" s="109"/>
      <c r="I6" s="109"/>
      <c r="J6" s="109"/>
      <c r="K6" s="109"/>
      <c r="L6" s="109"/>
      <c r="M6" s="109"/>
      <c r="N6" s="109"/>
      <c r="O6" s="109"/>
      <c r="P6" s="109"/>
      <c r="Q6" s="109"/>
      <c r="R6" s="109"/>
      <c r="S6" s="109"/>
      <c r="T6" s="109"/>
      <c r="V6" s="1068"/>
    </row>
    <row r="7" spans="2:22">
      <c r="D7" s="1067"/>
      <c r="E7" s="109"/>
      <c r="F7" s="109"/>
      <c r="G7" s="109"/>
      <c r="H7" s="109"/>
      <c r="I7" s="109"/>
      <c r="J7" s="109"/>
      <c r="K7" s="109"/>
      <c r="L7" s="109"/>
      <c r="M7" s="109"/>
      <c r="N7" s="109"/>
      <c r="O7" s="109"/>
      <c r="P7" s="109"/>
      <c r="Q7" s="109"/>
      <c r="R7" s="109"/>
      <c r="S7" s="109"/>
      <c r="T7" s="109"/>
      <c r="V7" s="1068"/>
    </row>
    <row r="8" spans="2:22">
      <c r="D8" s="1067"/>
      <c r="E8" s="109"/>
      <c r="F8" s="109"/>
      <c r="G8" s="109"/>
      <c r="H8" s="109"/>
      <c r="I8" s="109"/>
      <c r="J8" s="109"/>
      <c r="K8" s="109"/>
      <c r="L8" s="109"/>
      <c r="M8" s="109"/>
      <c r="N8" s="109"/>
      <c r="O8" s="109"/>
      <c r="P8" s="109"/>
      <c r="Q8" s="109"/>
      <c r="R8" s="109"/>
      <c r="S8" s="109"/>
      <c r="T8" s="109"/>
      <c r="V8" s="1068"/>
    </row>
    <row r="9" spans="2:22">
      <c r="D9" s="1067"/>
      <c r="E9" s="109"/>
      <c r="F9" s="109"/>
      <c r="G9" s="109"/>
      <c r="H9" s="109"/>
      <c r="I9" s="109"/>
      <c r="J9" s="109"/>
      <c r="K9" s="109"/>
      <c r="L9" s="109"/>
      <c r="M9" s="109"/>
      <c r="N9" s="109"/>
      <c r="O9" s="109"/>
      <c r="P9" s="109"/>
      <c r="Q9" s="109"/>
      <c r="R9" s="109"/>
      <c r="S9" s="109"/>
      <c r="T9" s="109"/>
      <c r="V9" s="1068"/>
    </row>
    <row r="10" spans="2:22">
      <c r="D10" s="1069"/>
      <c r="E10" s="1070"/>
      <c r="F10" s="1070"/>
      <c r="G10" s="1070"/>
      <c r="H10" s="1070"/>
      <c r="I10" s="1070"/>
      <c r="J10" s="1070"/>
      <c r="K10" s="1070"/>
      <c r="L10" s="1070"/>
      <c r="M10" s="1070"/>
      <c r="N10" s="1070"/>
      <c r="O10" s="1070"/>
      <c r="P10" s="1070"/>
      <c r="Q10" s="1070"/>
      <c r="R10" s="1070"/>
      <c r="S10" s="1070"/>
      <c r="T10" s="1070"/>
      <c r="U10" s="1070"/>
      <c r="V10" s="1071"/>
    </row>
    <row r="16" spans="2:22" ht="15">
      <c r="D16" s="1146" t="s">
        <v>1323</v>
      </c>
      <c r="E16" s="1147"/>
      <c r="F16" s="1147"/>
      <c r="G16" s="1147"/>
      <c r="H16" s="1147"/>
      <c r="I16" s="1147"/>
      <c r="J16" s="1147"/>
      <c r="K16" s="1147"/>
      <c r="L16" s="1147"/>
      <c r="M16" s="1147"/>
      <c r="N16" s="1147"/>
      <c r="O16" s="1147"/>
      <c r="P16" s="1147"/>
      <c r="Q16" s="1147"/>
    </row>
    <row r="17" spans="5:18" ht="13.5" thickBot="1"/>
    <row r="18" spans="5:18" ht="15.75">
      <c r="E18" s="1142"/>
      <c r="F18" s="1728" t="s">
        <v>1324</v>
      </c>
      <c r="G18" s="1729"/>
      <c r="H18" s="1729"/>
      <c r="I18" s="1730"/>
      <c r="J18" s="1731" t="s">
        <v>1325</v>
      </c>
      <c r="K18" s="1729"/>
      <c r="L18" s="1729"/>
      <c r="M18" s="1730"/>
    </row>
    <row r="19" spans="5:18" ht="16.5" thickBot="1">
      <c r="E19" s="1143"/>
      <c r="F19" s="1172">
        <v>8900</v>
      </c>
      <c r="G19" s="1173">
        <v>8910</v>
      </c>
      <c r="H19" s="1173">
        <v>8920</v>
      </c>
      <c r="I19" s="1174">
        <v>8940</v>
      </c>
      <c r="J19" s="1175">
        <v>8900</v>
      </c>
      <c r="K19" s="1173">
        <v>8910</v>
      </c>
      <c r="L19" s="1173">
        <v>8920</v>
      </c>
      <c r="M19" s="1174">
        <v>8940</v>
      </c>
      <c r="R19" s="1134"/>
    </row>
    <row r="20" spans="5:18" ht="15.75">
      <c r="E20" s="1144">
        <v>1010</v>
      </c>
      <c r="F20" s="1148">
        <v>6000</v>
      </c>
      <c r="G20" s="1149">
        <v>9000</v>
      </c>
      <c r="H20" s="1150">
        <v>13000</v>
      </c>
      <c r="I20" s="1151">
        <v>13000</v>
      </c>
      <c r="J20" s="1152" t="s">
        <v>1320</v>
      </c>
      <c r="K20" s="1153" t="s">
        <v>1321</v>
      </c>
      <c r="L20" s="1153" t="s">
        <v>1321</v>
      </c>
      <c r="M20" s="1154" t="s">
        <v>1321</v>
      </c>
      <c r="R20" s="1138"/>
    </row>
    <row r="21" spans="5:18" ht="15.75">
      <c r="E21" s="1145">
        <v>1014</v>
      </c>
      <c r="F21" s="1155">
        <v>6000</v>
      </c>
      <c r="G21" s="1139">
        <v>9000</v>
      </c>
      <c r="H21" s="1140">
        <v>13000</v>
      </c>
      <c r="I21" s="1156">
        <v>13000</v>
      </c>
      <c r="J21" s="1157" t="s">
        <v>1320</v>
      </c>
      <c r="K21" s="1136" t="s">
        <v>1321</v>
      </c>
      <c r="L21" s="1136" t="s">
        <v>1321</v>
      </c>
      <c r="M21" s="1158" t="s">
        <v>1321</v>
      </c>
      <c r="R21" s="1138"/>
    </row>
    <row r="22" spans="5:18" ht="15.75">
      <c r="E22" s="1145">
        <v>1016</v>
      </c>
      <c r="F22" s="1155">
        <v>6000</v>
      </c>
      <c r="G22" s="1137">
        <v>6000</v>
      </c>
      <c r="H22" s="1139">
        <v>9000</v>
      </c>
      <c r="I22" s="1159">
        <v>9000</v>
      </c>
      <c r="J22" s="1157" t="s">
        <v>1320</v>
      </c>
      <c r="K22" s="1135" t="s">
        <v>1320</v>
      </c>
      <c r="L22" s="1135" t="s">
        <v>1320</v>
      </c>
      <c r="M22" s="1160" t="s">
        <v>1320</v>
      </c>
      <c r="R22" s="1138"/>
    </row>
    <row r="23" spans="5:18" ht="15.75">
      <c r="E23" s="1145">
        <v>1018</v>
      </c>
      <c r="F23" s="1155">
        <v>6000</v>
      </c>
      <c r="G23" s="1137">
        <v>6000</v>
      </c>
      <c r="H23" s="1139">
        <v>9000</v>
      </c>
      <c r="I23" s="1159">
        <v>9000</v>
      </c>
      <c r="J23" s="1157" t="s">
        <v>1320</v>
      </c>
      <c r="K23" s="1135" t="s">
        <v>1320</v>
      </c>
      <c r="L23" s="1135" t="s">
        <v>1320</v>
      </c>
      <c r="M23" s="1160" t="s">
        <v>1320</v>
      </c>
      <c r="R23" s="1138"/>
    </row>
    <row r="24" spans="5:18" ht="15.75">
      <c r="E24" s="1145">
        <v>1035</v>
      </c>
      <c r="F24" s="1155">
        <v>6000</v>
      </c>
      <c r="G24" s="1139">
        <v>9000</v>
      </c>
      <c r="H24" s="1141">
        <v>18000</v>
      </c>
      <c r="I24" s="1161">
        <v>18000</v>
      </c>
      <c r="J24" s="1157" t="s">
        <v>1320</v>
      </c>
      <c r="K24" s="1136" t="s">
        <v>1321</v>
      </c>
      <c r="L24" s="1137" t="s">
        <v>1322</v>
      </c>
      <c r="M24" s="1162" t="s">
        <v>1322</v>
      </c>
      <c r="R24" s="1138"/>
    </row>
    <row r="25" spans="5:18" ht="15.75">
      <c r="E25" s="1145">
        <v>1055</v>
      </c>
      <c r="F25" s="1155">
        <v>6000</v>
      </c>
      <c r="G25" s="1139">
        <v>9000</v>
      </c>
      <c r="H25" s="1140">
        <v>13000</v>
      </c>
      <c r="I25" s="1156">
        <v>13000</v>
      </c>
      <c r="J25" s="1157" t="s">
        <v>1320</v>
      </c>
      <c r="K25" s="1136" t="s">
        <v>1321</v>
      </c>
      <c r="L25" s="1136" t="s">
        <v>1321</v>
      </c>
      <c r="M25" s="1158" t="s">
        <v>1321</v>
      </c>
      <c r="R25" s="1138"/>
    </row>
    <row r="26" spans="5:18" ht="15.75">
      <c r="E26" s="1145">
        <v>1056</v>
      </c>
      <c r="F26" s="1155">
        <v>6000</v>
      </c>
      <c r="G26" s="1139">
        <v>9000</v>
      </c>
      <c r="H26" s="1140">
        <v>13000</v>
      </c>
      <c r="I26" s="1156">
        <v>13000</v>
      </c>
      <c r="J26" s="1157" t="s">
        <v>1320</v>
      </c>
      <c r="K26" s="1136" t="s">
        <v>1321</v>
      </c>
      <c r="L26" s="1136" t="s">
        <v>1321</v>
      </c>
      <c r="M26" s="1158" t="s">
        <v>1321</v>
      </c>
      <c r="R26" s="1138"/>
    </row>
    <row r="27" spans="5:18" ht="15.75">
      <c r="E27" s="1145">
        <v>1058</v>
      </c>
      <c r="F27" s="1155">
        <v>6000</v>
      </c>
      <c r="G27" s="1139">
        <v>9000</v>
      </c>
      <c r="H27" s="1140">
        <v>13000</v>
      </c>
      <c r="I27" s="1156">
        <v>13000</v>
      </c>
      <c r="J27" s="1157" t="s">
        <v>1320</v>
      </c>
      <c r="K27" s="1136" t="s">
        <v>1321</v>
      </c>
      <c r="L27" s="1136" t="s">
        <v>1321</v>
      </c>
      <c r="M27" s="1158" t="s">
        <v>1321</v>
      </c>
      <c r="R27" s="1138"/>
    </row>
    <row r="28" spans="5:18" ht="15.75">
      <c r="E28" s="1145">
        <v>1065</v>
      </c>
      <c r="F28" s="1155">
        <v>6000</v>
      </c>
      <c r="G28" s="1139">
        <v>9000</v>
      </c>
      <c r="H28" s="1141">
        <v>18000</v>
      </c>
      <c r="I28" s="1161">
        <v>18000</v>
      </c>
      <c r="J28" s="1157" t="s">
        <v>1320</v>
      </c>
      <c r="K28" s="1136" t="s">
        <v>1321</v>
      </c>
      <c r="L28" s="1137" t="s">
        <v>1322</v>
      </c>
      <c r="M28" s="1162" t="s">
        <v>1322</v>
      </c>
      <c r="R28" s="1138"/>
    </row>
    <row r="29" spans="5:18" ht="15.75">
      <c r="E29" s="1145">
        <v>1070</v>
      </c>
      <c r="F29" s="1163">
        <v>4000</v>
      </c>
      <c r="G29" s="1136">
        <v>4000</v>
      </c>
      <c r="H29" s="1136">
        <v>4000</v>
      </c>
      <c r="I29" s="1158">
        <v>4000</v>
      </c>
      <c r="J29" s="1157" t="s">
        <v>1320</v>
      </c>
      <c r="K29" s="1135" t="s">
        <v>1320</v>
      </c>
      <c r="L29" s="1135" t="s">
        <v>1320</v>
      </c>
      <c r="M29" s="1160" t="s">
        <v>1320</v>
      </c>
      <c r="R29" s="1138"/>
    </row>
    <row r="30" spans="5:18" ht="15.75">
      <c r="E30" s="1145">
        <v>1075</v>
      </c>
      <c r="F30" s="1155">
        <v>6000</v>
      </c>
      <c r="G30" s="1139">
        <v>9000</v>
      </c>
      <c r="H30" s="1141">
        <v>18000</v>
      </c>
      <c r="I30" s="1161">
        <v>18000</v>
      </c>
      <c r="J30" s="1157" t="s">
        <v>1320</v>
      </c>
      <c r="K30" s="1136" t="s">
        <v>1321</v>
      </c>
      <c r="L30" s="1137" t="s">
        <v>1322</v>
      </c>
      <c r="M30" s="1162" t="s">
        <v>1322</v>
      </c>
      <c r="R30" s="1138"/>
    </row>
    <row r="31" spans="5:18" ht="15.75">
      <c r="E31" s="1145">
        <v>1085</v>
      </c>
      <c r="F31" s="1155">
        <v>6000</v>
      </c>
      <c r="G31" s="1139">
        <v>9000</v>
      </c>
      <c r="H31" s="1140">
        <v>13000</v>
      </c>
      <c r="I31" s="1156">
        <v>13000</v>
      </c>
      <c r="J31" s="1157" t="s">
        <v>1320</v>
      </c>
      <c r="K31" s="1136" t="s">
        <v>1321</v>
      </c>
      <c r="L31" s="1136" t="s">
        <v>1321</v>
      </c>
      <c r="M31" s="1158" t="s">
        <v>1321</v>
      </c>
      <c r="R31" s="1138"/>
    </row>
    <row r="32" spans="5:18" ht="15.75">
      <c r="E32" s="1145">
        <v>1121</v>
      </c>
      <c r="F32" s="1155">
        <v>6000</v>
      </c>
      <c r="G32" s="1139">
        <v>9000</v>
      </c>
      <c r="H32" s="1141">
        <v>18000</v>
      </c>
      <c r="I32" s="1161">
        <v>18000</v>
      </c>
      <c r="J32" s="1157" t="s">
        <v>1320</v>
      </c>
      <c r="K32" s="1136" t="s">
        <v>1321</v>
      </c>
      <c r="L32" s="1137" t="s">
        <v>1322</v>
      </c>
      <c r="M32" s="1162" t="s">
        <v>1322</v>
      </c>
      <c r="R32" s="1138"/>
    </row>
    <row r="33" spans="5:18" ht="15.75">
      <c r="E33" s="1145">
        <v>1130</v>
      </c>
      <c r="F33" s="1155">
        <v>6000</v>
      </c>
      <c r="G33" s="1139">
        <v>9000</v>
      </c>
      <c r="H33" s="1141">
        <v>18000</v>
      </c>
      <c r="I33" s="1161">
        <v>18000</v>
      </c>
      <c r="J33" s="1157" t="s">
        <v>1320</v>
      </c>
      <c r="K33" s="1136" t="s">
        <v>1321</v>
      </c>
      <c r="L33" s="1137" t="s">
        <v>1322</v>
      </c>
      <c r="M33" s="1162" t="s">
        <v>1322</v>
      </c>
      <c r="R33" s="1138"/>
    </row>
    <row r="34" spans="5:18" ht="15.75">
      <c r="E34" s="1145">
        <v>1240</v>
      </c>
      <c r="F34" s="1155">
        <v>6000</v>
      </c>
      <c r="G34" s="1139">
        <v>9000</v>
      </c>
      <c r="H34" s="1141">
        <v>18000</v>
      </c>
      <c r="I34" s="1161">
        <v>18000</v>
      </c>
      <c r="J34" s="1157" t="s">
        <v>1320</v>
      </c>
      <c r="K34" s="1136" t="s">
        <v>1321</v>
      </c>
      <c r="L34" s="1137" t="s">
        <v>1322</v>
      </c>
      <c r="M34" s="1162" t="s">
        <v>1322</v>
      </c>
      <c r="R34" s="1138"/>
    </row>
    <row r="35" spans="5:18" ht="15.75">
      <c r="E35" s="1145">
        <v>1243</v>
      </c>
      <c r="F35" s="1155">
        <v>6000</v>
      </c>
      <c r="G35" s="1139">
        <v>9000</v>
      </c>
      <c r="H35" s="1141">
        <v>18000</v>
      </c>
      <c r="I35" s="1161">
        <v>18000</v>
      </c>
      <c r="J35" s="1157" t="s">
        <v>1320</v>
      </c>
      <c r="K35" s="1136" t="s">
        <v>1321</v>
      </c>
      <c r="L35" s="1137" t="s">
        <v>1322</v>
      </c>
      <c r="M35" s="1162" t="s">
        <v>1322</v>
      </c>
      <c r="R35" s="1138"/>
    </row>
    <row r="36" spans="5:18" ht="15.75">
      <c r="E36" s="1145">
        <v>1248</v>
      </c>
      <c r="F36" s="1155">
        <v>6000</v>
      </c>
      <c r="G36" s="1137">
        <v>6000</v>
      </c>
      <c r="H36" s="1139">
        <v>9000</v>
      </c>
      <c r="I36" s="1159">
        <v>9000</v>
      </c>
      <c r="J36" s="1157" t="s">
        <v>1320</v>
      </c>
      <c r="K36" s="1135" t="s">
        <v>1320</v>
      </c>
      <c r="L36" s="1135" t="s">
        <v>1320</v>
      </c>
      <c r="M36" s="1160" t="s">
        <v>1320</v>
      </c>
      <c r="R36" s="1138"/>
    </row>
    <row r="37" spans="5:18" ht="15.75">
      <c r="E37" s="1145">
        <v>1271</v>
      </c>
      <c r="F37" s="1155">
        <v>6000</v>
      </c>
      <c r="G37" s="1139">
        <v>9000</v>
      </c>
      <c r="H37" s="1140">
        <v>13000</v>
      </c>
      <c r="I37" s="1156">
        <v>13000</v>
      </c>
      <c r="J37" s="1157" t="s">
        <v>1320</v>
      </c>
      <c r="K37" s="1136" t="s">
        <v>1321</v>
      </c>
      <c r="L37" s="1136" t="s">
        <v>1321</v>
      </c>
      <c r="M37" s="1158" t="s">
        <v>1321</v>
      </c>
      <c r="R37" s="1138"/>
    </row>
    <row r="38" spans="5:18" ht="15.75">
      <c r="E38" s="1145">
        <v>1281</v>
      </c>
      <c r="F38" s="1155">
        <v>6000</v>
      </c>
      <c r="G38" s="1139">
        <v>9000</v>
      </c>
      <c r="H38" s="1140">
        <v>13000</v>
      </c>
      <c r="I38" s="1156">
        <v>13000</v>
      </c>
      <c r="J38" s="1157" t="s">
        <v>1320</v>
      </c>
      <c r="K38" s="1136" t="s">
        <v>1321</v>
      </c>
      <c r="L38" s="1136" t="s">
        <v>1321</v>
      </c>
      <c r="M38" s="1158" t="s">
        <v>1321</v>
      </c>
      <c r="R38" s="1138"/>
    </row>
    <row r="39" spans="5:18" ht="15.75">
      <c r="E39" s="1145">
        <v>1290</v>
      </c>
      <c r="F39" s="1254" t="s">
        <v>943</v>
      </c>
      <c r="G39" s="1254" t="s">
        <v>69</v>
      </c>
      <c r="H39" s="1254" t="s">
        <v>69</v>
      </c>
      <c r="I39" s="1496" t="s">
        <v>69</v>
      </c>
      <c r="J39" s="1157" t="s">
        <v>1320</v>
      </c>
      <c r="K39" s="1135" t="s">
        <v>1320</v>
      </c>
      <c r="L39" s="1135" t="s">
        <v>1320</v>
      </c>
      <c r="M39" s="1160" t="s">
        <v>1320</v>
      </c>
      <c r="R39" s="1138"/>
    </row>
    <row r="40" spans="5:18" ht="15.75">
      <c r="E40" s="1145">
        <v>1291</v>
      </c>
      <c r="F40" s="1155">
        <v>6000</v>
      </c>
      <c r="G40" s="1139">
        <v>9000</v>
      </c>
      <c r="H40" s="1140">
        <v>13000</v>
      </c>
      <c r="I40" s="1156">
        <v>13000</v>
      </c>
      <c r="J40" s="1157" t="s">
        <v>1320</v>
      </c>
      <c r="K40" s="1136" t="s">
        <v>1321</v>
      </c>
      <c r="L40" s="1137" t="s">
        <v>1322</v>
      </c>
      <c r="M40" s="1162" t="s">
        <v>1322</v>
      </c>
      <c r="R40" s="1138"/>
    </row>
    <row r="41" spans="5:18" ht="15.75">
      <c r="E41" s="1145">
        <v>1405</v>
      </c>
      <c r="F41" s="1155">
        <v>6000</v>
      </c>
      <c r="G41" s="1139">
        <v>9000</v>
      </c>
      <c r="H41" s="1141">
        <v>18000</v>
      </c>
      <c r="I41" s="1161">
        <v>18000</v>
      </c>
      <c r="J41" s="1157" t="s">
        <v>1320</v>
      </c>
      <c r="K41" s="1136" t="s">
        <v>1321</v>
      </c>
      <c r="L41" s="1137" t="s">
        <v>1322</v>
      </c>
      <c r="M41" s="1162" t="s">
        <v>1322</v>
      </c>
      <c r="R41" s="1138"/>
    </row>
    <row r="42" spans="5:18" ht="15.75">
      <c r="E42" s="1145">
        <v>2030</v>
      </c>
      <c r="F42" s="1155">
        <v>6000</v>
      </c>
      <c r="G42" s="1139">
        <v>9000</v>
      </c>
      <c r="H42" s="1141">
        <v>18000</v>
      </c>
      <c r="I42" s="1161">
        <v>18000</v>
      </c>
      <c r="J42" s="1157" t="s">
        <v>1320</v>
      </c>
      <c r="K42" s="1136" t="s">
        <v>1321</v>
      </c>
      <c r="L42" s="1137" t="s">
        <v>1322</v>
      </c>
      <c r="M42" s="1162" t="s">
        <v>1322</v>
      </c>
      <c r="R42" s="1138"/>
    </row>
    <row r="43" spans="5:18" ht="15.75">
      <c r="E43" s="1145">
        <v>2035</v>
      </c>
      <c r="F43" s="1155">
        <v>6000</v>
      </c>
      <c r="G43" s="1139">
        <v>9000</v>
      </c>
      <c r="H43" s="1141">
        <v>18000</v>
      </c>
      <c r="I43" s="1161">
        <v>18000</v>
      </c>
      <c r="J43" s="1157" t="s">
        <v>1320</v>
      </c>
      <c r="K43" s="1136" t="s">
        <v>1321</v>
      </c>
      <c r="L43" s="1137" t="s">
        <v>1322</v>
      </c>
      <c r="M43" s="1162" t="s">
        <v>1322</v>
      </c>
      <c r="R43" s="1138"/>
    </row>
    <row r="44" spans="5:18" ht="15.75">
      <c r="E44" s="1145">
        <v>2040</v>
      </c>
      <c r="F44" s="1164">
        <v>2000</v>
      </c>
      <c r="G44" s="1135">
        <v>2000</v>
      </c>
      <c r="H44" s="1135">
        <v>2000</v>
      </c>
      <c r="I44" s="1160">
        <v>2000</v>
      </c>
      <c r="J44" s="1157" t="s">
        <v>1320</v>
      </c>
      <c r="K44" s="1135" t="s">
        <v>1320</v>
      </c>
      <c r="L44" s="1135" t="s">
        <v>1320</v>
      </c>
      <c r="M44" s="1160" t="s">
        <v>1320</v>
      </c>
      <c r="R44" s="1138"/>
    </row>
    <row r="45" spans="5:18" ht="15.75">
      <c r="E45" s="1145">
        <v>2250</v>
      </c>
      <c r="F45" s="1155">
        <v>6000</v>
      </c>
      <c r="G45" s="1137">
        <v>6000</v>
      </c>
      <c r="H45" s="1139">
        <v>9000</v>
      </c>
      <c r="I45" s="1159">
        <v>9000</v>
      </c>
      <c r="J45" s="1157" t="s">
        <v>1320</v>
      </c>
      <c r="K45" s="1135" t="s">
        <v>1320</v>
      </c>
      <c r="L45" s="1135" t="s">
        <v>1320</v>
      </c>
      <c r="M45" s="1160" t="s">
        <v>1320</v>
      </c>
      <c r="R45" s="1138"/>
    </row>
    <row r="46" spans="5:18" ht="15.75">
      <c r="E46" s="1145">
        <v>3103</v>
      </c>
      <c r="F46" s="1155">
        <v>6000</v>
      </c>
      <c r="G46" s="1139">
        <v>9000</v>
      </c>
      <c r="H46" s="1141">
        <v>18000</v>
      </c>
      <c r="I46" s="1161">
        <v>18000</v>
      </c>
      <c r="J46" s="1157" t="s">
        <v>1320</v>
      </c>
      <c r="K46" s="1136" t="s">
        <v>1321</v>
      </c>
      <c r="L46" s="1137" t="s">
        <v>1322</v>
      </c>
      <c r="M46" s="1162" t="s">
        <v>1322</v>
      </c>
      <c r="R46" s="1138"/>
    </row>
    <row r="47" spans="5:18" ht="15.75">
      <c r="E47" s="1145">
        <v>3123</v>
      </c>
      <c r="F47" s="1155">
        <v>6000</v>
      </c>
      <c r="G47" s="1139">
        <v>9000</v>
      </c>
      <c r="H47" s="1141">
        <v>18000</v>
      </c>
      <c r="I47" s="1161">
        <v>18000</v>
      </c>
      <c r="J47" s="1157" t="s">
        <v>1320</v>
      </c>
      <c r="K47" s="1136" t="s">
        <v>1321</v>
      </c>
      <c r="L47" s="1137" t="s">
        <v>1322</v>
      </c>
      <c r="M47" s="1162" t="s">
        <v>1322</v>
      </c>
      <c r="R47" s="1138"/>
    </row>
    <row r="48" spans="5:18" ht="15.75">
      <c r="E48" s="1145">
        <v>3124</v>
      </c>
      <c r="F48" s="1155">
        <v>6000</v>
      </c>
      <c r="G48" s="1139">
        <v>9000</v>
      </c>
      <c r="H48" s="1140">
        <v>13000</v>
      </c>
      <c r="I48" s="1156">
        <v>13000</v>
      </c>
      <c r="J48" s="1157" t="s">
        <v>1320</v>
      </c>
      <c r="K48" s="1136" t="s">
        <v>1321</v>
      </c>
      <c r="L48" s="1136" t="s">
        <v>1321</v>
      </c>
      <c r="M48" s="1158" t="s">
        <v>1321</v>
      </c>
      <c r="R48" s="1138"/>
    </row>
    <row r="49" spans="4:18" ht="15.75">
      <c r="E49" s="1145">
        <v>3160</v>
      </c>
      <c r="F49" s="1163">
        <v>4000</v>
      </c>
      <c r="G49" s="1136">
        <v>4000</v>
      </c>
      <c r="H49" s="1136">
        <v>4000</v>
      </c>
      <c r="I49" s="1158">
        <v>4000</v>
      </c>
      <c r="J49" s="1157" t="s">
        <v>1320</v>
      </c>
      <c r="K49" s="1135" t="s">
        <v>1320</v>
      </c>
      <c r="L49" s="1135" t="s">
        <v>1320</v>
      </c>
      <c r="M49" s="1160" t="s">
        <v>1320</v>
      </c>
      <c r="R49" s="1138"/>
    </row>
    <row r="50" spans="4:18" ht="15.75">
      <c r="E50" s="1145">
        <v>3240</v>
      </c>
      <c r="F50" s="1155">
        <v>6000</v>
      </c>
      <c r="G50" s="1139">
        <v>9000</v>
      </c>
      <c r="H50" s="1141">
        <v>18000</v>
      </c>
      <c r="I50" s="1161">
        <v>18000</v>
      </c>
      <c r="J50" s="1157" t="s">
        <v>1320</v>
      </c>
      <c r="K50" s="1136" t="s">
        <v>1321</v>
      </c>
      <c r="L50" s="1137" t="s">
        <v>1322</v>
      </c>
      <c r="M50" s="1162" t="s">
        <v>1322</v>
      </c>
      <c r="R50" s="1138"/>
    </row>
    <row r="51" spans="4:18" ht="16.5" thickBot="1">
      <c r="E51" s="1143">
        <v>3401</v>
      </c>
      <c r="F51" s="1165">
        <v>6000</v>
      </c>
      <c r="G51" s="1166">
        <v>9000</v>
      </c>
      <c r="H51" s="1167">
        <v>13000</v>
      </c>
      <c r="I51" s="1168">
        <v>13000</v>
      </c>
      <c r="J51" s="1169" t="s">
        <v>1320</v>
      </c>
      <c r="K51" s="1170" t="s">
        <v>1321</v>
      </c>
      <c r="L51" s="1170" t="s">
        <v>1321</v>
      </c>
      <c r="M51" s="1171" t="s">
        <v>1321</v>
      </c>
      <c r="R51" s="1138"/>
    </row>
    <row r="54" spans="4:18" ht="15.75">
      <c r="D54" s="1251" t="s">
        <v>1382</v>
      </c>
      <c r="E54" s="1147"/>
      <c r="F54" s="1147"/>
      <c r="G54" s="1147"/>
      <c r="H54" s="1147"/>
      <c r="I54" s="1147"/>
      <c r="J54" s="1147"/>
      <c r="K54" s="1147"/>
      <c r="L54" s="1147"/>
      <c r="M54" s="1147"/>
      <c r="N54" s="1147"/>
      <c r="O54" s="1147"/>
    </row>
    <row r="55" spans="4:18" ht="13.5" thickBot="1">
      <c r="E55" s="205"/>
    </row>
    <row r="56" spans="4:18" ht="15.75">
      <c r="E56" s="1142"/>
      <c r="F56" s="1728" t="s">
        <v>1324</v>
      </c>
      <c r="G56" s="1729"/>
      <c r="H56" s="1729"/>
      <c r="I56" s="1730"/>
      <c r="J56" s="1728" t="s">
        <v>1325</v>
      </c>
      <c r="K56" s="1729"/>
      <c r="L56" s="1729"/>
      <c r="M56" s="1730"/>
    </row>
    <row r="57" spans="4:18" ht="16.5" thickBot="1">
      <c r="E57" s="1143"/>
      <c r="F57" s="1172" t="s">
        <v>1381</v>
      </c>
      <c r="G57" s="1173" t="s">
        <v>1380</v>
      </c>
      <c r="H57" s="1173"/>
      <c r="I57" s="1174"/>
      <c r="J57" s="1172" t="s">
        <v>1381</v>
      </c>
      <c r="K57" s="1173" t="s">
        <v>1380</v>
      </c>
      <c r="L57" s="1173"/>
      <c r="M57" s="1174"/>
    </row>
    <row r="58" spans="4:18" ht="15.75">
      <c r="E58" s="1145">
        <v>1079</v>
      </c>
      <c r="F58" s="1164">
        <v>2000</v>
      </c>
      <c r="G58" s="1137">
        <v>6000</v>
      </c>
      <c r="H58" s="98"/>
      <c r="I58" s="1253"/>
      <c r="J58" s="1164" t="s">
        <v>1320</v>
      </c>
      <c r="K58" s="1135" t="s">
        <v>1320</v>
      </c>
      <c r="L58" s="98"/>
      <c r="M58" s="1253"/>
    </row>
    <row r="59" spans="4:18" ht="15.75">
      <c r="E59" s="1145"/>
      <c r="F59" s="1254"/>
      <c r="G59" s="1096"/>
      <c r="H59" s="1252"/>
      <c r="I59" s="1255"/>
      <c r="J59" s="1254"/>
      <c r="K59" s="1096"/>
      <c r="L59" s="98"/>
      <c r="M59" s="1253"/>
    </row>
    <row r="60" spans="4:18" ht="15.75">
      <c r="E60" s="1145"/>
      <c r="F60" s="1254"/>
      <c r="G60" s="1096"/>
      <c r="H60" s="1252"/>
      <c r="I60" s="1255"/>
      <c r="J60" s="1254"/>
      <c r="K60" s="1096"/>
      <c r="L60" s="98"/>
      <c r="M60" s="1253"/>
    </row>
    <row r="61" spans="4:18" ht="15.75">
      <c r="E61" s="1145"/>
      <c r="F61" s="1254"/>
      <c r="G61" s="1096"/>
      <c r="H61" s="1252"/>
      <c r="I61" s="1255"/>
      <c r="J61" s="1254"/>
      <c r="K61" s="1096"/>
      <c r="L61" s="98"/>
      <c r="M61" s="1253"/>
    </row>
    <row r="62" spans="4:18" ht="15.75">
      <c r="E62" s="1145"/>
      <c r="F62" s="1254"/>
      <c r="G62" s="1096"/>
      <c r="H62" s="1252"/>
      <c r="I62" s="1255"/>
      <c r="J62" s="1254"/>
      <c r="K62" s="1096"/>
      <c r="L62" s="98"/>
      <c r="M62" s="1253"/>
    </row>
    <row r="63" spans="4:18" ht="15.75">
      <c r="E63" s="1145"/>
      <c r="F63" s="1254"/>
      <c r="G63" s="1096"/>
      <c r="H63" s="1252"/>
      <c r="I63" s="1255"/>
      <c r="J63" s="1254"/>
      <c r="K63" s="1096"/>
      <c r="L63" s="98"/>
      <c r="M63" s="1253"/>
    </row>
    <row r="64" spans="4:18" ht="16.5" thickBot="1">
      <c r="E64" s="1143"/>
      <c r="F64" s="1256"/>
      <c r="G64" s="1257"/>
      <c r="H64" s="1258"/>
      <c r="I64" s="1259"/>
      <c r="J64" s="1256"/>
      <c r="K64" s="1257"/>
      <c r="L64" s="1260"/>
      <c r="M64" s="1261"/>
    </row>
  </sheetData>
  <mergeCells count="4">
    <mergeCell ref="F18:I18"/>
    <mergeCell ref="J18:M18"/>
    <mergeCell ref="F56:I56"/>
    <mergeCell ref="J56:M56"/>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4DE81A1BD882643BDF117F07BE0FECF" ma:contentTypeVersion="15" ma:contentTypeDescription="Create a new document." ma:contentTypeScope="" ma:versionID="ea946fbb9cac9d8cebd1e327c3b9d6ce">
  <xsd:schema xmlns:xsd="http://www.w3.org/2001/XMLSchema" xmlns:xs="http://www.w3.org/2001/XMLSchema" xmlns:p="http://schemas.microsoft.com/office/2006/metadata/properties" xmlns:ns2="1ea5d932-94e3-47a8-9424-187ff5b6c338" xmlns:ns3="811803e2-254a-4f2e-9c72-4fa1e191475e" targetNamespace="http://schemas.microsoft.com/office/2006/metadata/properties" ma:root="true" ma:fieldsID="77d5642dc6420e039df81bbc4eea1b63" ns2:_="" ns3:_="">
    <xsd:import namespace="1ea5d932-94e3-47a8-9424-187ff5b6c338"/>
    <xsd:import namespace="811803e2-254a-4f2e-9c72-4fa1e191475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a5d932-94e3-47a8-9424-187ff5b6c33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11803e2-254a-4f2e-9c72-4fa1e191475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7173F63-53D4-4015-886E-79F412E56A7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a5d932-94e3-47a8-9424-187ff5b6c338"/>
    <ds:schemaRef ds:uri="811803e2-254a-4f2e-9c72-4fa1e191475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E5BC24A-F781-4F63-BA22-BD21F61AFFDD}">
  <ds:schemaRefs>
    <ds:schemaRef ds:uri="http://schemas.microsoft.com/office/2006/documentManagement/types"/>
    <ds:schemaRef ds:uri="811803e2-254a-4f2e-9c72-4fa1e191475e"/>
    <ds:schemaRef ds:uri="http://purl.org/dc/dcmitype/"/>
    <ds:schemaRef ds:uri="http://schemas.microsoft.com/office/infopath/2007/PartnerControls"/>
    <ds:schemaRef ds:uri="1ea5d932-94e3-47a8-9424-187ff5b6c338"/>
    <ds:schemaRef ds:uri="http://purl.org/dc/elements/1.1/"/>
    <ds:schemaRef ds:uri="http://schemas.microsoft.com/office/2006/metadata/properties"/>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7B3F31AF-531D-42B3-B591-4409BEA405B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23</vt:i4>
      </vt:variant>
    </vt:vector>
  </HeadingPairs>
  <TitlesOfParts>
    <vt:vector size="38" baseType="lpstr">
      <vt:lpstr>Start</vt:lpstr>
      <vt:lpstr>Cover</vt:lpstr>
      <vt:lpstr>PASS </vt:lpstr>
      <vt:lpstr>Authorisation</vt:lpstr>
      <vt:lpstr>PickingSlip</vt:lpstr>
      <vt:lpstr>Finance</vt:lpstr>
      <vt:lpstr>CJ400</vt:lpstr>
      <vt:lpstr>4900</vt:lpstr>
      <vt:lpstr>5900</vt:lpstr>
      <vt:lpstr>7900</vt:lpstr>
      <vt:lpstr>8900</vt:lpstr>
      <vt:lpstr>Consumables</vt:lpstr>
      <vt:lpstr>PE</vt:lpstr>
      <vt:lpstr>CP</vt:lpstr>
      <vt:lpstr>Install</vt:lpstr>
      <vt:lpstr>Account</vt:lpstr>
      <vt:lpstr>Address1</vt:lpstr>
      <vt:lpstr>Email</vt:lpstr>
      <vt:lpstr>erp_code</vt:lpstr>
      <vt:lpstr>JobTitle</vt:lpstr>
      <vt:lpstr>Lists</vt:lpstr>
      <vt:lpstr>Phone</vt:lpstr>
      <vt:lpstr>PrimaryContact</vt:lpstr>
      <vt:lpstr>'4900'!Print_Area</vt:lpstr>
      <vt:lpstr>'5900'!Print_Area</vt:lpstr>
      <vt:lpstr>'7900'!Print_Area</vt:lpstr>
      <vt:lpstr>'8900'!Print_Area</vt:lpstr>
      <vt:lpstr>'CJ400'!Print_Area</vt:lpstr>
      <vt:lpstr>Cover!Print_Area</vt:lpstr>
      <vt:lpstr>'IJ600 OLD'!Print_Area</vt:lpstr>
      <vt:lpstr>'Install Guide'!Print_Area</vt:lpstr>
      <vt:lpstr>PASS!Print_Area</vt:lpstr>
      <vt:lpstr>'PASS '!Print_Area</vt:lpstr>
      <vt:lpstr>PE!Print_Titles</vt:lpstr>
      <vt:lpstr>Quote</vt:lpstr>
      <vt:lpstr>QuoteNumber</vt:lpstr>
      <vt:lpstr>Salesman</vt:lpstr>
      <vt:lpstr>Topic</vt:lpstr>
    </vt:vector>
  </TitlesOfParts>
  <Company>Matthews Australasia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BOM</dc:title>
  <dc:subject>CIJ BOM</dc:subject>
  <dc:creator>Trent Munro</dc:creator>
  <cp:keywords>CIJ BOM 7900 8900 Spectrum</cp:keywords>
  <cp:lastModifiedBy>Danuja Chandrasena</cp:lastModifiedBy>
  <cp:lastPrinted>2018-03-01T23:58:51Z</cp:lastPrinted>
  <dcterms:created xsi:type="dcterms:W3CDTF">2008-03-20T00:05:27Z</dcterms:created>
  <dcterms:modified xsi:type="dcterms:W3CDTF">2020-08-05T04:51:58Z</dcterms:modified>
  <cp:category>Linx 7.9</cp:category>
  <cp:contentStatus>Active</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0x010100A4DE81A1BD882643BDF117F07BE0FECF</vt:lpwstr>
  </property>
  <property fmtid="{D5CDD505-2E9C-101B-9397-08002B2CF9AE}" pid="3" name="Order">
    <vt:r8>3996800</vt:r8>
  </property>
</Properties>
</file>